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tables/table1.xml" ContentType="application/vnd.openxmlformats-officedocument.spreadsheetml.table+xml"/>
  <Override PartName="/xl/comments5.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6.xml" ContentType="application/vnd.openxmlformats-officedocument.spreadsheetml.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7.xml" ContentType="application/vnd.openxmlformats-officedocument.spreadsheetml.comments+xml"/>
  <Override PartName="/xl/tables/table18.xml" ContentType="application/vnd.openxmlformats-officedocument.spreadsheetml.table+xml"/>
  <Override PartName="/xl/comments8.xml" ContentType="application/vnd.openxmlformats-officedocument.spreadsheetml.comments+xml"/>
  <Override PartName="/xl/tables/table19.xml" ContentType="application/vnd.openxmlformats-officedocument.spreadsheetml.table+xml"/>
  <Override PartName="/xl/comments9.xml" ContentType="application/vnd.openxmlformats-officedocument.spreadsheetml.comments+xml"/>
  <Override PartName="/xl/tables/table20.xml" ContentType="application/vnd.openxmlformats-officedocument.spreadsheetml.table+xml"/>
  <Override PartName="/xl/comments10.xml" ContentType="application/vnd.openxmlformats-officedocument.spreadsheetml.comments+xml"/>
  <Override PartName="/xl/tables/table21.xml" ContentType="application/vnd.openxmlformats-officedocument.spreadsheetml.table+xml"/>
  <Override PartName="/xl/comments11.xml" ContentType="application/vnd.openxmlformats-officedocument.spreadsheetml.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12.xml" ContentType="application/vnd.openxmlformats-officedocument.spreadsheetml.comments+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comments13.xml" ContentType="application/vnd.openxmlformats-officedocument.spreadsheetml.comments+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omments14.xml" ContentType="application/vnd.openxmlformats-officedocument.spreadsheetml.comments+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omments15.xml" ContentType="application/vnd.openxmlformats-officedocument.spreadsheetml.comments+xml"/>
  <Override PartName="/xl/tables/table36.xml" ContentType="application/vnd.openxmlformats-officedocument.spreadsheetml.table+xml"/>
  <Override PartName="/xl/comments16.xml" ContentType="application/vnd.openxmlformats-officedocument.spreadsheetml.comments+xml"/>
  <Override PartName="/xl/tables/table37.xml" ContentType="application/vnd.openxmlformats-officedocument.spreadsheetml.table+xml"/>
  <Override PartName="/xl/comments17.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omments18.xml" ContentType="application/vnd.openxmlformats-officedocument.spreadsheetml.comments+xml"/>
  <Override PartName="/xl/tables/table45.xml" ContentType="application/vnd.openxmlformats-officedocument.spreadsheetml.table+xml"/>
  <Override PartName="/xl/tables/table46.xml" ContentType="application/vnd.openxmlformats-officedocument.spreadsheetml.table+xml"/>
  <Override PartName="/xl/comments19.xml" ContentType="application/vnd.openxmlformats-officedocument.spreadsheetml.comments+xml"/>
  <Override PartName="/xl/tables/table47.xml" ContentType="application/vnd.openxmlformats-officedocument.spreadsheetml.table+xml"/>
  <Override PartName="/xl/tables/table48.xml" ContentType="application/vnd.openxmlformats-officedocument.spreadsheetml.table+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tables/table49.xml" ContentType="application/vnd.openxmlformats-officedocument.spreadsheetml.table+xml"/>
  <Override PartName="/xl/drawings/drawing2.xml" ContentType="application/vnd.openxmlformats-officedocument.drawing+xml"/>
  <Override PartName="/xl/tables/table50.xml" ContentType="application/vnd.openxmlformats-officedocument.spreadsheetml.table+xml"/>
  <Override PartName="/xl/drawings/drawing3.xml" ContentType="application/vnd.openxmlformats-officedocument.drawing+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codeName="ThisWorkbook"/>
  <mc:AlternateContent xmlns:mc="http://schemas.openxmlformats.org/markup-compatibility/2006">
    <mc:Choice Requires="x15">
      <x15ac:absPath xmlns:x15ac="http://schemas.microsoft.com/office/spreadsheetml/2010/11/ac" url="https://validuseconomicscom.sharepoint.com/sites/WaapihkResearch/Shared Documents/General/Client &amp; Project Folders/AMC/Education/REA/Enhancements/Remoteness/Nishnawbe Aski Nation Remoteness Approach for AMC/sources/R/nan_remoteness/data/raw/"/>
    </mc:Choice>
  </mc:AlternateContent>
  <xr:revisionPtr revIDLastSave="0" documentId="8_{6ED0A1AC-DD70-9445-BD47-5C45AA2742E4}" xr6:coauthVersionLast="47" xr6:coauthVersionMax="47" xr10:uidLastSave="{00000000-0000-0000-0000-000000000000}"/>
  <workbookProtection workbookAlgorithmName="SHA-512" workbookHashValue="AYO+uzh2AuK9b0sbMPyES82as2DqDEVsC8ylg2tjrmHYkFMy8MF2sOSQux/hSoP6/14xJ6tiWiLCecIPuPTV2w==" workbookSaltValue="hGxlkb5lyFGjdoDJMRiZdQ==" workbookSpinCount="100000" lockStructure="1"/>
  <bookViews>
    <workbookView xWindow="4900" yWindow="-19420" windowWidth="28800" windowHeight="13440" tabRatio="649" activeTab="4" xr2:uid="{00000000-000D-0000-FFFF-FFFF00000000}"/>
  </bookViews>
  <sheets>
    <sheet name="Transfer Calculation 2019-20" sheetId="153" state="hidden" r:id="rId1"/>
    <sheet name="Transfer Calculation 2020-21" sheetId="142" state="hidden" r:id="rId2"/>
    <sheet name="Transfer Calculation 2018-19" sheetId="126" state="hidden" r:id="rId3"/>
    <sheet name="Transfer Calculation (1718)" sheetId="115" state="hidden" r:id="rId4"/>
    <sheet name="FNSS SUMMARY" sheetId="96" r:id="rId5"/>
    <sheet name="FNSS Summary Breakdown" sheetId="101" r:id="rId6"/>
    <sheet name="-B1-" sheetId="54" r:id="rId7"/>
    <sheet name="-B2-" sheetId="55" r:id="rId8"/>
    <sheet name="-B3-" sheetId="56" r:id="rId9"/>
    <sheet name="-B4-" sheetId="57" r:id="rId10"/>
    <sheet name="-B5-" sheetId="58" r:id="rId11"/>
    <sheet name="-B6-" sheetId="59" r:id="rId12"/>
    <sheet name="-B7-" sheetId="60" r:id="rId13"/>
    <sheet name="-B8-" sheetId="61" r:id="rId14"/>
    <sheet name="-B9-" sheetId="64" r:id="rId15"/>
    <sheet name="-B10-" sheetId="65" r:id="rId16"/>
    <sheet name="-B11-" sheetId="66" r:id="rId17"/>
    <sheet name="Student Supports " sheetId="158" r:id="rId18"/>
    <sheet name="-C1-" sheetId="67" r:id="rId19"/>
    <sheet name="-C2-" sheetId="68" r:id="rId20"/>
    <sheet name="-C3-" sheetId="69" r:id="rId21"/>
    <sheet name="-C4-" sheetId="70" r:id="rId22"/>
    <sheet name="-C5-" sheetId="71" r:id="rId23"/>
    <sheet name="-C6-" sheetId="72" r:id="rId24"/>
    <sheet name="-C7-" sheetId="73" r:id="rId25"/>
    <sheet name="-C8-" sheetId="74" r:id="rId26"/>
    <sheet name="-C9-" sheetId="75" r:id="rId27"/>
    <sheet name="-C10-" sheetId="76" r:id="rId28"/>
    <sheet name="-C11-" sheetId="77" r:id="rId29"/>
    <sheet name="-C12-" sheetId="78" r:id="rId30"/>
    <sheet name="-C13-" sheetId="79" r:id="rId31"/>
    <sheet name="Menstrual Products" sheetId="156" r:id="rId32"/>
    <sheet name="BASC " sheetId="155" r:id="rId33"/>
    <sheet name="Stabilization" sheetId="159" r:id="rId34"/>
    <sheet name="SLS Tax Base" sheetId="140" r:id="rId35"/>
    <sheet name="School Admin Tax Base" sheetId="141" r:id="rId36"/>
    <sheet name="Minor Capital" sheetId="80" r:id="rId37"/>
    <sheet name="Property Tax" sheetId="81" r:id="rId38"/>
    <sheet name="Other Revenue" sheetId="82" r:id="rId39"/>
    <sheet name="Formula Guarantee" sheetId="114" r:id="rId40"/>
    <sheet name="Pensions" sheetId="83" r:id="rId41"/>
    <sheet name="2. Tuition &lt;22" sheetId="97" r:id="rId42"/>
    <sheet name="2.i. Tuition 22+" sheetId="122" r:id="rId43"/>
    <sheet name="Tuiton Actual Rates" sheetId="138" state="hidden" r:id="rId44"/>
    <sheet name="3. Transportation Summary" sheetId="108" r:id="rId45"/>
    <sheet name="Transportation Calc" sheetId="110" r:id="rId46"/>
    <sheet name="4. Accommodation &lt;18" sheetId="99" r:id="rId47"/>
    <sheet name="4.i. Accommodation 18-21" sheetId="124" r:id="rId48"/>
    <sheet name="VTA Data" sheetId="160" r:id="rId49"/>
    <sheet name="A. 20-21 FN Schools Data" sheetId="90" r:id="rId50"/>
    <sheet name="B. 20-21 Prov&amp;Priv Enrolment&lt;22" sheetId="94" r:id="rId51"/>
    <sheet name="B.1 Accommmodation Data" sheetId="152" r:id="rId52"/>
    <sheet name="C. 20-21 Prov&amp;Priv 22+" sheetId="119" r:id="rId53"/>
    <sheet name="D. 19-20 Enrolment by FN" sheetId="93" r:id="rId54"/>
    <sheet name="E. 17-18 FRAME Budget" sheetId="112" state="hidden" r:id="rId55"/>
    <sheet name="E.2. 18-19 FRAME Budget" sheetId="127" state="hidden" r:id="rId56"/>
    <sheet name="F1. Prov School Area 1617" sheetId="38" state="hidden" r:id="rId57"/>
    <sheet name="E.3. Prov Data" sheetId="146" r:id="rId58"/>
    <sheet name="F2. Prov School Area 1718" sheetId="130" state="hidden" r:id="rId59"/>
    <sheet name="G. 17-18 Prov. Tuition Rates" sheetId="98" state="hidden" r:id="rId60"/>
    <sheet name="G2. 20-21 Prov Tuition Rates" sheetId="133" r:id="rId61"/>
    <sheet name="H. PHP Rates" sheetId="100" r:id="rId62"/>
    <sheet name="I. AAA &amp; AIL" sheetId="43" state="hidden" r:id="rId63"/>
    <sheet name="K. MB Funded Enrolment" sheetId="106" state="hidden" r:id="rId64"/>
    <sheet name="L1. 2016 PROV Enrol Report Sum" sheetId="48" state="hidden" r:id="rId65"/>
    <sheet name="M1. ENROLMENT 2016-FRONTIER" sheetId="23" state="hidden" r:id="rId66"/>
    <sheet name="M2. ENROLMENT 2017-FRONTIER" sheetId="129" state="hidden" r:id="rId67"/>
    <sheet name="N1. ENROLMENT 2016-RTSD" sheetId="22" state="hidden" r:id="rId68"/>
    <sheet name="N2. ENROLMENT 2017-RTSD" sheetId="128" state="hidden" r:id="rId69"/>
    <sheet name="O. FN Profile Data" sheetId="62" r:id="rId70"/>
    <sheet name="Q. MB Special Needs Incidence" sheetId="104" state="hidden" r:id="rId71"/>
    <sheet name="R. Travel Expenses" sheetId="105" r:id="rId72"/>
    <sheet name="S. 21-22 Transp Rates" sheetId="144" r:id="rId73"/>
    <sheet name="T. Ext of FN Language" sheetId="150" r:id="rId74"/>
    <sheet name="Menstrual Product Data" sheetId="157" r:id="rId75"/>
    <sheet name="S. 2018-19 Transp Rates" sheetId="111" state="hidden" r:id="rId76"/>
  </sheets>
  <externalReferences>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s>
  <definedNames>
    <definedName name="_CAT500" localSheetId="44">[1]Allowable!#REF!</definedName>
    <definedName name="_CAT500" localSheetId="47">[1]Allowable!#REF!</definedName>
    <definedName name="_CAT500" localSheetId="52">[1]Allowable!#REF!</definedName>
    <definedName name="_CAT500" localSheetId="57">[1]Allowable!#REF!</definedName>
    <definedName name="_CAT500" localSheetId="74">[1]Allowable!#REF!</definedName>
    <definedName name="_CAT500" localSheetId="70">[1]Allowable!#REF!</definedName>
    <definedName name="_CAT500" localSheetId="71">[1]Allowable!#REF!</definedName>
    <definedName name="_CAT500" localSheetId="75">[1]Allowable!#REF!</definedName>
    <definedName name="_CAT500" localSheetId="72">[1]Allowable!#REF!</definedName>
    <definedName name="_CAT500" localSheetId="73">[1]Allowable!#REF!</definedName>
    <definedName name="_CAT500" localSheetId="2">[1]Allowable!#REF!</definedName>
    <definedName name="_CAT500" localSheetId="0">[1]Allowable!#REF!</definedName>
    <definedName name="_CAT500">[1]Allowable!#REF!</definedName>
    <definedName name="_CAT605" localSheetId="44">[1]Allowable!#REF!</definedName>
    <definedName name="_CAT605" localSheetId="47">[1]Allowable!#REF!</definedName>
    <definedName name="_CAT605" localSheetId="57">[1]Allowable!#REF!</definedName>
    <definedName name="_CAT605" localSheetId="74">[1]Allowable!#REF!</definedName>
    <definedName name="_CAT605" localSheetId="70">[1]Allowable!#REF!</definedName>
    <definedName name="_CAT605" localSheetId="71">[1]Allowable!#REF!</definedName>
    <definedName name="_CAT605" localSheetId="75">[1]Allowable!#REF!</definedName>
    <definedName name="_CAT605" localSheetId="72">[1]Allowable!#REF!</definedName>
    <definedName name="_CAT605" localSheetId="73">[1]Allowable!#REF!</definedName>
    <definedName name="_CAT605" localSheetId="2">[1]Allowable!#REF!</definedName>
    <definedName name="_CAT605" localSheetId="0">[1]Allowable!#REF!</definedName>
    <definedName name="_CAT605">[1]Allowable!#REF!</definedName>
    <definedName name="_CAT610" localSheetId="44">[1]Allowable!#REF!</definedName>
    <definedName name="_CAT610" localSheetId="47">[1]Allowable!#REF!</definedName>
    <definedName name="_CAT610" localSheetId="57">[1]Allowable!#REF!</definedName>
    <definedName name="_CAT610" localSheetId="74">[1]Allowable!#REF!</definedName>
    <definedName name="_CAT610" localSheetId="70">[1]Allowable!#REF!</definedName>
    <definedName name="_CAT610" localSheetId="71">[1]Allowable!#REF!</definedName>
    <definedName name="_CAT610" localSheetId="75">[1]Allowable!#REF!</definedName>
    <definedName name="_CAT610" localSheetId="72">[1]Allowable!#REF!</definedName>
    <definedName name="_CAT610" localSheetId="73">[1]Allowable!#REF!</definedName>
    <definedName name="_CAT610" localSheetId="2">[1]Allowable!#REF!</definedName>
    <definedName name="_CAT610" localSheetId="0">[1]Allowable!#REF!</definedName>
    <definedName name="_CAT610">[1]Allowable!#REF!</definedName>
    <definedName name="_Fill" localSheetId="15" hidden="1">#REF!</definedName>
    <definedName name="_Fill" localSheetId="1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 localSheetId="13" hidden="1">#REF!</definedName>
    <definedName name="_Fill" localSheetId="14" hidden="1">#REF!</definedName>
    <definedName name="_Fill" localSheetId="18" hidden="1">#REF!</definedName>
    <definedName name="_Fill" localSheetId="27" hidden="1">#REF!</definedName>
    <definedName name="_Fill" localSheetId="28" hidden="1">#REF!</definedName>
    <definedName name="_Fill" localSheetId="29" hidden="1">#REF!</definedName>
    <definedName name="_Fill" localSheetId="30" hidden="1">#REF!</definedName>
    <definedName name="_Fill" localSheetId="19" hidden="1">#REF!</definedName>
    <definedName name="_Fill" localSheetId="20" hidden="1">#REF!</definedName>
    <definedName name="_Fill" localSheetId="21" hidden="1">#REF!</definedName>
    <definedName name="_Fill" localSheetId="22" hidden="1">#REF!</definedName>
    <definedName name="_Fill" localSheetId="23" hidden="1">#REF!</definedName>
    <definedName name="_Fill" localSheetId="24" hidden="1">#REF!</definedName>
    <definedName name="_Fill" localSheetId="25" hidden="1">#REF!</definedName>
    <definedName name="_Fill" localSheetId="26" hidden="1">#REF!</definedName>
    <definedName name="_Fill" localSheetId="44" hidden="1">#REF!</definedName>
    <definedName name="_Fill" localSheetId="57" hidden="1">#REF!</definedName>
    <definedName name="_Fill" localSheetId="64" hidden="1">#REF!</definedName>
    <definedName name="_Fill" localSheetId="65" hidden="1">#REF!</definedName>
    <definedName name="_Fill" localSheetId="66" hidden="1">#REF!</definedName>
    <definedName name="_Fill" localSheetId="74" hidden="1">#REF!</definedName>
    <definedName name="_Fill" localSheetId="36" hidden="1">#REF!</definedName>
    <definedName name="_Fill" localSheetId="67" hidden="1">#REF!</definedName>
    <definedName name="_Fill" localSheetId="68" hidden="1">#REF!</definedName>
    <definedName name="_Fill" localSheetId="38" hidden="1">#REF!</definedName>
    <definedName name="_Fill" localSheetId="40" hidden="1">#REF!</definedName>
    <definedName name="_Fill" localSheetId="37" hidden="1">#REF!</definedName>
    <definedName name="_Fill" localSheetId="70" hidden="1">#REF!</definedName>
    <definedName name="_Fill" localSheetId="71" hidden="1">#REF!</definedName>
    <definedName name="_Fill" localSheetId="75" hidden="1">#REF!</definedName>
    <definedName name="_Fill" localSheetId="72" hidden="1">#REF!</definedName>
    <definedName name="_Fill" localSheetId="73" hidden="1">#REF!</definedName>
    <definedName name="_Fill" localSheetId="2" hidden="1">#REF!</definedName>
    <definedName name="_Fill" localSheetId="0" hidden="1">#REF!</definedName>
    <definedName name="_Fill" hidden="1">#REF!</definedName>
    <definedName name="_xlnm._FilterDatabase" localSheetId="49" hidden="1">'A. 20-21 FN Schools Data'!#REF!</definedName>
    <definedName name="_xlnm._FilterDatabase" localSheetId="50" hidden="1">'B. 20-21 Prov&amp;Priv Enrolment&lt;22'!$A$752:$T$818</definedName>
    <definedName name="_xlnm._FilterDatabase" localSheetId="52" hidden="1">'C. 20-21 Prov&amp;Priv 22+'!$A$424:$AD$631</definedName>
    <definedName name="_ftn1" localSheetId="38">'Other Revenue'!$H$20</definedName>
    <definedName name="_ftn1" localSheetId="40">Pensions!$H$18</definedName>
    <definedName name="_ftn1" localSheetId="37">'Property Tax'!#REF!</definedName>
    <definedName name="_ftnref1" localSheetId="61">'H. PHP Rates'!$F$12</definedName>
    <definedName name="_ftnref1" localSheetId="38">'Other Revenue'!$H$14</definedName>
    <definedName name="_ftnref1" localSheetId="40">Pensions!$H$14</definedName>
    <definedName name="_ftnref1" localSheetId="37">'Property Tax'!#REF!</definedName>
    <definedName name="_ftnref2" localSheetId="61">'H. PHP Rates'!$F$14</definedName>
    <definedName name="_Key1" localSheetId="15" hidden="1">#REF!</definedName>
    <definedName name="_Key1" localSheetId="1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2" hidden="1">#REF!</definedName>
    <definedName name="_Key1" localSheetId="13" hidden="1">#REF!</definedName>
    <definedName name="_Key1" localSheetId="14" hidden="1">#REF!</definedName>
    <definedName name="_Key1" localSheetId="18" hidden="1">#REF!</definedName>
    <definedName name="_Key1" localSheetId="27" hidden="1">#REF!</definedName>
    <definedName name="_Key1" localSheetId="28" hidden="1">#REF!</definedName>
    <definedName name="_Key1" localSheetId="29" hidden="1">#REF!</definedName>
    <definedName name="_Key1" localSheetId="30" hidden="1">#REF!</definedName>
    <definedName name="_Key1" localSheetId="19" hidden="1">#REF!</definedName>
    <definedName name="_Key1" localSheetId="20" hidden="1">#REF!</definedName>
    <definedName name="_Key1" localSheetId="21" hidden="1">#REF!</definedName>
    <definedName name="_Key1" localSheetId="22" hidden="1">#REF!</definedName>
    <definedName name="_Key1" localSheetId="23" hidden="1">#REF!</definedName>
    <definedName name="_Key1" localSheetId="24" hidden="1">#REF!</definedName>
    <definedName name="_Key1" localSheetId="25" hidden="1">#REF!</definedName>
    <definedName name="_Key1" localSheetId="26" hidden="1">#REF!</definedName>
    <definedName name="_Key1" localSheetId="44" hidden="1">#REF!</definedName>
    <definedName name="_Key1" localSheetId="57" hidden="1">#REF!</definedName>
    <definedName name="_Key1" localSheetId="64" hidden="1">#REF!</definedName>
    <definedName name="_Key1" localSheetId="66" hidden="1">#REF!</definedName>
    <definedName name="_Key1" localSheetId="74" hidden="1">#REF!</definedName>
    <definedName name="_Key1" localSheetId="36" hidden="1">#REF!</definedName>
    <definedName name="_Key1" localSheetId="68" hidden="1">#REF!</definedName>
    <definedName name="_Key1" localSheetId="38" hidden="1">#REF!</definedName>
    <definedName name="_Key1" localSheetId="40" hidden="1">#REF!</definedName>
    <definedName name="_Key1" localSheetId="37" hidden="1">#REF!</definedName>
    <definedName name="_Key1" localSheetId="70" hidden="1">#REF!</definedName>
    <definedName name="_Key1" localSheetId="71" hidden="1">#REF!</definedName>
    <definedName name="_Key1" localSheetId="72" hidden="1">#REF!</definedName>
    <definedName name="_Key1" localSheetId="73" hidden="1">#REF!</definedName>
    <definedName name="_Key1" localSheetId="2" hidden="1">#REF!</definedName>
    <definedName name="_Key1" localSheetId="0" hidden="1">#REF!</definedName>
    <definedName name="_Key1" hidden="1">#REF!</definedName>
    <definedName name="_Key1011">[2]Master!$A$1:$A$65536</definedName>
    <definedName name="_OE100">'[1]100'!$GW$11</definedName>
    <definedName name="_OE200">'[1]200'!$HA$11</definedName>
    <definedName name="_OE220" localSheetId="44">'[1]200'!#REF!</definedName>
    <definedName name="_OE220" localSheetId="52">'[1]200'!#REF!</definedName>
    <definedName name="_OE220" localSheetId="57">'[1]200'!#REF!</definedName>
    <definedName name="_OE220" localSheetId="74">'[1]200'!#REF!</definedName>
    <definedName name="_OE220" localSheetId="75">'[1]200'!#REF!</definedName>
    <definedName name="_OE220" localSheetId="72">'[1]200'!#REF!</definedName>
    <definedName name="_OE220" localSheetId="73">'[1]200'!#REF!</definedName>
    <definedName name="_OE220" localSheetId="2">'[1]200'!#REF!</definedName>
    <definedName name="_OE220" localSheetId="0">'[1]200'!#REF!</definedName>
    <definedName name="_OE220">'[1]200'!#REF!</definedName>
    <definedName name="_OE2233" localSheetId="44">'[1]200'!#REF!</definedName>
    <definedName name="_OE2233" localSheetId="57">'[1]200'!#REF!</definedName>
    <definedName name="_OE2233" localSheetId="74">'[1]200'!#REF!</definedName>
    <definedName name="_OE2233" localSheetId="75">'[1]200'!#REF!</definedName>
    <definedName name="_OE2233" localSheetId="72">'[1]200'!#REF!</definedName>
    <definedName name="_OE2233" localSheetId="73">'[1]200'!#REF!</definedName>
    <definedName name="_OE2233" localSheetId="2">'[1]200'!#REF!</definedName>
    <definedName name="_OE2233" localSheetId="0">'[1]200'!#REF!</definedName>
    <definedName name="_OE2233">'[1]200'!#REF!</definedName>
    <definedName name="_OE2235" localSheetId="44">'[1]200'!#REF!</definedName>
    <definedName name="_OE2235" localSheetId="57">'[1]200'!#REF!</definedName>
    <definedName name="_OE2235" localSheetId="74">'[1]200'!#REF!</definedName>
    <definedName name="_OE2235" localSheetId="75">'[1]200'!#REF!</definedName>
    <definedName name="_OE2235" localSheetId="72">'[1]200'!#REF!</definedName>
    <definedName name="_OE2235" localSheetId="73">'[1]200'!#REF!</definedName>
    <definedName name="_OE2235" localSheetId="2">'[1]200'!#REF!</definedName>
    <definedName name="_OE2235" localSheetId="0">'[1]200'!#REF!</definedName>
    <definedName name="_OE2235">'[1]200'!#REF!</definedName>
    <definedName name="_OE2236" localSheetId="44">'[1]200'!#REF!</definedName>
    <definedName name="_OE2236" localSheetId="57">'[1]200'!#REF!</definedName>
    <definedName name="_OE2236" localSheetId="74">'[1]200'!#REF!</definedName>
    <definedName name="_OE2236" localSheetId="75">'[1]200'!#REF!</definedName>
    <definedName name="_OE2236" localSheetId="72">'[1]200'!#REF!</definedName>
    <definedName name="_OE2236" localSheetId="73">'[1]200'!#REF!</definedName>
    <definedName name="_OE2236" localSheetId="2">'[1]200'!#REF!</definedName>
    <definedName name="_OE2236" localSheetId="0">'[1]200'!#REF!</definedName>
    <definedName name="_OE2236">'[1]200'!#REF!</definedName>
    <definedName name="_OE2239" localSheetId="44">'[1]200'!#REF!</definedName>
    <definedName name="_OE2239" localSheetId="57">'[1]200'!#REF!</definedName>
    <definedName name="_OE2239" localSheetId="74">'[1]200'!#REF!</definedName>
    <definedName name="_OE2239" localSheetId="72">'[1]200'!#REF!</definedName>
    <definedName name="_OE2239" localSheetId="73">'[1]200'!#REF!</definedName>
    <definedName name="_OE2239" localSheetId="2">'[1]200'!#REF!</definedName>
    <definedName name="_OE2239" localSheetId="0">'[1]200'!#REF!</definedName>
    <definedName name="_OE2239">'[1]200'!#REF!</definedName>
    <definedName name="_OE2251" localSheetId="44">'[1]200'!#REF!</definedName>
    <definedName name="_OE2251" localSheetId="57">'[1]200'!#REF!</definedName>
    <definedName name="_OE2251" localSheetId="74">'[1]200'!#REF!</definedName>
    <definedName name="_OE2251" localSheetId="72">'[1]200'!#REF!</definedName>
    <definedName name="_OE2251" localSheetId="73">'[1]200'!#REF!</definedName>
    <definedName name="_OE2251" localSheetId="2">'[1]200'!#REF!</definedName>
    <definedName name="_OE2251" localSheetId="0">'[1]200'!#REF!</definedName>
    <definedName name="_OE2251">'[1]200'!#REF!</definedName>
    <definedName name="_OE2252" localSheetId="44">'[1]200'!#REF!</definedName>
    <definedName name="_OE2252" localSheetId="57">'[1]200'!#REF!</definedName>
    <definedName name="_OE2252" localSheetId="74">'[1]200'!#REF!</definedName>
    <definedName name="_OE2252" localSheetId="72">'[1]200'!#REF!</definedName>
    <definedName name="_OE2252" localSheetId="73">'[1]200'!#REF!</definedName>
    <definedName name="_OE2252" localSheetId="2">'[1]200'!#REF!</definedName>
    <definedName name="_OE2252" localSheetId="0">'[1]200'!#REF!</definedName>
    <definedName name="_OE2252">'[1]200'!#REF!</definedName>
    <definedName name="_OE2254" localSheetId="44">'[1]200'!#REF!</definedName>
    <definedName name="_OE2254" localSheetId="57">'[1]200'!#REF!</definedName>
    <definedName name="_OE2254" localSheetId="74">'[1]200'!#REF!</definedName>
    <definedName name="_OE2254" localSheetId="72">'[1]200'!#REF!</definedName>
    <definedName name="_OE2254" localSheetId="73">'[1]200'!#REF!</definedName>
    <definedName name="_OE2254" localSheetId="2">'[1]200'!#REF!</definedName>
    <definedName name="_OE2254" localSheetId="0">'[1]200'!#REF!</definedName>
    <definedName name="_OE2254">'[1]200'!#REF!</definedName>
    <definedName name="_OE2256" localSheetId="44">'[1]200'!#REF!</definedName>
    <definedName name="_OE2256" localSheetId="57">'[1]200'!#REF!</definedName>
    <definedName name="_OE2256" localSheetId="74">'[1]200'!#REF!</definedName>
    <definedName name="_OE2256" localSheetId="72">'[1]200'!#REF!</definedName>
    <definedName name="_OE2256" localSheetId="73">'[1]200'!#REF!</definedName>
    <definedName name="_OE2256" localSheetId="2">'[1]200'!#REF!</definedName>
    <definedName name="_OE2256" localSheetId="0">'[1]200'!#REF!</definedName>
    <definedName name="_OE2256">'[1]200'!#REF!</definedName>
    <definedName name="_OE2257" localSheetId="44">'[1]200'!#REF!</definedName>
    <definedName name="_OE2257" localSheetId="57">'[1]200'!#REF!</definedName>
    <definedName name="_OE2257" localSheetId="74">'[1]200'!#REF!</definedName>
    <definedName name="_OE2257" localSheetId="72">'[1]200'!#REF!</definedName>
    <definedName name="_OE2257" localSheetId="73">'[1]200'!#REF!</definedName>
    <definedName name="_OE2257" localSheetId="2">'[1]200'!#REF!</definedName>
    <definedName name="_OE2257" localSheetId="0">'[1]200'!#REF!</definedName>
    <definedName name="_OE2257">'[1]200'!#REF!</definedName>
    <definedName name="_OE2258" localSheetId="44">'[1]200'!#REF!</definedName>
    <definedName name="_OE2258" localSheetId="57">'[1]200'!#REF!</definedName>
    <definedName name="_OE2258" localSheetId="74">'[1]200'!#REF!</definedName>
    <definedName name="_OE2258" localSheetId="72">'[1]200'!#REF!</definedName>
    <definedName name="_OE2258" localSheetId="73">'[1]200'!#REF!</definedName>
    <definedName name="_OE2258" localSheetId="2">'[1]200'!#REF!</definedName>
    <definedName name="_OE2258" localSheetId="0">'[1]200'!#REF!</definedName>
    <definedName name="_OE2258">'[1]200'!#REF!</definedName>
    <definedName name="_OE2259" localSheetId="44">'[1]200'!#REF!</definedName>
    <definedName name="_OE2259" localSheetId="57">'[1]200'!#REF!</definedName>
    <definedName name="_OE2259" localSheetId="74">'[1]200'!#REF!</definedName>
    <definedName name="_OE2259" localSheetId="72">'[1]200'!#REF!</definedName>
    <definedName name="_OE2259" localSheetId="73">'[1]200'!#REF!</definedName>
    <definedName name="_OE2259" localSheetId="2">'[1]200'!#REF!</definedName>
    <definedName name="_OE2259" localSheetId="0">'[1]200'!#REF!</definedName>
    <definedName name="_OE2259">'[1]200'!#REF!</definedName>
    <definedName name="_OE2261" localSheetId="44">'[1]200'!#REF!</definedName>
    <definedName name="_OE2261" localSheetId="57">'[1]200'!#REF!</definedName>
    <definedName name="_OE2261" localSheetId="74">'[1]200'!#REF!</definedName>
    <definedName name="_OE2261" localSheetId="72">'[1]200'!#REF!</definedName>
    <definedName name="_OE2261" localSheetId="73">'[1]200'!#REF!</definedName>
    <definedName name="_OE2261" localSheetId="2">'[1]200'!#REF!</definedName>
    <definedName name="_OE2261" localSheetId="0">'[1]200'!#REF!</definedName>
    <definedName name="_OE2261">'[1]200'!#REF!</definedName>
    <definedName name="_OE2263" localSheetId="44">'[1]200'!#REF!</definedName>
    <definedName name="_OE2263" localSheetId="57">'[1]200'!#REF!</definedName>
    <definedName name="_OE2263" localSheetId="74">'[1]200'!#REF!</definedName>
    <definedName name="_OE2263" localSheetId="72">'[1]200'!#REF!</definedName>
    <definedName name="_OE2263" localSheetId="73">'[1]200'!#REF!</definedName>
    <definedName name="_OE2263" localSheetId="2">'[1]200'!#REF!</definedName>
    <definedName name="_OE2263" localSheetId="0">'[1]200'!#REF!</definedName>
    <definedName name="_OE2263">'[1]200'!#REF!</definedName>
    <definedName name="_OE2264" localSheetId="44">'[1]200'!#REF!</definedName>
    <definedName name="_OE2264" localSheetId="57">'[1]200'!#REF!</definedName>
    <definedName name="_OE2264" localSheetId="74">'[1]200'!#REF!</definedName>
    <definedName name="_OE2264" localSheetId="72">'[1]200'!#REF!</definedName>
    <definedName name="_OE2264" localSheetId="73">'[1]200'!#REF!</definedName>
    <definedName name="_OE2264" localSheetId="2">'[1]200'!#REF!</definedName>
    <definedName name="_OE2264" localSheetId="0">'[1]200'!#REF!</definedName>
    <definedName name="_OE2264">'[1]200'!#REF!</definedName>
    <definedName name="_OE2265" localSheetId="44">'[1]200'!#REF!</definedName>
    <definedName name="_OE2265" localSheetId="57">'[1]200'!#REF!</definedName>
    <definedName name="_OE2265" localSheetId="74">'[1]200'!#REF!</definedName>
    <definedName name="_OE2265" localSheetId="72">'[1]200'!#REF!</definedName>
    <definedName name="_OE2265" localSheetId="73">'[1]200'!#REF!</definedName>
    <definedName name="_OE2265" localSheetId="2">'[1]200'!#REF!</definedName>
    <definedName name="_OE2265" localSheetId="0">'[1]200'!#REF!</definedName>
    <definedName name="_OE2265">'[1]200'!#REF!</definedName>
    <definedName name="_OE2268" localSheetId="44">'[1]200'!#REF!</definedName>
    <definedName name="_OE2268" localSheetId="57">'[1]200'!#REF!</definedName>
    <definedName name="_OE2268" localSheetId="74">'[1]200'!#REF!</definedName>
    <definedName name="_OE2268" localSheetId="72">'[1]200'!#REF!</definedName>
    <definedName name="_OE2268" localSheetId="73">'[1]200'!#REF!</definedName>
    <definedName name="_OE2268" localSheetId="2">'[1]200'!#REF!</definedName>
    <definedName name="_OE2268" localSheetId="0">'[1]200'!#REF!</definedName>
    <definedName name="_OE2268">'[1]200'!#REF!</definedName>
    <definedName name="_OE2271" localSheetId="44">'[1]200'!#REF!</definedName>
    <definedName name="_OE2271" localSheetId="57">'[1]200'!#REF!</definedName>
    <definedName name="_OE2271" localSheetId="74">'[1]200'!#REF!</definedName>
    <definedName name="_OE2271" localSheetId="72">'[1]200'!#REF!</definedName>
    <definedName name="_OE2271" localSheetId="73">'[1]200'!#REF!</definedName>
    <definedName name="_OE2271" localSheetId="2">'[1]200'!#REF!</definedName>
    <definedName name="_OE2271" localSheetId="0">'[1]200'!#REF!</definedName>
    <definedName name="_OE2271">'[1]200'!#REF!</definedName>
    <definedName name="_OE2274" localSheetId="44">'[1]200'!#REF!</definedName>
    <definedName name="_OE2274" localSheetId="57">'[1]200'!#REF!</definedName>
    <definedName name="_OE2274" localSheetId="74">'[1]200'!#REF!</definedName>
    <definedName name="_OE2274" localSheetId="72">'[1]200'!#REF!</definedName>
    <definedName name="_OE2274" localSheetId="73">'[1]200'!#REF!</definedName>
    <definedName name="_OE2274" localSheetId="2">'[1]200'!#REF!</definedName>
    <definedName name="_OE2274" localSheetId="0">'[1]200'!#REF!</definedName>
    <definedName name="_OE2274">'[1]200'!#REF!</definedName>
    <definedName name="_OE2276" localSheetId="44">'[1]200'!#REF!</definedName>
    <definedName name="_OE2276" localSheetId="57">'[1]200'!#REF!</definedName>
    <definedName name="_OE2276" localSheetId="74">'[1]200'!#REF!</definedName>
    <definedName name="_OE2276" localSheetId="72">'[1]200'!#REF!</definedName>
    <definedName name="_OE2276" localSheetId="73">'[1]200'!#REF!</definedName>
    <definedName name="_OE2276" localSheetId="2">'[1]200'!#REF!</definedName>
    <definedName name="_OE2276" localSheetId="0">'[1]200'!#REF!</definedName>
    <definedName name="_OE2276">'[1]200'!#REF!</definedName>
    <definedName name="_OE2278" localSheetId="44">'[1]200'!#REF!</definedName>
    <definedName name="_OE2278" localSheetId="57">'[1]200'!#REF!</definedName>
    <definedName name="_OE2278" localSheetId="74">'[1]200'!#REF!</definedName>
    <definedName name="_OE2278" localSheetId="72">'[1]200'!#REF!</definedName>
    <definedName name="_OE2278" localSheetId="73">'[1]200'!#REF!</definedName>
    <definedName name="_OE2278" localSheetId="2">'[1]200'!#REF!</definedName>
    <definedName name="_OE2278" localSheetId="0">'[1]200'!#REF!</definedName>
    <definedName name="_OE2278">'[1]200'!#REF!</definedName>
    <definedName name="_OE300">'[1]300'!$CQ$11</definedName>
    <definedName name="_OE400">'[1]400'!$ET$11</definedName>
    <definedName name="_OE4358" localSheetId="44">'[1]400'!#REF!</definedName>
    <definedName name="_OE4358" localSheetId="52">'[1]400'!#REF!</definedName>
    <definedName name="_OE4358" localSheetId="57">'[1]400'!#REF!</definedName>
    <definedName name="_OE4358" localSheetId="74">'[1]400'!#REF!</definedName>
    <definedName name="_OE4358" localSheetId="75">'[1]400'!#REF!</definedName>
    <definedName name="_OE4358" localSheetId="72">'[1]400'!#REF!</definedName>
    <definedName name="_OE4358" localSheetId="73">'[1]400'!#REF!</definedName>
    <definedName name="_OE4358" localSheetId="2">'[1]400'!#REF!</definedName>
    <definedName name="_OE4358" localSheetId="0">'[1]400'!#REF!</definedName>
    <definedName name="_OE4358">'[1]400'!#REF!</definedName>
    <definedName name="_OE500">'[1]500'!$EH$11</definedName>
    <definedName name="_OE600">'[1]600'!$FM$11</definedName>
    <definedName name="_OE700">'[1]700'!$EX$11</definedName>
    <definedName name="_OE800">'[1]800'!$FB$11</definedName>
    <definedName name="_OE8157">'[1]800'!$L$11</definedName>
    <definedName name="_OE8198">'[1]800'!$Z$11</definedName>
    <definedName name="_OE8798">'[1]800'!$CZ$11</definedName>
    <definedName name="_OE8898">'[1]800'!$DV$11</definedName>
    <definedName name="_OE8998">'[1]800'!$BA$11</definedName>
    <definedName name="_OE900">'[1]900'!$F$11</definedName>
    <definedName name="_Order1" localSheetId="64" hidden="1">255</definedName>
    <definedName name="_Order1" localSheetId="65" hidden="1">255</definedName>
    <definedName name="_Order1" localSheetId="66" hidden="1">255</definedName>
    <definedName name="_Order1" localSheetId="67" hidden="1">255</definedName>
    <definedName name="_Order1" localSheetId="68" hidden="1">255</definedName>
    <definedName name="_Order1" hidden="1">0</definedName>
    <definedName name="_Sort" localSheetId="15" hidden="1">#REF!</definedName>
    <definedName name="_Sort" localSheetId="1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2" hidden="1">#REF!</definedName>
    <definedName name="_Sort" localSheetId="13" hidden="1">#REF!</definedName>
    <definedName name="_Sort" localSheetId="14" hidden="1">#REF!</definedName>
    <definedName name="_Sort" localSheetId="18" hidden="1">#REF!</definedName>
    <definedName name="_Sort" localSheetId="27" hidden="1">#REF!</definedName>
    <definedName name="_Sort" localSheetId="28" hidden="1">#REF!</definedName>
    <definedName name="_Sort" localSheetId="29" hidden="1">#REF!</definedName>
    <definedName name="_Sort" localSheetId="30" hidden="1">#REF!</definedName>
    <definedName name="_Sort" localSheetId="19" hidden="1">#REF!</definedName>
    <definedName name="_Sort" localSheetId="20" hidden="1">#REF!</definedName>
    <definedName name="_Sort" localSheetId="21" hidden="1">#REF!</definedName>
    <definedName name="_Sort" localSheetId="22" hidden="1">#REF!</definedName>
    <definedName name="_Sort" localSheetId="23" hidden="1">#REF!</definedName>
    <definedName name="_Sort" localSheetId="24" hidden="1">#REF!</definedName>
    <definedName name="_Sort" localSheetId="25" hidden="1">#REF!</definedName>
    <definedName name="_Sort" localSheetId="26" hidden="1">#REF!</definedName>
    <definedName name="_Sort" localSheetId="44" hidden="1">#REF!</definedName>
    <definedName name="_Sort" localSheetId="57" hidden="1">#REF!</definedName>
    <definedName name="_Sort" localSheetId="64" hidden="1">#REF!</definedName>
    <definedName name="_Sort" localSheetId="66" hidden="1">#REF!</definedName>
    <definedName name="_Sort" localSheetId="74" hidden="1">#REF!</definedName>
    <definedName name="_Sort" localSheetId="36" hidden="1">#REF!</definedName>
    <definedName name="_Sort" localSheetId="68" hidden="1">#REF!</definedName>
    <definedName name="_Sort" localSheetId="38" hidden="1">#REF!</definedName>
    <definedName name="_Sort" localSheetId="40" hidden="1">#REF!</definedName>
    <definedName name="_Sort" localSheetId="37" hidden="1">#REF!</definedName>
    <definedName name="_Sort" localSheetId="70" hidden="1">#REF!</definedName>
    <definedName name="_Sort" localSheetId="71" hidden="1">#REF!</definedName>
    <definedName name="_Sort" localSheetId="75" hidden="1">#REF!</definedName>
    <definedName name="_Sort" localSheetId="72" hidden="1">#REF!</definedName>
    <definedName name="_Sort" localSheetId="73" hidden="1">#REF!</definedName>
    <definedName name="_Sort" localSheetId="2" hidden="1">#REF!</definedName>
    <definedName name="_Sort" localSheetId="0" hidden="1">#REF!</definedName>
    <definedName name="_Sort" hidden="1">#REF!</definedName>
    <definedName name="_TaxAllocationNew" localSheetId="74" hidden="1">#REF!</definedName>
    <definedName name="_TaxAllocationNew" localSheetId="73" hidden="1">#REF!</definedName>
    <definedName name="_TaxAllocationNew" localSheetId="0" hidden="1">#REF!</definedName>
    <definedName name="_TaxAllocationNew" hidden="1">#REF!</definedName>
    <definedName name="_Toc460573862" localSheetId="4">'FNSS SUMMARY'!$F$9</definedName>
    <definedName name="_Toc460573863" localSheetId="4">'FNSS SUMMARY'!$F$11</definedName>
    <definedName name="AAA" localSheetId="47">#REF!</definedName>
    <definedName name="AAA" localSheetId="52">#REF!</definedName>
    <definedName name="AAA" localSheetId="57">#REF!</definedName>
    <definedName name="AAA" localSheetId="74">#REF!</definedName>
    <definedName name="AAA" localSheetId="72">#REF!</definedName>
    <definedName name="AAA" localSheetId="73">#REF!</definedName>
    <definedName name="AAA" localSheetId="2">#REF!</definedName>
    <definedName name="AAA" localSheetId="0">#REF!</definedName>
    <definedName name="AAA">#REF!</definedName>
    <definedName name="ADDEQUAL" localSheetId="47">#REF!</definedName>
    <definedName name="ADDEQUAL" localSheetId="52">#REF!</definedName>
    <definedName name="ADDEQUAL" localSheetId="57">#REF!</definedName>
    <definedName name="ADDEQUAL" localSheetId="74">#REF!</definedName>
    <definedName name="ADDEQUAL" localSheetId="72">#REF!</definedName>
    <definedName name="ADDEQUAL" localSheetId="73">#REF!</definedName>
    <definedName name="ADDEQUAL" localSheetId="2">#REF!</definedName>
    <definedName name="ADDEQUAL" localSheetId="0">#REF!</definedName>
    <definedName name="ADDEQUAL">#REF!</definedName>
    <definedName name="ADDRESS" localSheetId="72">#REF!</definedName>
    <definedName name="ADDRESS" localSheetId="0">#REF!</definedName>
    <definedName name="ADDRESS">#REF!</definedName>
    <definedName name="AEXP_BF" localSheetId="27">#REF!</definedName>
    <definedName name="AEXP_BF" localSheetId="28">#REF!</definedName>
    <definedName name="AEXP_BF" localSheetId="29">#REF!</definedName>
    <definedName name="AEXP_BF" localSheetId="30">#REF!</definedName>
    <definedName name="AEXP_BF" localSheetId="44">#REF!</definedName>
    <definedName name="AEXP_BF" localSheetId="52">#REF!</definedName>
    <definedName name="AEXP_BF" localSheetId="57">#REF!</definedName>
    <definedName name="AEXP_BF" localSheetId="61">'[3]- 15 -'!$B$2</definedName>
    <definedName name="AEXP_BF" localSheetId="74">#REF!</definedName>
    <definedName name="AEXP_BF" localSheetId="36">#REF!</definedName>
    <definedName name="AEXP_BF" localSheetId="38">#REF!</definedName>
    <definedName name="AEXP_BF" localSheetId="40">#REF!</definedName>
    <definedName name="AEXP_BF" localSheetId="37">#REF!</definedName>
    <definedName name="AEXP_BF" localSheetId="70">#REF!</definedName>
    <definedName name="AEXP_BF" localSheetId="71">#REF!</definedName>
    <definedName name="AEXP_BF" localSheetId="75">#REF!</definedName>
    <definedName name="AEXP_BF" localSheetId="72">#REF!</definedName>
    <definedName name="AEXP_BF" localSheetId="73">#REF!</definedName>
    <definedName name="AEXP_BF" localSheetId="2">#REF!</definedName>
    <definedName name="AEXP_BF" localSheetId="0">#REF!</definedName>
    <definedName name="AEXP_BF">#REF!</definedName>
    <definedName name="AEXP_BP" localSheetId="27">#REF!</definedName>
    <definedName name="AEXP_BP" localSheetId="28">#REF!</definedName>
    <definedName name="AEXP_BP" localSheetId="29">#REF!</definedName>
    <definedName name="AEXP_BP" localSheetId="30">#REF!</definedName>
    <definedName name="AEXP_BP" localSheetId="44">#REF!</definedName>
    <definedName name="AEXP_BP" localSheetId="52">#REF!</definedName>
    <definedName name="AEXP_BP" localSheetId="57">#REF!</definedName>
    <definedName name="AEXP_BP" localSheetId="61">'[3]- 18 -'!$B$2</definedName>
    <definedName name="AEXP_BP" localSheetId="74">#REF!</definedName>
    <definedName name="AEXP_BP" localSheetId="36">#REF!</definedName>
    <definedName name="AEXP_BP" localSheetId="38">#REF!</definedName>
    <definedName name="AEXP_BP" localSheetId="40">#REF!</definedName>
    <definedName name="AEXP_BP" localSheetId="37">#REF!</definedName>
    <definedName name="AEXP_BP" localSheetId="70">#REF!</definedName>
    <definedName name="AEXP_BP" localSheetId="71">#REF!</definedName>
    <definedName name="AEXP_BP" localSheetId="72">#REF!</definedName>
    <definedName name="AEXP_BP" localSheetId="73">#REF!</definedName>
    <definedName name="AEXP_BP" localSheetId="2">#REF!</definedName>
    <definedName name="AEXP_BP" localSheetId="0">#REF!</definedName>
    <definedName name="AEXP_BP">#REF!</definedName>
    <definedName name="ALC" localSheetId="57">#REF!</definedName>
    <definedName name="ALC" localSheetId="74">#REF!</definedName>
    <definedName name="ALC" localSheetId="72">#REF!</definedName>
    <definedName name="ALC" localSheetId="73">#REF!</definedName>
    <definedName name="ALC" localSheetId="2">#REF!</definedName>
    <definedName name="ALC" localSheetId="0">#REF!</definedName>
    <definedName name="ALC">#REF!</definedName>
    <definedName name="AMALGAM" localSheetId="44">#REF!</definedName>
    <definedName name="AMALGAM" localSheetId="47">#REF!</definedName>
    <definedName name="AMALGAM" localSheetId="52">'[4]S. 2016-17 FRAME Budget'!#REF!</definedName>
    <definedName name="AMALGAM" localSheetId="57">#REF!</definedName>
    <definedName name="AMALGAM" localSheetId="74">#REF!</definedName>
    <definedName name="AMALGAM" localSheetId="70">#REF!</definedName>
    <definedName name="AMALGAM" localSheetId="71">#REF!</definedName>
    <definedName name="AMALGAM" localSheetId="75">'[5]2016-17 FRAME Budget'!#REF!</definedName>
    <definedName name="AMALGAM" localSheetId="72">'[5]2016-17 FRAME Budget'!#REF!</definedName>
    <definedName name="AMALGAM" localSheetId="73">#REF!</definedName>
    <definedName name="AMALGAM" localSheetId="2">#REF!</definedName>
    <definedName name="AMALGAM" localSheetId="0">#REF!</definedName>
    <definedName name="AMALGAM">#REF!</definedName>
    <definedName name="ARLU_Key">'[2]ARLU &amp; HQ Changes'!$A$1:$A$65536</definedName>
    <definedName name="ARLU_Value">'[2]ARLU &amp; HQ Changes'!$F$1:$F$65536</definedName>
    <definedName name="Authority">[2]Lookups!$D$1:$F$124</definedName>
    <definedName name="BA_Desc">[2]Lookups!$H$1:$N$65536</definedName>
    <definedName name="badesc">'[6]11-12 BA lookup'!$A$1:$J$65536</definedName>
    <definedName name="badesc2" localSheetId="15">#REF!</definedName>
    <definedName name="badesc2" localSheetId="16">#REF!</definedName>
    <definedName name="badesc2" localSheetId="7">#REF!</definedName>
    <definedName name="badesc2" localSheetId="8">#REF!</definedName>
    <definedName name="badesc2" localSheetId="9">#REF!</definedName>
    <definedName name="badesc2" localSheetId="10">#REF!</definedName>
    <definedName name="badesc2" localSheetId="11">#REF!</definedName>
    <definedName name="badesc2" localSheetId="12">#REF!</definedName>
    <definedName name="badesc2" localSheetId="13">#REF!</definedName>
    <definedName name="badesc2" localSheetId="14">#REF!</definedName>
    <definedName name="badesc2" localSheetId="18">#REF!</definedName>
    <definedName name="badesc2" localSheetId="27">#REF!</definedName>
    <definedName name="badesc2" localSheetId="28">#REF!</definedName>
    <definedName name="badesc2" localSheetId="29">#REF!</definedName>
    <definedName name="badesc2" localSheetId="30">#REF!</definedName>
    <definedName name="badesc2" localSheetId="19">#REF!</definedName>
    <definedName name="badesc2" localSheetId="20">#REF!</definedName>
    <definedName name="badesc2" localSheetId="21">#REF!</definedName>
    <definedName name="badesc2" localSheetId="22">#REF!</definedName>
    <definedName name="badesc2" localSheetId="23">#REF!</definedName>
    <definedName name="badesc2" localSheetId="24">#REF!</definedName>
    <definedName name="badesc2" localSheetId="25">#REF!</definedName>
    <definedName name="badesc2" localSheetId="26">#REF!</definedName>
    <definedName name="badesc2" localSheetId="44">#REF!</definedName>
    <definedName name="badesc2" localSheetId="57">#REF!</definedName>
    <definedName name="badesc2" localSheetId="74">#REF!</definedName>
    <definedName name="badesc2" localSheetId="36">#REF!</definedName>
    <definedName name="badesc2" localSheetId="38">#REF!</definedName>
    <definedName name="badesc2" localSheetId="40">#REF!</definedName>
    <definedName name="badesc2" localSheetId="37">#REF!</definedName>
    <definedName name="badesc2" localSheetId="70">#REF!</definedName>
    <definedName name="badesc2" localSheetId="71">#REF!</definedName>
    <definedName name="badesc2" localSheetId="75">#REF!</definedName>
    <definedName name="badesc2" localSheetId="72">#REF!</definedName>
    <definedName name="badesc2" localSheetId="73">#REF!</definedName>
    <definedName name="badesc2" localSheetId="2">#REF!</definedName>
    <definedName name="badesc2" localSheetId="0">#REF!</definedName>
    <definedName name="badesc2">#REF!</definedName>
    <definedName name="badesc3">[7]lookup2!$A$1:$J$65536</definedName>
    <definedName name="balookup" localSheetId="15">#REF!</definedName>
    <definedName name="balookup" localSheetId="16">#REF!</definedName>
    <definedName name="balookup" localSheetId="7">#REF!</definedName>
    <definedName name="balookup" localSheetId="8">#REF!</definedName>
    <definedName name="balookup" localSheetId="9">#REF!</definedName>
    <definedName name="balookup" localSheetId="10">#REF!</definedName>
    <definedName name="balookup" localSheetId="11">#REF!</definedName>
    <definedName name="balookup" localSheetId="12">#REF!</definedName>
    <definedName name="balookup" localSheetId="13">#REF!</definedName>
    <definedName name="balookup" localSheetId="14">#REF!</definedName>
    <definedName name="balookup" localSheetId="18">#REF!</definedName>
    <definedName name="balookup" localSheetId="27">#REF!</definedName>
    <definedName name="balookup" localSheetId="28">#REF!</definedName>
    <definedName name="balookup" localSheetId="29">#REF!</definedName>
    <definedName name="balookup" localSheetId="30">#REF!</definedName>
    <definedName name="balookup" localSheetId="19">#REF!</definedName>
    <definedName name="balookup" localSheetId="20">#REF!</definedName>
    <definedName name="balookup" localSheetId="21">#REF!</definedName>
    <definedName name="balookup" localSheetId="22">#REF!</definedName>
    <definedName name="balookup" localSheetId="23">#REF!</definedName>
    <definedName name="balookup" localSheetId="24">#REF!</definedName>
    <definedName name="balookup" localSheetId="25">#REF!</definedName>
    <definedName name="balookup" localSheetId="26">#REF!</definedName>
    <definedName name="balookup" localSheetId="44">#REF!</definedName>
    <definedName name="balookup" localSheetId="57">#REF!</definedName>
    <definedName name="balookup" localSheetId="74">#REF!</definedName>
    <definedName name="balookup" localSheetId="36">#REF!</definedName>
    <definedName name="balookup" localSheetId="38">#REF!</definedName>
    <definedName name="balookup" localSheetId="40">#REF!</definedName>
    <definedName name="balookup" localSheetId="37">#REF!</definedName>
    <definedName name="balookup" localSheetId="70">#REF!</definedName>
    <definedName name="balookup" localSheetId="71">#REF!</definedName>
    <definedName name="balookup" localSheetId="75">#REF!</definedName>
    <definedName name="balookup" localSheetId="72">#REF!</definedName>
    <definedName name="balookup" localSheetId="73">#REF!</definedName>
    <definedName name="balookup" localSheetId="2">#REF!</definedName>
    <definedName name="balookup" localSheetId="0">#REF!</definedName>
    <definedName name="balookup">#REF!</definedName>
    <definedName name="BAND" localSheetId="57">#REF!</definedName>
    <definedName name="BAND" localSheetId="74">#REF!</definedName>
    <definedName name="BAND" localSheetId="72">#REF!</definedName>
    <definedName name="BAND" localSheetId="73">#REF!</definedName>
    <definedName name="BAND" localSheetId="2">#REF!</definedName>
    <definedName name="BAND" localSheetId="0">#REF!</definedName>
    <definedName name="BAND">#REF!</definedName>
    <definedName name="BANDOTHR1" localSheetId="57">#REF!</definedName>
    <definedName name="BANDOTHR1" localSheetId="74">#REF!</definedName>
    <definedName name="BANDOTHR1" localSheetId="72">#REF!</definedName>
    <definedName name="BANDOTHR1" localSheetId="73">#REF!</definedName>
    <definedName name="BANDOTHR1" localSheetId="2">#REF!</definedName>
    <definedName name="BANDOTHR1" localSheetId="0">#REF!</definedName>
    <definedName name="BANDOTHR1">#REF!</definedName>
    <definedName name="BANDOTHR2" localSheetId="57">#REF!</definedName>
    <definedName name="BANDOTHR2" localSheetId="74">#REF!</definedName>
    <definedName name="BANDOTHR2" localSheetId="72">#REF!</definedName>
    <definedName name="BANDOTHR2" localSheetId="73">#REF!</definedName>
    <definedName name="BANDOTHR2" localSheetId="2">#REF!</definedName>
    <definedName name="BANDOTHR2" localSheetId="0">#REF!</definedName>
    <definedName name="BANDOTHR2">#REF!</definedName>
    <definedName name="BANDOTHR3" localSheetId="57">#REF!</definedName>
    <definedName name="BANDOTHR3" localSheetId="74">#REF!</definedName>
    <definedName name="BANDOTHR3" localSheetId="72">#REF!</definedName>
    <definedName name="BANDOTHR3" localSheetId="73">#REF!</definedName>
    <definedName name="BANDOTHR3" localSheetId="2">#REF!</definedName>
    <definedName name="BANDOTHR3" localSheetId="0">#REF!</definedName>
    <definedName name="BANDOTHR3">#REF!</definedName>
    <definedName name="BANDOTHR4" localSheetId="57">#REF!</definedName>
    <definedName name="BANDOTHR4" localSheetId="74">#REF!</definedName>
    <definedName name="BANDOTHR4" localSheetId="72">#REF!</definedName>
    <definedName name="BANDOTHR4" localSheetId="73">#REF!</definedName>
    <definedName name="BANDOTHR4" localSheetId="2">#REF!</definedName>
    <definedName name="BANDOTHR4" localSheetId="0">#REF!</definedName>
    <definedName name="BANDOTHR4">#REF!</definedName>
    <definedName name="BANDOTHR5" localSheetId="57">#REF!</definedName>
    <definedName name="BANDOTHR5" localSheetId="74">#REF!</definedName>
    <definedName name="BANDOTHR5" localSheetId="72">#REF!</definedName>
    <definedName name="BANDOTHR5" localSheetId="73">#REF!</definedName>
    <definedName name="BANDOTHR5" localSheetId="2">#REF!</definedName>
    <definedName name="BANDOTHR5" localSheetId="0">#REF!</definedName>
    <definedName name="BANDOTHR5">#REF!</definedName>
    <definedName name="BANDTRANS" localSheetId="57">#REF!</definedName>
    <definedName name="BANDTRANS" localSheetId="74">#REF!</definedName>
    <definedName name="BANDTRANS" localSheetId="72">#REF!</definedName>
    <definedName name="BANDTRANS" localSheetId="73">#REF!</definedName>
    <definedName name="BANDTRANS" localSheetId="2">#REF!</definedName>
    <definedName name="BANDTRANS" localSheetId="0">#REF!</definedName>
    <definedName name="BANDTRANS">#REF!</definedName>
    <definedName name="BANDTUIT" localSheetId="57">#REF!</definedName>
    <definedName name="BANDTUIT" localSheetId="74">#REF!</definedName>
    <definedName name="BANDTUIT" localSheetId="72">#REF!</definedName>
    <definedName name="BANDTUIT" localSheetId="73">#REF!</definedName>
    <definedName name="BANDTUIT" localSheetId="2">#REF!</definedName>
    <definedName name="BANDTUIT" localSheetId="0">#REF!</definedName>
    <definedName name="BANDTUIT">#REF!</definedName>
    <definedName name="BASE" localSheetId="57">#REF!</definedName>
    <definedName name="BASE" localSheetId="74">#REF!</definedName>
    <definedName name="BASE" localSheetId="72">#REF!</definedName>
    <definedName name="BASE" localSheetId="73">#REF!</definedName>
    <definedName name="BASE" localSheetId="2">#REF!</definedName>
    <definedName name="BASE" localSheetId="0">#REF!</definedName>
    <definedName name="BASE">#REF!</definedName>
    <definedName name="bato1112">[7]lookup2!$L$2:$M$540</definedName>
    <definedName name="batoba" localSheetId="15">#REF!</definedName>
    <definedName name="batoba" localSheetId="16">#REF!</definedName>
    <definedName name="batoba" localSheetId="7">#REF!</definedName>
    <definedName name="batoba" localSheetId="8">#REF!</definedName>
    <definedName name="batoba" localSheetId="9">#REF!</definedName>
    <definedName name="batoba" localSheetId="10">#REF!</definedName>
    <definedName name="batoba" localSheetId="11">#REF!</definedName>
    <definedName name="batoba" localSheetId="12">#REF!</definedName>
    <definedName name="batoba" localSheetId="13">#REF!</definedName>
    <definedName name="batoba" localSheetId="14">#REF!</definedName>
    <definedName name="batoba" localSheetId="18">#REF!</definedName>
    <definedName name="batoba" localSheetId="27">#REF!</definedName>
    <definedName name="batoba" localSheetId="28">#REF!</definedName>
    <definedName name="batoba" localSheetId="29">#REF!</definedName>
    <definedName name="batoba" localSheetId="30">#REF!</definedName>
    <definedName name="batoba" localSheetId="19">#REF!</definedName>
    <definedName name="batoba" localSheetId="20">#REF!</definedName>
    <definedName name="batoba" localSheetId="21">#REF!</definedName>
    <definedName name="batoba" localSheetId="22">#REF!</definedName>
    <definedName name="batoba" localSheetId="23">#REF!</definedName>
    <definedName name="batoba" localSheetId="24">#REF!</definedName>
    <definedName name="batoba" localSheetId="25">#REF!</definedName>
    <definedName name="batoba" localSheetId="26">#REF!</definedName>
    <definedName name="batoba" localSheetId="44">#REF!</definedName>
    <definedName name="batoba" localSheetId="57">#REF!</definedName>
    <definedName name="batoba" localSheetId="74">#REF!</definedName>
    <definedName name="batoba" localSheetId="36">#REF!</definedName>
    <definedName name="batoba" localSheetId="38">#REF!</definedName>
    <definedName name="batoba" localSheetId="40">#REF!</definedName>
    <definedName name="batoba" localSheetId="37">#REF!</definedName>
    <definedName name="batoba" localSheetId="70">#REF!</definedName>
    <definedName name="batoba" localSheetId="71">#REF!</definedName>
    <definedName name="batoba" localSheetId="75">#REF!</definedName>
    <definedName name="batoba" localSheetId="72">#REF!</definedName>
    <definedName name="batoba" localSheetId="73">#REF!</definedName>
    <definedName name="batoba" localSheetId="2">#REF!</definedName>
    <definedName name="batoba" localSheetId="0">#REF!</definedName>
    <definedName name="batoba">#REF!</definedName>
    <definedName name="BEB" localSheetId="15">#REF!</definedName>
    <definedName name="BEB" localSheetId="16">#REF!</definedName>
    <definedName name="BEB" localSheetId="7">#REF!</definedName>
    <definedName name="BEB" localSheetId="8">#REF!</definedName>
    <definedName name="BEB" localSheetId="9">#REF!</definedName>
    <definedName name="BEB" localSheetId="10">#REF!</definedName>
    <definedName name="BEB" localSheetId="11">#REF!</definedName>
    <definedName name="BEB" localSheetId="12">#REF!</definedName>
    <definedName name="BEB" localSheetId="13">#REF!</definedName>
    <definedName name="BEB" localSheetId="14">#REF!</definedName>
    <definedName name="BEB" localSheetId="18">#REF!</definedName>
    <definedName name="BEB" localSheetId="27">#REF!</definedName>
    <definedName name="BEB" localSheetId="28">#REF!</definedName>
    <definedName name="BEB" localSheetId="29">#REF!</definedName>
    <definedName name="BEB" localSheetId="30">#REF!</definedName>
    <definedName name="BEB" localSheetId="19">#REF!</definedName>
    <definedName name="BEB" localSheetId="20">#REF!</definedName>
    <definedName name="BEB" localSheetId="21">#REF!</definedName>
    <definedName name="BEB" localSheetId="22">#REF!</definedName>
    <definedName name="BEB" localSheetId="23">#REF!</definedName>
    <definedName name="BEB" localSheetId="24">#REF!</definedName>
    <definedName name="BEB" localSheetId="25">#REF!</definedName>
    <definedName name="BEB" localSheetId="26">#REF!</definedName>
    <definedName name="BEB" localSheetId="44">#REF!</definedName>
    <definedName name="BEB" localSheetId="57">#REF!</definedName>
    <definedName name="BEB" localSheetId="74">#REF!</definedName>
    <definedName name="BEB" localSheetId="36">#REF!</definedName>
    <definedName name="BEB" localSheetId="38">#REF!</definedName>
    <definedName name="BEB" localSheetId="40">#REF!</definedName>
    <definedName name="BEB" localSheetId="37">#REF!</definedName>
    <definedName name="BEB" localSheetId="72">#REF!</definedName>
    <definedName name="BEB" localSheetId="73">#REF!</definedName>
    <definedName name="BEB" localSheetId="2">#REF!</definedName>
    <definedName name="BEB" localSheetId="0">#REF!</definedName>
    <definedName name="BEB">#REF!</definedName>
    <definedName name="BLOCK" localSheetId="57">#REF!</definedName>
    <definedName name="BLOCK" localSheetId="74">#REF!</definedName>
    <definedName name="BLOCK" localSheetId="72">#REF!</definedName>
    <definedName name="BLOCK" localSheetId="73">#REF!</definedName>
    <definedName name="BLOCK" localSheetId="2">#REF!</definedName>
    <definedName name="BLOCK" localSheetId="0">#REF!</definedName>
    <definedName name="BLOCK">#REF!</definedName>
    <definedName name="BOARDRM" localSheetId="57">#REF!</definedName>
    <definedName name="BOARDRM" localSheetId="74">#REF!</definedName>
    <definedName name="BOARDRM" localSheetId="72">#REF!</definedName>
    <definedName name="BOARDRM" localSheetId="73">#REF!</definedName>
    <definedName name="BOARDRM" localSheetId="2">#REF!</definedName>
    <definedName name="BOARDRM" localSheetId="0">#REF!</definedName>
    <definedName name="BOARDRM">#REF!</definedName>
    <definedName name="capyear" localSheetId="15">#REF!</definedName>
    <definedName name="capyear" localSheetId="16">#REF!</definedName>
    <definedName name="capyear" localSheetId="7">#REF!</definedName>
    <definedName name="capyear" localSheetId="8">#REF!</definedName>
    <definedName name="capyear" localSheetId="9">#REF!</definedName>
    <definedName name="capyear" localSheetId="10">#REF!</definedName>
    <definedName name="capyear" localSheetId="11">#REF!</definedName>
    <definedName name="capyear" localSheetId="12">#REF!</definedName>
    <definedName name="capyear" localSheetId="13">#REF!</definedName>
    <definedName name="capyear" localSheetId="14">#REF!</definedName>
    <definedName name="capyear" localSheetId="18">#REF!</definedName>
    <definedName name="capyear" localSheetId="27">#REF!</definedName>
    <definedName name="capyear" localSheetId="28">#REF!</definedName>
    <definedName name="capyear" localSheetId="29">#REF!</definedName>
    <definedName name="capyear" localSheetId="30">#REF!</definedName>
    <definedName name="capyear" localSheetId="19">#REF!</definedName>
    <definedName name="capyear" localSheetId="20">#REF!</definedName>
    <definedName name="capyear" localSheetId="21">#REF!</definedName>
    <definedName name="capyear" localSheetId="22">#REF!</definedName>
    <definedName name="capyear" localSheetId="23">#REF!</definedName>
    <definedName name="capyear" localSheetId="24">#REF!</definedName>
    <definedName name="capyear" localSheetId="25">#REF!</definedName>
    <definedName name="capyear" localSheetId="26">#REF!</definedName>
    <definedName name="capyear" localSheetId="44">#REF!</definedName>
    <definedName name="capyear" localSheetId="57">#REF!</definedName>
    <definedName name="capyear" localSheetId="74">#REF!</definedName>
    <definedName name="capyear" localSheetId="36">#REF!</definedName>
    <definedName name="capyear" localSheetId="38">#REF!</definedName>
    <definedName name="capyear" localSheetId="40">#REF!</definedName>
    <definedName name="capyear" localSheetId="37">#REF!</definedName>
    <definedName name="capyear" localSheetId="72">#REF!</definedName>
    <definedName name="capyear" localSheetId="73">#REF!</definedName>
    <definedName name="capyear" localSheetId="2">#REF!</definedName>
    <definedName name="capyear" localSheetId="0">#REF!</definedName>
    <definedName name="capyear">#REF!</definedName>
    <definedName name="CAREER_DEVELOP" localSheetId="44">#REF!</definedName>
    <definedName name="CAREER_DEVELOP" localSheetId="47">#REF!</definedName>
    <definedName name="CAREER_DEVELOP" localSheetId="52">'[4]S. 2016-17 FRAME Budget'!#REF!</definedName>
    <definedName name="CAREER_DEVELOP" localSheetId="57">#REF!</definedName>
    <definedName name="CAREER_DEVELOP" localSheetId="74">#REF!</definedName>
    <definedName name="CAREER_DEVELOP" localSheetId="75">'[5]2016-17 FRAME Budget'!#REF!</definedName>
    <definedName name="CAREER_DEVELOP" localSheetId="72">'[5]2016-17 FRAME Budget'!#REF!</definedName>
    <definedName name="CAREER_DEVELOP" localSheetId="73">#REF!</definedName>
    <definedName name="CAREER_DEVELOP" localSheetId="2">#REF!</definedName>
    <definedName name="CAREER_DEVELOP" localSheetId="0">#REF!</definedName>
    <definedName name="CAREER_DEVELOP">#REF!</definedName>
    <definedName name="CATOTHR600" localSheetId="44">[1]Allowable!#REF!</definedName>
    <definedName name="CATOTHR600" localSheetId="52">[1]Allowable!#REF!</definedName>
    <definedName name="CATOTHR600" localSheetId="57">[1]Allowable!#REF!</definedName>
    <definedName name="CATOTHR600" localSheetId="74">[1]Allowable!#REF!</definedName>
    <definedName name="CATOTHR600" localSheetId="75">[1]Allowable!#REF!</definedName>
    <definedName name="CATOTHR600" localSheetId="72">[1]Allowable!#REF!</definedName>
    <definedName name="CATOTHR600" localSheetId="73">[1]Allowable!#REF!</definedName>
    <definedName name="CATOTHR600" localSheetId="2">[1]Allowable!#REF!</definedName>
    <definedName name="CATOTHR600" localSheetId="0">[1]Allowable!#REF!</definedName>
    <definedName name="CATOTHR600">[1]Allowable!#REF!</definedName>
    <definedName name="CATSUP" localSheetId="47">#REF!</definedName>
    <definedName name="CATSUP" localSheetId="52">#REF!</definedName>
    <definedName name="CATSUP" localSheetId="57">#REF!</definedName>
    <definedName name="CATSUP" localSheetId="74">#REF!</definedName>
    <definedName name="CATSUP" localSheetId="72">#REF!</definedName>
    <definedName name="CATSUP" localSheetId="73">#REF!</definedName>
    <definedName name="CATSUP" localSheetId="2">#REF!</definedName>
    <definedName name="CATSUP" localSheetId="0">#REF!</definedName>
    <definedName name="CATSUP">#REF!</definedName>
    <definedName name="CHILD" localSheetId="47">#REF!</definedName>
    <definedName name="CHILD" localSheetId="52">#REF!</definedName>
    <definedName name="CHILD" localSheetId="57">#REF!</definedName>
    <definedName name="CHILD" localSheetId="74">#REF!</definedName>
    <definedName name="CHILD" localSheetId="72">#REF!</definedName>
    <definedName name="CHILD" localSheetId="73">#REF!</definedName>
    <definedName name="CHILD" localSheetId="2">#REF!</definedName>
    <definedName name="CHILD" localSheetId="0">#REF!</definedName>
    <definedName name="CHILD">#REF!</definedName>
    <definedName name="CLASSSIZE" localSheetId="44">#REF!</definedName>
    <definedName name="CLASSSIZE" localSheetId="47">#REF!</definedName>
    <definedName name="CLASSSIZE" localSheetId="52">'[4]S. 2016-17 FRAME Budget'!#REF!</definedName>
    <definedName name="CLASSSIZE" localSheetId="57">#REF!</definedName>
    <definedName name="CLASSSIZE" localSheetId="74">#REF!</definedName>
    <definedName name="CLASSSIZE" localSheetId="70">#REF!</definedName>
    <definedName name="CLASSSIZE" localSheetId="71">#REF!</definedName>
    <definedName name="CLASSSIZE" localSheetId="75">'[5]2016-17 FRAME Budget'!#REF!</definedName>
    <definedName name="CLASSSIZE" localSheetId="72">'[5]2016-17 FRAME Budget'!#REF!</definedName>
    <definedName name="CLASSSIZE" localSheetId="73">#REF!</definedName>
    <definedName name="CLASSSIZE" localSheetId="2">#REF!</definedName>
    <definedName name="CLASSSIZE" localSheetId="0">#REF!</definedName>
    <definedName name="CLASSSIZE">#REF!</definedName>
    <definedName name="COA" localSheetId="15">#REF!</definedName>
    <definedName name="COA" localSheetId="16">#REF!</definedName>
    <definedName name="COA" localSheetId="7">#REF!</definedName>
    <definedName name="COA" localSheetId="8">#REF!</definedName>
    <definedName name="COA" localSheetId="9">#REF!</definedName>
    <definedName name="COA" localSheetId="10">#REF!</definedName>
    <definedName name="COA" localSheetId="11">#REF!</definedName>
    <definedName name="COA" localSheetId="12">#REF!</definedName>
    <definedName name="COA" localSheetId="13">#REF!</definedName>
    <definedName name="COA" localSheetId="14">#REF!</definedName>
    <definedName name="COA" localSheetId="18">#REF!</definedName>
    <definedName name="COA" localSheetId="27">#REF!</definedName>
    <definedName name="COA" localSheetId="28">#REF!</definedName>
    <definedName name="COA" localSheetId="29">#REF!</definedName>
    <definedName name="COA" localSheetId="30">#REF!</definedName>
    <definedName name="COA" localSheetId="19">#REF!</definedName>
    <definedName name="COA" localSheetId="20">#REF!</definedName>
    <definedName name="COA" localSheetId="21">#REF!</definedName>
    <definedName name="COA" localSheetId="22">#REF!</definedName>
    <definedName name="COA" localSheetId="23">#REF!</definedName>
    <definedName name="COA" localSheetId="24">#REF!</definedName>
    <definedName name="COA" localSheetId="25">#REF!</definedName>
    <definedName name="COA" localSheetId="26">#REF!</definedName>
    <definedName name="COA" localSheetId="44">#REF!</definedName>
    <definedName name="COA" localSheetId="57">#REF!</definedName>
    <definedName name="COA" localSheetId="74">#REF!</definedName>
    <definedName name="COA" localSheetId="36">#REF!</definedName>
    <definedName name="COA" localSheetId="38">#REF!</definedName>
    <definedName name="COA" localSheetId="40">#REF!</definedName>
    <definedName name="COA" localSheetId="37">#REF!</definedName>
    <definedName name="COA" localSheetId="70">#REF!</definedName>
    <definedName name="COA" localSheetId="71">#REF!</definedName>
    <definedName name="COA" localSheetId="75">#REF!</definedName>
    <definedName name="COA" localSheetId="72">#REF!</definedName>
    <definedName name="COA" localSheetId="73">#REF!</definedName>
    <definedName name="COA" localSheetId="2">#REF!</definedName>
    <definedName name="COA" localSheetId="0">#REF!</definedName>
    <definedName name="COA">#REF!</definedName>
    <definedName name="Code" localSheetId="72">#REF!</definedName>
    <definedName name="Code" localSheetId="0">#REF!</definedName>
    <definedName name="Code">#REF!</definedName>
    <definedName name="COMMSCH" localSheetId="57">#REF!</definedName>
    <definedName name="COMMSCH" localSheetId="74">#REF!</definedName>
    <definedName name="COMMSCH" localSheetId="72">#REF!</definedName>
    <definedName name="COMMSCH" localSheetId="73">#REF!</definedName>
    <definedName name="COMMSCH" localSheetId="2">#REF!</definedName>
    <definedName name="COMMSCH" localSheetId="0">#REF!</definedName>
    <definedName name="COMMSCH">#REF!</definedName>
    <definedName name="COUNSGUID" localSheetId="57">#REF!</definedName>
    <definedName name="COUNSGUID" localSheetId="74">#REF!</definedName>
    <definedName name="COUNSGUID" localSheetId="72">#REF!</definedName>
    <definedName name="COUNSGUID" localSheetId="73">#REF!</definedName>
    <definedName name="COUNSGUID" localSheetId="2">#REF!</definedName>
    <definedName name="COUNSGUID" localSheetId="0">#REF!</definedName>
    <definedName name="COUNSGUID">#REF!</definedName>
    <definedName name="Count" localSheetId="72">#REF!</definedName>
    <definedName name="Count" localSheetId="0">#REF!</definedName>
    <definedName name="Count">#REF!</definedName>
    <definedName name="CURRD" localSheetId="57">#REF!</definedName>
    <definedName name="CURRD" localSheetId="74">#REF!</definedName>
    <definedName name="CURRD" localSheetId="72">#REF!</definedName>
    <definedName name="CURRD" localSheetId="73">#REF!</definedName>
    <definedName name="CURRD" localSheetId="2">#REF!</definedName>
    <definedName name="CURRD" localSheetId="0">#REF!</definedName>
    <definedName name="CURRD">#REF!</definedName>
    <definedName name="CURRMAT" localSheetId="57">#REF!</definedName>
    <definedName name="CURRMAT" localSheetId="74">#REF!</definedName>
    <definedName name="CURRMAT" localSheetId="72">#REF!</definedName>
    <definedName name="CURRMAT" localSheetId="73">#REF!</definedName>
    <definedName name="CURRMAT" localSheetId="2">#REF!</definedName>
    <definedName name="CURRMAT" localSheetId="0">#REF!</definedName>
    <definedName name="CURRMAT">#REF!</definedName>
    <definedName name="CurrY">[8]Data!$B$5</definedName>
    <definedName name="_xlnm.Database" localSheetId="15">[9]AB!#REF!</definedName>
    <definedName name="_xlnm.Database" localSheetId="16">[9]AB!#REF!</definedName>
    <definedName name="_xlnm.Database" localSheetId="7">[9]AB!#REF!</definedName>
    <definedName name="_xlnm.Database" localSheetId="8">[9]AB!#REF!</definedName>
    <definedName name="_xlnm.Database" localSheetId="9">[9]AB!#REF!</definedName>
    <definedName name="_xlnm.Database" localSheetId="10">[9]AB!#REF!</definedName>
    <definedName name="_xlnm.Database" localSheetId="11">[9]AB!#REF!</definedName>
    <definedName name="_xlnm.Database" localSheetId="12">[9]AB!#REF!</definedName>
    <definedName name="_xlnm.Database" localSheetId="13">[9]AB!#REF!</definedName>
    <definedName name="_xlnm.Database" localSheetId="14">[9]AB!#REF!</definedName>
    <definedName name="_xlnm.Database" localSheetId="18">[9]AB!#REF!</definedName>
    <definedName name="_xlnm.Database" localSheetId="27">[9]AB!#REF!</definedName>
    <definedName name="_xlnm.Database" localSheetId="28">[9]AB!#REF!</definedName>
    <definedName name="_xlnm.Database" localSheetId="29">[9]AB!#REF!</definedName>
    <definedName name="_xlnm.Database" localSheetId="30">[9]AB!#REF!</definedName>
    <definedName name="_xlnm.Database" localSheetId="19">[9]AB!#REF!</definedName>
    <definedName name="_xlnm.Database" localSheetId="20">[9]AB!#REF!</definedName>
    <definedName name="_xlnm.Database" localSheetId="21">[9]AB!#REF!</definedName>
    <definedName name="_xlnm.Database" localSheetId="22">[9]AB!#REF!</definedName>
    <definedName name="_xlnm.Database" localSheetId="23">[9]AB!#REF!</definedName>
    <definedName name="_xlnm.Database" localSheetId="24">[9]AB!#REF!</definedName>
    <definedName name="_xlnm.Database" localSheetId="25">[9]AB!#REF!</definedName>
    <definedName name="_xlnm.Database" localSheetId="26">[9]AB!#REF!</definedName>
    <definedName name="_xlnm.Database" localSheetId="44">[9]AB!#REF!</definedName>
    <definedName name="_xlnm.Database" localSheetId="57">[9]AB!#REF!</definedName>
    <definedName name="_xlnm.Database" localSheetId="74">[9]AB!#REF!</definedName>
    <definedName name="_xlnm.Database" localSheetId="36">[9]AB!#REF!</definedName>
    <definedName name="_xlnm.Database" localSheetId="38">[9]AB!#REF!</definedName>
    <definedName name="_xlnm.Database" localSheetId="40">[9]AB!#REF!</definedName>
    <definedName name="_xlnm.Database" localSheetId="37">[9]AB!#REF!</definedName>
    <definedName name="_xlnm.Database" localSheetId="70">[9]AB!#REF!</definedName>
    <definedName name="_xlnm.Database" localSheetId="71">[9]AB!#REF!</definedName>
    <definedName name="_xlnm.Database" localSheetId="75">[9]AB!#REF!</definedName>
    <definedName name="_xlnm.Database" localSheetId="72">[9]AB!#REF!</definedName>
    <definedName name="_xlnm.Database" localSheetId="73">[9]AB!#REF!</definedName>
    <definedName name="_xlnm.Database" localSheetId="2">[9]AB!#REF!</definedName>
    <definedName name="_xlnm.Database" localSheetId="0">[9]AB!#REF!</definedName>
    <definedName name="_xlnm.Database">[9]AB!#REF!</definedName>
    <definedName name="DATE_ENTRY" localSheetId="15">#REF!</definedName>
    <definedName name="DATE_ENTRY" localSheetId="16">#REF!</definedName>
    <definedName name="DATE_ENTRY" localSheetId="7">#REF!</definedName>
    <definedName name="DATE_ENTRY" localSheetId="8">#REF!</definedName>
    <definedName name="DATE_ENTRY" localSheetId="9">#REF!</definedName>
    <definedName name="DATE_ENTRY" localSheetId="10">#REF!</definedName>
    <definedName name="DATE_ENTRY" localSheetId="11">#REF!</definedName>
    <definedName name="DATE_ENTRY" localSheetId="12">#REF!</definedName>
    <definedName name="DATE_ENTRY" localSheetId="13">#REF!</definedName>
    <definedName name="DATE_ENTRY" localSheetId="14">#REF!</definedName>
    <definedName name="DATE_ENTRY" localSheetId="18">#REF!</definedName>
    <definedName name="DATE_ENTRY" localSheetId="27">#REF!</definedName>
    <definedName name="DATE_ENTRY" localSheetId="28">#REF!</definedName>
    <definedName name="DATE_ENTRY" localSheetId="29">#REF!</definedName>
    <definedName name="DATE_ENTRY" localSheetId="30">#REF!</definedName>
    <definedName name="DATE_ENTRY" localSheetId="19">#REF!</definedName>
    <definedName name="DATE_ENTRY" localSheetId="20">#REF!</definedName>
    <definedName name="DATE_ENTRY" localSheetId="21">#REF!</definedName>
    <definedName name="DATE_ENTRY" localSheetId="22">#REF!</definedName>
    <definedName name="DATE_ENTRY" localSheetId="23">#REF!</definedName>
    <definedName name="DATE_ENTRY" localSheetId="24">#REF!</definedName>
    <definedName name="DATE_ENTRY" localSheetId="25">#REF!</definedName>
    <definedName name="DATE_ENTRY" localSheetId="26">#REF!</definedName>
    <definedName name="DATE_ENTRY" localSheetId="44">#REF!</definedName>
    <definedName name="DATE_ENTRY" localSheetId="57">#REF!</definedName>
    <definedName name="DATE_ENTRY" localSheetId="74">#REF!</definedName>
    <definedName name="DATE_ENTRY" localSheetId="36">#REF!</definedName>
    <definedName name="DATE_ENTRY" localSheetId="38">#REF!</definedName>
    <definedName name="DATE_ENTRY" localSheetId="40">#REF!</definedName>
    <definedName name="DATE_ENTRY" localSheetId="37">#REF!</definedName>
    <definedName name="DATE_ENTRY" localSheetId="70">#REF!</definedName>
    <definedName name="DATE_ENTRY" localSheetId="71">#REF!</definedName>
    <definedName name="DATE_ENTRY" localSheetId="75">#REF!</definedName>
    <definedName name="DATE_ENTRY" localSheetId="72">#REF!</definedName>
    <definedName name="DATE_ENTRY" localSheetId="73">#REF!</definedName>
    <definedName name="DATE_ENTRY" localSheetId="2">#REF!</definedName>
    <definedName name="DATE_ENTRY" localSheetId="0">#REF!</definedName>
    <definedName name="DATE_ENTRY">#REF!</definedName>
    <definedName name="DIV">[10]Data!$A$9:$A$696</definedName>
    <definedName name="DivAdd" localSheetId="72">#REF!</definedName>
    <definedName name="DivAdd" localSheetId="0">#REF!</definedName>
    <definedName name="DivAdd">#REF!</definedName>
    <definedName name="DivEnrol" localSheetId="72">#REF!</definedName>
    <definedName name="DivEnrol" localSheetId="0">#REF!</definedName>
    <definedName name="DivEnrol">#REF!</definedName>
    <definedName name="DivEnrol2" localSheetId="72">#REF!</definedName>
    <definedName name="DivEnrol2" localSheetId="0">#REF!</definedName>
    <definedName name="DivEnrol2">#REF!</definedName>
    <definedName name="DIVISIONS" localSheetId="66">#REF!</definedName>
    <definedName name="DIVISIONS" localSheetId="68">#REF!</definedName>
    <definedName name="DIVISIONS">[11]Table!$B$8:$D$44</definedName>
    <definedName name="DIVNUM">[12]DATA!$B$1</definedName>
    <definedName name="DIVTABLE" localSheetId="72">#REF!</definedName>
    <definedName name="DIVTABLE" localSheetId="0">#REF!</definedName>
    <definedName name="DIVTABLE">#REF!</definedName>
    <definedName name="DONATION" localSheetId="47">#REF!</definedName>
    <definedName name="DONATION" localSheetId="52">#REF!</definedName>
    <definedName name="DONATION" localSheetId="57">#REF!</definedName>
    <definedName name="DONATION" localSheetId="74">#REF!</definedName>
    <definedName name="DONATION" localSheetId="72">#REF!</definedName>
    <definedName name="DONATION" localSheetId="73">#REF!</definedName>
    <definedName name="DONATION" localSheetId="2">#REF!</definedName>
    <definedName name="DONATION" localSheetId="0">#REF!</definedName>
    <definedName name="DONATION">#REF!</definedName>
    <definedName name="DRVTRAIN" localSheetId="44">#REF!</definedName>
    <definedName name="DRVTRAIN" localSheetId="47">#REF!</definedName>
    <definedName name="DRVTRAIN" localSheetId="52">'[4]S. 2016-17 FRAME Budget'!#REF!</definedName>
    <definedName name="DRVTRAIN" localSheetId="57">#REF!</definedName>
    <definedName name="DRVTRAIN" localSheetId="74">#REF!</definedName>
    <definedName name="DRVTRAIN" localSheetId="70">#REF!</definedName>
    <definedName name="DRVTRAIN" localSheetId="71">#REF!</definedName>
    <definedName name="DRVTRAIN" localSheetId="75">'[5]2016-17 FRAME Budget'!#REF!</definedName>
    <definedName name="DRVTRAIN" localSheetId="72">'[5]2016-17 FRAME Budget'!#REF!</definedName>
    <definedName name="DRVTRAIN" localSheetId="73">#REF!</definedName>
    <definedName name="DRVTRAIN" localSheetId="2">#REF!</definedName>
    <definedName name="DRVTRAIN" localSheetId="0">#REF!</definedName>
    <definedName name="DRVTRAIN">#REF!</definedName>
    <definedName name="EARLYLIT" localSheetId="44">#REF!</definedName>
    <definedName name="EARLYLIT" localSheetId="47">#REF!</definedName>
    <definedName name="EARLYLIT" localSheetId="52">'[4]S. 2016-17 FRAME Budget'!#REF!</definedName>
    <definedName name="EARLYLIT" localSheetId="57">#REF!</definedName>
    <definedName name="EARLYLIT" localSheetId="74">#REF!</definedName>
    <definedName name="EARLYLIT" localSheetId="70">#REF!</definedName>
    <definedName name="EARLYLIT" localSheetId="71">#REF!</definedName>
    <definedName name="EARLYLIT" localSheetId="75">'[5]2016-17 FRAME Budget'!#REF!</definedName>
    <definedName name="EARLYLIT" localSheetId="72">'[5]2016-17 FRAME Budget'!#REF!</definedName>
    <definedName name="EARLYLIT" localSheetId="73">#REF!</definedName>
    <definedName name="EARLYLIT" localSheetId="2">#REF!</definedName>
    <definedName name="EARLYLIT" localSheetId="0">#REF!</definedName>
    <definedName name="EARLYLIT">#REF!</definedName>
    <definedName name="EARLYNUM" localSheetId="47">#REF!</definedName>
    <definedName name="EARLYNUM" localSheetId="52">#REF!</definedName>
    <definedName name="EARLYNUM" localSheetId="57">#REF!</definedName>
    <definedName name="EARLYNUM" localSheetId="74">#REF!</definedName>
    <definedName name="EARLYNUM" localSheetId="72">#REF!</definedName>
    <definedName name="EARLYNUM" localSheetId="73">#REF!</definedName>
    <definedName name="EARLYNUM" localSheetId="2">#REF!</definedName>
    <definedName name="EARLYNUM" localSheetId="0">#REF!</definedName>
    <definedName name="EARLYNUM">#REF!</definedName>
    <definedName name="ELIGIBLE">'[11]Sept 2014'!$B$10:$D$697</definedName>
    <definedName name="EMPLOY" localSheetId="47">#REF!</definedName>
    <definedName name="EMPLOY" localSheetId="52">#REF!</definedName>
    <definedName name="EMPLOY" localSheetId="57">#REF!</definedName>
    <definedName name="EMPLOY" localSheetId="74">#REF!</definedName>
    <definedName name="EMPLOY" localSheetId="72">#REF!</definedName>
    <definedName name="EMPLOY" localSheetId="73">#REF!</definedName>
    <definedName name="EMPLOY" localSheetId="2">#REF!</definedName>
    <definedName name="EMPLOY" localSheetId="0">#REF!</definedName>
    <definedName name="EMPLOY">#REF!</definedName>
    <definedName name="ENROL100" localSheetId="44">[1]Statistics!#REF!</definedName>
    <definedName name="ENROL100" localSheetId="57">[1]Statistics!#REF!</definedName>
    <definedName name="ENROL100" localSheetId="74">[1]Statistics!#REF!</definedName>
    <definedName name="ENROL100" localSheetId="70">[1]Statistics!#REF!</definedName>
    <definedName name="ENROL100" localSheetId="71">[1]Statistics!#REF!</definedName>
    <definedName name="ENROL100" localSheetId="75">[1]Statistics!#REF!</definedName>
    <definedName name="ENROL100" localSheetId="72">[1]Statistics!#REF!</definedName>
    <definedName name="ENROL100" localSheetId="73">[1]Statistics!#REF!</definedName>
    <definedName name="ENROL100" localSheetId="2">[1]Statistics!#REF!</definedName>
    <definedName name="ENROL100" localSheetId="0">[1]Statistics!#REF!</definedName>
    <definedName name="ENROL100">[1]Statistics!#REF!</definedName>
    <definedName name="ENROL240" localSheetId="44">[1]Statistics!#REF!</definedName>
    <definedName name="ENROL240" localSheetId="57">[1]Statistics!#REF!</definedName>
    <definedName name="ENROL240" localSheetId="74">[1]Statistics!#REF!</definedName>
    <definedName name="ENROL240" localSheetId="70">[1]Statistics!#REF!</definedName>
    <definedName name="ENROL240" localSheetId="71">[1]Statistics!#REF!</definedName>
    <definedName name="ENROL240" localSheetId="75">[1]Statistics!#REF!</definedName>
    <definedName name="ENROL240" localSheetId="72">[1]Statistics!#REF!</definedName>
    <definedName name="ENROL240" localSheetId="73">[1]Statistics!#REF!</definedName>
    <definedName name="ENROL240" localSheetId="2">[1]Statistics!#REF!</definedName>
    <definedName name="ENROL240" localSheetId="0">[1]Statistics!#REF!</definedName>
    <definedName name="ENROL240">[1]Statistics!#REF!</definedName>
    <definedName name="ENROLCHANGE" localSheetId="47">#REF!</definedName>
    <definedName name="ENROLCHANGE" localSheetId="52">#REF!</definedName>
    <definedName name="ENROLCHANGE" localSheetId="57">#REF!</definedName>
    <definedName name="ENROLCHANGE" localSheetId="74">#REF!</definedName>
    <definedName name="ENROLCHANGE" localSheetId="72">#REF!</definedName>
    <definedName name="ENROLCHANGE" localSheetId="73">#REF!</definedName>
    <definedName name="ENROLCHANGE" localSheetId="2">#REF!</definedName>
    <definedName name="ENROLCHANGE" localSheetId="0">#REF!</definedName>
    <definedName name="ENROLCHANGE">#REF!</definedName>
    <definedName name="EPTC" localSheetId="47">#REF!</definedName>
    <definedName name="EPTC" localSheetId="52">#REF!</definedName>
    <definedName name="EPTC" localSheetId="57">#REF!</definedName>
    <definedName name="EPTC" localSheetId="74">#REF!</definedName>
    <definedName name="EPTC" localSheetId="72">#REF!</definedName>
    <definedName name="EPTC" localSheetId="73">#REF!</definedName>
    <definedName name="EPTC" localSheetId="2">#REF!</definedName>
    <definedName name="EPTC" localSheetId="0">#REF!</definedName>
    <definedName name="EPTC">#REF!</definedName>
    <definedName name="EQUAL" localSheetId="47">#REF!</definedName>
    <definedName name="EQUAL" localSheetId="52">#REF!</definedName>
    <definedName name="EQUAL" localSheetId="57">#REF!</definedName>
    <definedName name="EQUAL" localSheetId="74">#REF!</definedName>
    <definedName name="EQUAL" localSheetId="72">#REF!</definedName>
    <definedName name="EQUAL" localSheetId="73">#REF!</definedName>
    <definedName name="EQUAL" localSheetId="2">#REF!</definedName>
    <definedName name="EQUAL" localSheetId="0">#REF!</definedName>
    <definedName name="EQUAL">#REF!</definedName>
    <definedName name="ESD" localSheetId="57">#REF!</definedName>
    <definedName name="ESD" localSheetId="74">#REF!</definedName>
    <definedName name="ESD" localSheetId="72">#REF!</definedName>
    <definedName name="ESD" localSheetId="73">#REF!</definedName>
    <definedName name="ESD" localSheetId="2">#REF!</definedName>
    <definedName name="ESD" localSheetId="0">#REF!</definedName>
    <definedName name="ESD">#REF!</definedName>
    <definedName name="ESL" localSheetId="57">#REF!</definedName>
    <definedName name="ESL" localSheetId="74">#REF!</definedName>
    <definedName name="ESL" localSheetId="72">#REF!</definedName>
    <definedName name="ESL" localSheetId="73">#REF!</definedName>
    <definedName name="ESL" localSheetId="2">#REF!</definedName>
    <definedName name="ESL" localSheetId="0">#REF!</definedName>
    <definedName name="ESL">#REF!</definedName>
    <definedName name="ESLA" localSheetId="57">#REF!</definedName>
    <definedName name="ESLA" localSheetId="74">#REF!</definedName>
    <definedName name="ESLA" localSheetId="72">#REF!</definedName>
    <definedName name="ESLA" localSheetId="73">#REF!</definedName>
    <definedName name="ESLA" localSheetId="2">#REF!</definedName>
    <definedName name="ESLA" localSheetId="0">#REF!</definedName>
    <definedName name="ESLA">#REF!</definedName>
    <definedName name="EXPLEARN" localSheetId="44">#REF!</definedName>
    <definedName name="EXPLEARN" localSheetId="47">#REF!</definedName>
    <definedName name="EXPLEARN" localSheetId="52">'[4]S. 2016-17 FRAME Budget'!#REF!</definedName>
    <definedName name="EXPLEARN" localSheetId="57">#REF!</definedName>
    <definedName name="EXPLEARN" localSheetId="74">#REF!</definedName>
    <definedName name="EXPLEARN" localSheetId="70">#REF!</definedName>
    <definedName name="EXPLEARN" localSheetId="71">#REF!</definedName>
    <definedName name="EXPLEARN" localSheetId="75">'[5]2016-17 FRAME Budget'!#REF!</definedName>
    <definedName name="EXPLEARN" localSheetId="72">'[5]2016-17 FRAME Budget'!#REF!</definedName>
    <definedName name="EXPLEARN" localSheetId="73">#REF!</definedName>
    <definedName name="EXPLEARN" localSheetId="2">#REF!</definedName>
    <definedName name="EXPLEARN" localSheetId="0">#REF!</definedName>
    <definedName name="EXPLEARN">#REF!</definedName>
    <definedName name="FALLYR">[8]Data!$B$6</definedName>
    <definedName name="FEDGOVT" localSheetId="47">#REF!</definedName>
    <definedName name="FEDGOVT" localSheetId="52">#REF!</definedName>
    <definedName name="FEDGOVT" localSheetId="57">#REF!</definedName>
    <definedName name="FEDGOVT" localSheetId="74">#REF!</definedName>
    <definedName name="FEDGOVT" localSheetId="72">#REF!</definedName>
    <definedName name="FEDGOVT" localSheetId="73">#REF!</definedName>
    <definedName name="FEDGOVT" localSheetId="2">#REF!</definedName>
    <definedName name="FEDGOVT" localSheetId="0">#REF!</definedName>
    <definedName name="FEDGOVT">#REF!</definedName>
    <definedName name="FEDOTHR1" localSheetId="47">#REF!</definedName>
    <definedName name="FEDOTHR1" localSheetId="52">#REF!</definedName>
    <definedName name="FEDOTHR1" localSheetId="57">#REF!</definedName>
    <definedName name="FEDOTHR1" localSheetId="74">#REF!</definedName>
    <definedName name="FEDOTHR1" localSheetId="72">#REF!</definedName>
    <definedName name="FEDOTHR1" localSheetId="73">#REF!</definedName>
    <definedName name="FEDOTHR1" localSheetId="2">#REF!</definedName>
    <definedName name="FEDOTHR1" localSheetId="0">#REF!</definedName>
    <definedName name="FEDOTHR1">#REF!</definedName>
    <definedName name="FEDOTHR2" localSheetId="47">#REF!</definedName>
    <definedName name="FEDOTHR2" localSheetId="52">#REF!</definedName>
    <definedName name="FEDOTHR2" localSheetId="57">#REF!</definedName>
    <definedName name="FEDOTHR2" localSheetId="74">#REF!</definedName>
    <definedName name="FEDOTHR2" localSheetId="72">#REF!</definedName>
    <definedName name="FEDOTHR2" localSheetId="73">#REF!</definedName>
    <definedName name="FEDOTHR2" localSheetId="2">#REF!</definedName>
    <definedName name="FEDOTHR2" localSheetId="0">#REF!</definedName>
    <definedName name="FEDOTHR2">#REF!</definedName>
    <definedName name="FEDOTHR3" localSheetId="57">#REF!</definedName>
    <definedName name="FEDOTHR3" localSheetId="74">#REF!</definedName>
    <definedName name="FEDOTHR3" localSheetId="72">#REF!</definedName>
    <definedName name="FEDOTHR3" localSheetId="73">#REF!</definedName>
    <definedName name="FEDOTHR3" localSheetId="2">#REF!</definedName>
    <definedName name="FEDOTHR3" localSheetId="0">#REF!</definedName>
    <definedName name="FEDOTHR3">#REF!</definedName>
    <definedName name="FEDOTHR4" localSheetId="57">#REF!</definedName>
    <definedName name="FEDOTHR4" localSheetId="74">#REF!</definedName>
    <definedName name="FEDOTHR4" localSheetId="72">#REF!</definedName>
    <definedName name="FEDOTHR4" localSheetId="73">#REF!</definedName>
    <definedName name="FEDOTHR4" localSheetId="2">#REF!</definedName>
    <definedName name="FEDOTHR4" localSheetId="0">#REF!</definedName>
    <definedName name="FEDOTHR4">#REF!</definedName>
    <definedName name="FEDTRANS" localSheetId="57">#REF!</definedName>
    <definedName name="FEDTRANS" localSheetId="74">#REF!</definedName>
    <definedName name="FEDTRANS" localSheetId="72">#REF!</definedName>
    <definedName name="FEDTRANS" localSheetId="73">#REF!</definedName>
    <definedName name="FEDTRANS" localSheetId="2">#REF!</definedName>
    <definedName name="FEDTRANS" localSheetId="0">#REF!</definedName>
    <definedName name="FEDTRANS">#REF!</definedName>
    <definedName name="FEDTUIT" localSheetId="57">#REF!</definedName>
    <definedName name="FEDTUIT" localSheetId="74">#REF!</definedName>
    <definedName name="FEDTUIT" localSheetId="72">#REF!</definedName>
    <definedName name="FEDTUIT" localSheetId="73">#REF!</definedName>
    <definedName name="FEDTUIT" localSheetId="2">#REF!</definedName>
    <definedName name="FEDTUIT" localSheetId="0">#REF!</definedName>
    <definedName name="FEDTUIT">#REF!</definedName>
    <definedName name="FEES100" localSheetId="44">[1]Allowable!#REF!</definedName>
    <definedName name="FEES100" localSheetId="57">[1]Allowable!#REF!</definedName>
    <definedName name="FEES100" localSheetId="74">[1]Allowable!#REF!</definedName>
    <definedName name="FEES100" localSheetId="70">[1]Allowable!#REF!</definedName>
    <definedName name="FEES100" localSheetId="71">[1]Allowable!#REF!</definedName>
    <definedName name="FEES100" localSheetId="75">[1]Allowable!#REF!</definedName>
    <definedName name="FEES100" localSheetId="72">[1]Allowable!#REF!</definedName>
    <definedName name="FEES100" localSheetId="73">[1]Allowable!#REF!</definedName>
    <definedName name="FEES100" localSheetId="2">[1]Allowable!#REF!</definedName>
    <definedName name="FEES100" localSheetId="0">[1]Allowable!#REF!</definedName>
    <definedName name="FEES100">[1]Allowable!#REF!</definedName>
    <definedName name="FEES500" localSheetId="44">[1]Allowable!#REF!</definedName>
    <definedName name="FEES500" localSheetId="57">[1]Allowable!#REF!</definedName>
    <definedName name="FEES500" localSheetId="74">[1]Allowable!#REF!</definedName>
    <definedName name="FEES500" localSheetId="70">[1]Allowable!#REF!</definedName>
    <definedName name="FEES500" localSheetId="71">[1]Allowable!#REF!</definedName>
    <definedName name="FEES500" localSheetId="75">[1]Allowable!#REF!</definedName>
    <definedName name="FEES500" localSheetId="72">[1]Allowable!#REF!</definedName>
    <definedName name="FEES500" localSheetId="73">[1]Allowable!#REF!</definedName>
    <definedName name="FEES500" localSheetId="2">[1]Allowable!#REF!</definedName>
    <definedName name="FEES500" localSheetId="0">[1]Allowable!#REF!</definedName>
    <definedName name="FEES500">[1]Allowable!#REF!</definedName>
    <definedName name="FEES605" localSheetId="44">[1]Allowable!#REF!</definedName>
    <definedName name="FEES605" localSheetId="57">[1]Allowable!#REF!</definedName>
    <definedName name="FEES605" localSheetId="74">[1]Allowable!#REF!</definedName>
    <definedName name="FEES605" localSheetId="70">[1]Allowable!#REF!</definedName>
    <definedName name="FEES605" localSheetId="71">[1]Allowable!#REF!</definedName>
    <definedName name="FEES605" localSheetId="75">[1]Allowable!#REF!</definedName>
    <definedName name="FEES605" localSheetId="72">[1]Allowable!#REF!</definedName>
    <definedName name="FEES605" localSheetId="73">[1]Allowable!#REF!</definedName>
    <definedName name="FEES605" localSheetId="2">[1]Allowable!#REF!</definedName>
    <definedName name="FEES605" localSheetId="0">[1]Allowable!#REF!</definedName>
    <definedName name="FEES605">[1]Allowable!#REF!</definedName>
    <definedName name="FEES610" localSheetId="44">[1]Allowable!#REF!</definedName>
    <definedName name="FEES610" localSheetId="57">[1]Allowable!#REF!</definedName>
    <definedName name="FEES610" localSheetId="74">[1]Allowable!#REF!</definedName>
    <definedName name="FEES610" localSheetId="70">[1]Allowable!#REF!</definedName>
    <definedName name="FEES610" localSheetId="71">[1]Allowable!#REF!</definedName>
    <definedName name="FEES610" localSheetId="75">[1]Allowable!#REF!</definedName>
    <definedName name="FEES610" localSheetId="72">[1]Allowable!#REF!</definedName>
    <definedName name="FEES610" localSheetId="73">[1]Allowable!#REF!</definedName>
    <definedName name="FEES610" localSheetId="2">[1]Allowable!#REF!</definedName>
    <definedName name="FEES610" localSheetId="0">[1]Allowable!#REF!</definedName>
    <definedName name="FEES610">[1]Allowable!#REF!</definedName>
    <definedName name="FEESOTHR600" localSheetId="44">[1]Allowable!#REF!</definedName>
    <definedName name="FEESOTHR600" localSheetId="57">[1]Allowable!#REF!</definedName>
    <definedName name="FEESOTHR600" localSheetId="74">[1]Allowable!#REF!</definedName>
    <definedName name="FEESOTHR600" localSheetId="72">[1]Allowable!#REF!</definedName>
    <definedName name="FEESOTHR600" localSheetId="73">[1]Allowable!#REF!</definedName>
    <definedName name="FEESOTHR600" localSheetId="2">[1]Allowable!#REF!</definedName>
    <definedName name="FEESOTHR600" localSheetId="0">[1]Allowable!#REF!</definedName>
    <definedName name="FEESOTHR600">[1]Allowable!#REF!</definedName>
    <definedName name="FORMGUAR" localSheetId="57">#REF!</definedName>
    <definedName name="FORMGUAR" localSheetId="74">#REF!</definedName>
    <definedName name="FORMGUAR" localSheetId="72">#REF!</definedName>
    <definedName name="FORMGUAR" localSheetId="73">#REF!</definedName>
    <definedName name="FORMGUAR" localSheetId="2">#REF!</definedName>
    <definedName name="FORMGUAR" localSheetId="0">#REF!</definedName>
    <definedName name="FORMGUAR">#REF!</definedName>
    <definedName name="FRE_Instr_Time" localSheetId="47">'[13]-C8-'!$C$8</definedName>
    <definedName name="FRE_Instr_Time" localSheetId="52">'[14]-C8-'!$C$8</definedName>
    <definedName name="FRE_Instr_Time" localSheetId="57">'[15]-C8-'!$C$8</definedName>
    <definedName name="FRE_Instr_Time" localSheetId="74">'[15]-C8-'!$C$8</definedName>
    <definedName name="FRE_Instr_Time" localSheetId="73">'[15]-C8-'!$C$8</definedName>
    <definedName name="FRE_Instr_Time">'-C8-'!$C$8</definedName>
    <definedName name="FRENCH" localSheetId="47">#REF!</definedName>
    <definedName name="FRENCH" localSheetId="52">#REF!</definedName>
    <definedName name="FRENCH" localSheetId="57">#REF!</definedName>
    <definedName name="FRENCH" localSheetId="74">#REF!</definedName>
    <definedName name="FRENCH" localSheetId="72">#REF!</definedName>
    <definedName name="FRENCH" localSheetId="73">#REF!</definedName>
    <definedName name="FRENCH" localSheetId="2">#REF!</definedName>
    <definedName name="FRENCH" localSheetId="0">#REF!</definedName>
    <definedName name="FRENCH">#REF!</definedName>
    <definedName name="FRMON" localSheetId="47">#REF!</definedName>
    <definedName name="FRMON" localSheetId="52">#REF!</definedName>
    <definedName name="FRMON" localSheetId="57">#REF!</definedName>
    <definedName name="FRMON" localSheetId="74">#REF!</definedName>
    <definedName name="FRMON" localSheetId="72">#REF!</definedName>
    <definedName name="FRMON" localSheetId="73">#REF!</definedName>
    <definedName name="FRMON" localSheetId="2">#REF!</definedName>
    <definedName name="FRMON" localSheetId="0">#REF!</definedName>
    <definedName name="FRMON">#REF!</definedName>
    <definedName name="FudningRate_SmSchperSch" localSheetId="47">'[13]-C9-'!$H$8</definedName>
    <definedName name="FudningRate_SmSchperSch" localSheetId="52">'[14]-C9-'!$H$8</definedName>
    <definedName name="FudningRate_SmSchperSch" localSheetId="57">'[15]-C9-'!$H$8</definedName>
    <definedName name="FudningRate_SmSchperSch" localSheetId="74">'[15]-C9-'!$H$8</definedName>
    <definedName name="FudningRate_SmSchperSch" localSheetId="73">'[15]-C9-'!$H$8</definedName>
    <definedName name="FudningRate_SmSchperSch">'-C9-'!$H$8</definedName>
    <definedName name="FUNDEDIS" localSheetId="72">#REF!</definedName>
    <definedName name="FUNDEDIS" localSheetId="0">#REF!</definedName>
    <definedName name="FUNDEDIS">#REF!</definedName>
    <definedName name="FundingRate_1to12">'[16]- 2 -'!$H$8</definedName>
    <definedName name="FundingRate_AAA" localSheetId="47">'[13]-C6-'!$G$6</definedName>
    <definedName name="FundingRate_AAA" localSheetId="52">'[14]-C6-'!$G$6</definedName>
    <definedName name="FundingRate_AAA" localSheetId="57">'[15]-C6-'!$G$6</definedName>
    <definedName name="FundingRate_AAA" localSheetId="74">'[15]-C6-'!$G$6</definedName>
    <definedName name="FundingRate_AAA" localSheetId="73">'[15]-C6-'!$G$6</definedName>
    <definedName name="FundingRate_AAA">'-C6-'!$G$6</definedName>
    <definedName name="FundingRate_AddSuppSmSch" localSheetId="47">'[13]-B2-'!$B$7</definedName>
    <definedName name="FundingRate_AddSuppSmSch" localSheetId="52">'[14]-B2-'!$B$7</definedName>
    <definedName name="FundingRate_AddSuppSmSch" localSheetId="57">'[15]-B2-'!$B$7</definedName>
    <definedName name="FundingRate_AddSuppSmSch" localSheetId="74">'[15]-B2-'!$B$7</definedName>
    <definedName name="FundingRate_AddSuppSmSch" localSheetId="73">'[15]-B2-'!$B$7</definedName>
    <definedName name="FundingRate_AddSuppSmSch">'-B2-'!$B$7</definedName>
    <definedName name="FundingRate_AddSuppSmSchools">'-B2-'!$B$7</definedName>
    <definedName name="FundingRate_AILGr1to12" localSheetId="47">'[13]-C7-'!$G$6</definedName>
    <definedName name="FundingRate_AILGr1to12" localSheetId="52">'[14]-C7-'!$G$6</definedName>
    <definedName name="FundingRate_AILGr1to12" localSheetId="57">'[15]-C7-'!$G$6</definedName>
    <definedName name="FundingRate_AILGr1to12" localSheetId="74">'[15]-C7-'!$G$6</definedName>
    <definedName name="FundingRate_AILGr1to12" localSheetId="73">'[15]-C7-'!$G$6</definedName>
    <definedName name="FundingRate_AILGr1to12">'-C7-'!$G$6</definedName>
    <definedName name="FundingRate_AILKindergarten" localSheetId="47">'[13]-C7-'!$G$5</definedName>
    <definedName name="FundingRate_AILKindergarten" localSheetId="52">'[14]-C7-'!$G$5</definedName>
    <definedName name="FundingRate_AILKindergarten" localSheetId="57">'[15]-C7-'!$G$5</definedName>
    <definedName name="FundingRate_AILKindergarten" localSheetId="74">'[15]-C7-'!$G$5</definedName>
    <definedName name="FundingRate_AILKindergarten" localSheetId="73">'[15]-C7-'!$G$5</definedName>
    <definedName name="FundingRate_AILKindergarten">'-C7-'!$G$5</definedName>
    <definedName name="FundingRate_AILperCourse" localSheetId="47">'[13]-C7-'!$G$7</definedName>
    <definedName name="FundingRate_AILperCourse" localSheetId="52">'[14]-C7-'!$G$7</definedName>
    <definedName name="FundingRate_AILperCourse" localSheetId="57">'[15]-C7-'!$G$7</definedName>
    <definedName name="FundingRate_AILperCourse" localSheetId="74">'[15]-C7-'!$G$7</definedName>
    <definedName name="FundingRate_AILperCourse" localSheetId="73">'[15]-C7-'!$G$7</definedName>
    <definedName name="FundingRate_AILperCourse">'-C7-'!$G$7</definedName>
    <definedName name="FundingRate_ClassSize_1to3">'[16]- 2 -'!$Q$26</definedName>
    <definedName name="FundingRate_ClassSize_ECS">'[16]- 2 -'!$Q$25</definedName>
    <definedName name="FundingRate_CounsGuid" localSheetId="47">'[13]-B8-'!$B$7</definedName>
    <definedName name="FundingRate_CounsGuid" localSheetId="52">'[14]-B8-'!$B$7</definedName>
    <definedName name="FundingRate_CounsGuid" localSheetId="57">'[15]-B8-'!$B$7</definedName>
    <definedName name="FundingRate_CounsGuid" localSheetId="74">'[15]-B8-'!$B$7</definedName>
    <definedName name="FundingRate_CounsGuid" localSheetId="73">'[15]-B8-'!$B$7</definedName>
    <definedName name="FundingRate_CounsGuid">'-B8-'!$B$7</definedName>
    <definedName name="FundingRate_Curricular" localSheetId="47">'[13]-B4-'!$B$7</definedName>
    <definedName name="FundingRate_Curricular" localSheetId="52">'[14]-B4-'!$B$7</definedName>
    <definedName name="FundingRate_Curricular" localSheetId="57">'[15]-B4-'!$B$7</definedName>
    <definedName name="FundingRate_Curricular" localSheetId="74">'[15]-B4-'!$B$7</definedName>
    <definedName name="FundingRate_Curricular" localSheetId="73">'[15]-B4-'!$B$7</definedName>
    <definedName name="FundingRate_Curricular">'-B4-'!$B$7</definedName>
    <definedName name="FundingRate_EALperFTE" localSheetId="47">'[13]-C5-'!$I$8</definedName>
    <definedName name="FundingRate_EALperFTE" localSheetId="52">'[14]-C5-'!$I$8</definedName>
    <definedName name="FundingRate_EALperFTE" localSheetId="57">'[15]-C5-'!$I$8</definedName>
    <definedName name="FundingRate_EALperFTE" localSheetId="74">'[15]-C5-'!$I$8</definedName>
    <definedName name="FundingRate_EALperFTE" localSheetId="73">'[15]-C5-'!$I$8</definedName>
    <definedName name="FundingRate_EALperFTE">'-C5-'!$I$8</definedName>
    <definedName name="FundingRate_EALYr1">'-C5-'!$K$4</definedName>
    <definedName name="FundingRate_EALYr2">'-C5-'!$K$5</definedName>
    <definedName name="FundingRate_EALYr3">'-C5-'!$K$6</definedName>
    <definedName name="FundingRate_EALYr4">'-C5-'!$K$7</definedName>
    <definedName name="FundingRate_ECS">'[16]- 2 -'!$H$7</definedName>
    <definedName name="FundingRate_EnhancedAAA" localSheetId="47">'[13]-C6-'!$G$8</definedName>
    <definedName name="FundingRate_EnhancedAAA" localSheetId="52">'[14]-C6-'!$G$8</definedName>
    <definedName name="FundingRate_EnhancedAAA" localSheetId="57">'[15]-C6-'!$G$8</definedName>
    <definedName name="FundingRate_EnhancedAAA" localSheetId="74">'[15]-C6-'!$G$8</definedName>
    <definedName name="FundingRate_EnhancedAAA" localSheetId="73">'[15]-C6-'!$G$8</definedName>
    <definedName name="FundingRate_EnhancedAAA">'-C6-'!$G$8</definedName>
    <definedName name="FundingRate_EquityOp_Density">'[16]- 2 -'!$Q$12</definedName>
    <definedName name="FundingRate_EquityOp_Distance">'[16]- 2 -'!$Q$13</definedName>
    <definedName name="FundingRate_EquityOp_PerStudent">'[16]- 2 -'!$Q$11</definedName>
    <definedName name="FundingRate_ESL">'[16]- 2 -'!$H$19</definedName>
    <definedName name="FundingRate_FNMI">'[16]- 2 -'!$H$21</definedName>
    <definedName name="FundingRate_FREGr4to6" localSheetId="47">'[13]-C8-'!$C$7</definedName>
    <definedName name="FundingRate_FREGr4to6" localSheetId="52">'[14]-C8-'!$C$7</definedName>
    <definedName name="FundingRate_FREGr4to6" localSheetId="57">'[15]-C8-'!$C$7</definedName>
    <definedName name="FundingRate_FREGr4to6" localSheetId="74">'[15]-C8-'!$C$7</definedName>
    <definedName name="FundingRate_FREGr4to6" localSheetId="73">'[15]-C8-'!$C$7</definedName>
    <definedName name="FundingRate_FREGr4to6">'-C8-'!$C$7</definedName>
    <definedName name="FundingRate_FREGr7to8" localSheetId="47">'[13]-C8-'!$E$6</definedName>
    <definedName name="FundingRate_FREGr7to8" localSheetId="52">'[14]-C8-'!$E$6</definedName>
    <definedName name="FundingRate_FREGr7to8" localSheetId="57">'[15]-C8-'!$E$6</definedName>
    <definedName name="FundingRate_FREGr7to8" localSheetId="74">'[15]-C8-'!$E$6</definedName>
    <definedName name="FundingRate_FREGr7to8" localSheetId="73">'[15]-C8-'!$E$6</definedName>
    <definedName name="FundingRate_FREGr7to8">'-C8-'!$E$6</definedName>
    <definedName name="FundingRate_FREGr9to12" localSheetId="47">'[13]-C8-'!$E$7</definedName>
    <definedName name="FundingRate_FREGr9to12" localSheetId="52">'[14]-C8-'!$E$7</definedName>
    <definedName name="FundingRate_FREGr9to12" localSheetId="57">'[15]-C8-'!$E$7</definedName>
    <definedName name="FundingRate_FREGr9to12" localSheetId="74">'[15]-C8-'!$E$7</definedName>
    <definedName name="FundingRate_FREGr9to12" localSheetId="73">'[15]-C8-'!$E$7</definedName>
    <definedName name="FundingRate_FREGr9to12">'-C8-'!$E$7</definedName>
    <definedName name="FundingRate_FREK4toGr3" localSheetId="47">'[13]-C8-'!$C$6</definedName>
    <definedName name="FundingRate_FREK4toGr3" localSheetId="52">'[14]-C8-'!$C$6</definedName>
    <definedName name="FundingRate_FREK4toGr3" localSheetId="57">'[15]-C8-'!$C$6</definedName>
    <definedName name="FundingRate_FREK4toGr3" localSheetId="74">'[15]-C8-'!$C$6</definedName>
    <definedName name="FundingRate_FREK4toGr3" localSheetId="73">'[15]-C8-'!$C$6</definedName>
    <definedName name="FundingRate_FREK4toGr3">'-C8-'!$C$6</definedName>
    <definedName name="FundingRate_Home">'[16]- 2 -'!$H$9</definedName>
    <definedName name="FundingRate_InclusiveEd_Additional">'[16]- 2 -'!$H$26</definedName>
    <definedName name="FundingRate_InclusiveEd_Supports">'[16]- 2 -'!$H$24</definedName>
    <definedName name="FundingRate_IndLanguageCulture" localSheetId="47">'[13]-C7-'!$B$7</definedName>
    <definedName name="FundingRate_IndLanguageCulture" localSheetId="52">'[14]-C7-'!$B$7</definedName>
    <definedName name="FundingRate_IndLanguageCulture" localSheetId="57">'[15]-C7-'!$B$7</definedName>
    <definedName name="FundingRate_IndLanguageCulture" localSheetId="74">'[15]-C7-'!$B$7</definedName>
    <definedName name="FundingRate_IndLanguageCulture" localSheetId="73">'[15]-C7-'!$B$7</definedName>
    <definedName name="FundingRate_IndLanguageCulture">'-C7-'!$B$7</definedName>
    <definedName name="FundingRate_InfoTech" localSheetId="47">'[13]-B5-'!$B$7</definedName>
    <definedName name="FundingRate_InfoTech" localSheetId="52">'[14]-B5-'!$B$7</definedName>
    <definedName name="FundingRate_InfoTech" localSheetId="57">'[15]-B5-'!$B$7</definedName>
    <definedName name="FundingRate_InfoTech" localSheetId="74">'[15]-B5-'!$B$7</definedName>
    <definedName name="FundingRate_InfoTech" localSheetId="73">'[15]-B5-'!$B$7</definedName>
    <definedName name="FundingRate_InfoTech">'-B5-'!$B$7</definedName>
    <definedName name="FundingRate_InstrSupp" localSheetId="47">'[13]-B1-'!$B$7</definedName>
    <definedName name="FundingRate_InstrSupp" localSheetId="52">'[14]-B1-'!$B$7</definedName>
    <definedName name="FundingRate_InstrSupp" localSheetId="57">'[15]-B1-'!$B$7</definedName>
    <definedName name="FundingRate_InstrSupp" localSheetId="74">'[15]-B1-'!$B$7</definedName>
    <definedName name="FundingRate_InstrSupp" localSheetId="73">'[15]-B1-'!$B$7</definedName>
    <definedName name="FundingRate_InstrSupp">'-B1-'!$B$7</definedName>
    <definedName name="FundingRate_LibraryServ" localSheetId="47">'[13]-B6-'!$B$7</definedName>
    <definedName name="FundingRate_LibraryServ" localSheetId="52">'[14]-B6-'!$B$7</definedName>
    <definedName name="FundingRate_LibraryServ" localSheetId="57">'[15]-B6-'!$B$7</definedName>
    <definedName name="FundingRate_LibraryServ" localSheetId="74">'[15]-B6-'!$B$7</definedName>
    <definedName name="FundingRate_LibraryServ" localSheetId="73">'[15]-B6-'!$B$7</definedName>
    <definedName name="FundingRate_LibraryServ">'-B6-'!$B$7</definedName>
    <definedName name="FundingRate_LitNumperFTE" localSheetId="47">'[13]-C12-'!$B$6</definedName>
    <definedName name="FundingRate_LitNumperFTE" localSheetId="52">'[14]-C12-'!$B$6</definedName>
    <definedName name="FundingRate_LitNumperFTE" localSheetId="57">'[15]-C13-'!$B$6</definedName>
    <definedName name="FundingRate_LitNumperFTE" localSheetId="74">'[15]-C13-'!$B$6</definedName>
    <definedName name="FundingRate_LitNumperFTE" localSheetId="73">'[15]-C13-'!$B$6</definedName>
    <definedName name="FundingRate_LitNumperFTE">'-C12-'!$B$6</definedName>
    <definedName name="FundingRate_LitNumSalary" localSheetId="47">'[13]-C12-'!$B$7</definedName>
    <definedName name="FundingRate_LitNumSalary" localSheetId="52">'[14]-C12-'!$B$7</definedName>
    <definedName name="FundingRate_LitNumSalary" localSheetId="57">'[15]-C13-'!$B$7</definedName>
    <definedName name="FundingRate_LitNumSalary" localSheetId="74">'[15]-C13-'!$B$7</definedName>
    <definedName name="FundingRate_LitNumSalary" localSheetId="73">'[15]-C13-'!$B$7</definedName>
    <definedName name="FundingRate_LitNumSalary">'-C12-'!$B$7</definedName>
    <definedName name="FundingRate_MinCapSqM" localSheetId="47">'[13]Minor Capital'!$G$4</definedName>
    <definedName name="FundingRate_MinCapSqM" localSheetId="52">'[14]Minor Capital'!$G$4</definedName>
    <definedName name="FundingRate_MinCapSqM" localSheetId="57">'[15]Minor Capital'!$G$4</definedName>
    <definedName name="FundingRate_MinCapSqM" localSheetId="74">'[15]Minor Capital'!$G$4</definedName>
    <definedName name="FundingRate_MinCapSqM" localSheetId="73">'[15]Minor Capital'!$G$4</definedName>
    <definedName name="FundingRate_MinCapSqM">'Minor Capital'!$G$4</definedName>
    <definedName name="FundingRate_MinCapSSEEF" localSheetId="47">'[13]Minor Capital'!$G$6</definedName>
    <definedName name="FundingRate_MinCapSSEEF" localSheetId="52">'[14]Minor Capital'!$G$6</definedName>
    <definedName name="FundingRate_MinCapSSEEF" localSheetId="57">'[15]Minor Capital'!$G$6</definedName>
    <definedName name="FundingRate_MinCapSSEEF" localSheetId="74">'[15]Minor Capital'!$G$6</definedName>
    <definedName name="FundingRate_MinCapSSEEF" localSheetId="73">'[15]Minor Capital'!$G$6</definedName>
    <definedName name="FundingRate_MinCapSSEEF">'Minor Capital'!$G$6</definedName>
    <definedName name="FundingRate_MinCapTEER" localSheetId="47">'[13]Minor Capital'!$G$5</definedName>
    <definedName name="FundingRate_MinCapTEER" localSheetId="52">'[14]Minor Capital'!$G$5</definedName>
    <definedName name="FundingRate_MinCapTEER" localSheetId="57">'[15]Minor Capital'!$G$5</definedName>
    <definedName name="FundingRate_MinCapTEER" localSheetId="74">'[15]Minor Capital'!$G$5</definedName>
    <definedName name="FundingRate_MinCapTEER" localSheetId="73">'[15]Minor Capital'!$G$5</definedName>
    <definedName name="FundingRate_MinCapTEER">'Minor Capital'!$G$5</definedName>
    <definedName name="FundingRate_Northern" localSheetId="47">'[13]-C11-'!$B$6</definedName>
    <definedName name="FundingRate_Northern" localSheetId="52">'[14]-C11-'!$B$6</definedName>
    <definedName name="FundingRate_Northern" localSheetId="57">'[15]-C11-'!$B$6</definedName>
    <definedName name="FundingRate_Northern" localSheetId="74">'[15]-C11-'!$B$6</definedName>
    <definedName name="FundingRate_Northern" localSheetId="73">'[15]-C11-'!$B$6</definedName>
    <definedName name="FundingRate_Northern">'-C11-'!$B$6</definedName>
    <definedName name="FundingRate_Northern_Intermed">'[16]- 2 -'!$H$29</definedName>
    <definedName name="FundingRate_Northern_Lower">'[16]- 2 -'!$H$28</definedName>
    <definedName name="FundingRate_Northern_Upper">'[16]- 2 -'!$H$30</definedName>
    <definedName name="FundingRate_Occupancy" localSheetId="47">'[13]-B11-'!$B$7</definedName>
    <definedName name="FundingRate_Occupancy" localSheetId="52">'[14]-B11-'!$B$7</definedName>
    <definedName name="FundingRate_Occupancy" localSheetId="57">'[15]-B11-'!$B$7</definedName>
    <definedName name="FundingRate_Occupancy" localSheetId="74">'[15]-B11-'!$B$7</definedName>
    <definedName name="FundingRate_Occupancy" localSheetId="73">'[15]-B11-'!$B$7</definedName>
    <definedName name="FundingRate_Occupancy">'-B11-'!$B$21</definedName>
    <definedName name="FundingRate_OtherRevProxy" localSheetId="47">'[13]Other Revenue'!$I$13</definedName>
    <definedName name="FundingRate_OtherRevProxy" localSheetId="52">'[14]Other Revenue'!$I$13</definedName>
    <definedName name="FundingRate_OtherRevProxy" localSheetId="57">'[15]Other Revenue'!$I$13</definedName>
    <definedName name="FundingRate_OtherRevProxy" localSheetId="74">'[15]Other Revenue'!$I$13</definedName>
    <definedName name="FundingRate_OtherRevProxy" localSheetId="73">'[15]Other Revenue'!$I$13</definedName>
    <definedName name="FundingRate_OtherRevProxy">'Other Revenue'!$I$14</definedName>
    <definedName name="FundingRate_PhysEd" localSheetId="47">'[13]-B10-'!$B$7</definedName>
    <definedName name="FundingRate_PhysEd" localSheetId="52">'[14]-B10-'!$B$7</definedName>
    <definedName name="FundingRate_PhysEd" localSheetId="57">'[15]-B10-'!$B$7</definedName>
    <definedName name="FundingRate_PhysEd" localSheetId="74">'[15]-B10-'!$B$7</definedName>
    <definedName name="FundingRate_PhysEd" localSheetId="73">'[15]-B10-'!$B$7</definedName>
    <definedName name="FundingRate_PhysEd">'-B10-'!$B$7</definedName>
    <definedName name="FundingRate_ProfDev_Distance1" localSheetId="47">'[13]-B9-'!$G$5</definedName>
    <definedName name="FundingRate_ProfDev_Distance1" localSheetId="52">'[14]-B9-'!$G$5</definedName>
    <definedName name="FundingRate_ProfDev_Distance1" localSheetId="57">'[15]-B9-'!$G$5</definedName>
    <definedName name="FundingRate_ProfDev_Distance1" localSheetId="74">'[15]-B9-'!$G$5</definedName>
    <definedName name="FundingRate_ProfDev_Distance1" localSheetId="73">'[15]-B9-'!$G$5</definedName>
    <definedName name="FundingRate_ProfDev_Distance1">'-B9-'!$G$5</definedName>
    <definedName name="FundingRate_ProfDev_Distance2" localSheetId="47">'[13]-B9-'!$G$6</definedName>
    <definedName name="FundingRate_ProfDev_Distance2" localSheetId="52">'[14]-B9-'!$G$6</definedName>
    <definedName name="FundingRate_ProfDev_Distance2" localSheetId="57">'[15]-B9-'!$G$6</definedName>
    <definedName name="FundingRate_ProfDev_Distance2" localSheetId="74">'[15]-B9-'!$G$6</definedName>
    <definedName name="FundingRate_ProfDev_Distance2" localSheetId="73">'[15]-B9-'!$G$6</definedName>
    <definedName name="FundingRate_ProfDev_Distance2">'-B9-'!$G$6</definedName>
    <definedName name="FundingRate_ProfDev_perStud" localSheetId="47">'[13]-B9-'!$G$4</definedName>
    <definedName name="FundingRate_ProfDev_perStud" localSheetId="52">'[14]-B9-'!$G$4</definedName>
    <definedName name="FundingRate_ProfDev_perStud" localSheetId="57">'[15]-B9-'!$G$4</definedName>
    <definedName name="FundingRate_ProfDev_perStud" localSheetId="74">'[15]-B9-'!$G$4</definedName>
    <definedName name="FundingRate_ProfDev_perStud" localSheetId="73">'[15]-B9-'!$G$4</definedName>
    <definedName name="FundingRate_ProfDev_perStud">'-B9-'!$G$4</definedName>
    <definedName name="FundingRate_PropertyTaxProxy" localSheetId="47">'[13]Property Tax'!$I$13</definedName>
    <definedName name="FundingRate_PropertyTaxProxy" localSheetId="52">'[14]Property Tax'!$I$13</definedName>
    <definedName name="FundingRate_PropertyTaxProxy" localSheetId="57">'[15]Property Tax'!$I$13</definedName>
    <definedName name="FundingRate_PropertyTaxProxy" localSheetId="74">'[15]Property Tax'!$I$13</definedName>
    <definedName name="FundingRate_PropertyTaxProxy" localSheetId="73">'[15]Property Tax'!$I$13</definedName>
    <definedName name="FundingRate_PropertyTaxProxy" localSheetId="0">'Property Tax'!#REF!</definedName>
    <definedName name="FundingRate_PropertyTaxProxy">'Property Tax'!#REF!</definedName>
    <definedName name="FundingRate_Proxy_InclusiveEd_Differential">'[16]- 28 -'!$E$10</definedName>
    <definedName name="FundingRate_Proxy_PlantOpMaint">'[16]- 28 -'!$F$23</definedName>
    <definedName name="FundingRate_Proxy_RCSD">'[16]- 28 -'!$E$44</definedName>
    <definedName name="FundingRate_SES">'[16]- 2 -'!$H$22</definedName>
    <definedName name="FundingRate_SmSchElem" localSheetId="47">'[13]-C9-'!$H$4</definedName>
    <definedName name="FundingRate_SmSchElem" localSheetId="52">'[14]-C9-'!$H$4</definedName>
    <definedName name="FundingRate_SmSchElem" localSheetId="57">'[15]-C9-'!$H$4</definedName>
    <definedName name="FundingRate_SmSchElem" localSheetId="74">'[15]-C9-'!$H$4</definedName>
    <definedName name="FundingRate_SmSchElem" localSheetId="73">'[15]-C9-'!$H$4</definedName>
    <definedName name="FundingRate_SmSchElem">'-C9-'!$H$4</definedName>
    <definedName name="FundingRate_SmSchElemperPupil" localSheetId="47">'[13]-C9-'!$H$5</definedName>
    <definedName name="FundingRate_SmSchElemperPupil" localSheetId="52">'[14]-C9-'!$H$5</definedName>
    <definedName name="FundingRate_SmSchElemperPupil" localSheetId="57">'[15]-C9-'!$H$5</definedName>
    <definedName name="FundingRate_SmSchElemperPupil" localSheetId="74">'[15]-C9-'!$H$5</definedName>
    <definedName name="FundingRate_SmSchElemperPupil" localSheetId="73">'[15]-C9-'!$H$5</definedName>
    <definedName name="FundingRate_SmSchElemperPupil">'-C9-'!$H$5</definedName>
    <definedName name="FundingRate_SmSchSec" localSheetId="47">'[13]-C9-'!$H$6</definedName>
    <definedName name="FundingRate_SmSchSec" localSheetId="52">'[14]-C9-'!$H$6</definedName>
    <definedName name="FundingRate_SmSchSec" localSheetId="57">'[15]-C9-'!$H$6</definedName>
    <definedName name="FundingRate_SmSchSec" localSheetId="74">'[15]-C9-'!$H$6</definedName>
    <definedName name="FundingRate_SmSchSec" localSheetId="73">'[15]-C9-'!$H$6</definedName>
    <definedName name="FundingRate_SmSchSec">'-C9-'!$H$6</definedName>
    <definedName name="FundingRate_SmSchSecperPupil" localSheetId="47">'[13]-C9-'!$H$7</definedName>
    <definedName name="FundingRate_SmSchSecperPupil" localSheetId="52">'[14]-C9-'!$H$7</definedName>
    <definedName name="FundingRate_SmSchSecperPupil" localSheetId="57">'[15]-C9-'!$H$7</definedName>
    <definedName name="FundingRate_SmSchSecperPupil" localSheetId="74">'[15]-C9-'!$H$7</definedName>
    <definedName name="FundingRate_SmSchSecperPupil" localSheetId="73">'[15]-C9-'!$H$7</definedName>
    <definedName name="FundingRate_SmSchSecperPupil">'-C9-'!$H$7</definedName>
    <definedName name="FundingRate_Sparsity" localSheetId="47">'[13]-B3-'!$G$4</definedName>
    <definedName name="FundingRate_Sparsity" localSheetId="52">'[14]-B3-'!$G$4</definedName>
    <definedName name="FundingRate_Sparsity" localSheetId="57">'[15]-B3-'!$G$4</definedName>
    <definedName name="FundingRate_Sparsity" localSheetId="74">'[15]-B3-'!$G$4</definedName>
    <definedName name="FundingRate_Sparsity" localSheetId="73">'[15]-B3-'!$G$4</definedName>
    <definedName name="FundingRate_Sparsity">'-B3-'!$G$4</definedName>
    <definedName name="FundingRate_SpecNeeds" localSheetId="47">'[13]-C3-'!$F$6</definedName>
    <definedName name="FundingRate_SpecNeeds" localSheetId="52">'[14]-C3-'!$F$6</definedName>
    <definedName name="FundingRate_SpecNeeds" localSheetId="57">'[15]-C3-'!$F$6</definedName>
    <definedName name="FundingRate_SpecNeeds" localSheetId="74">'[15]-C3-'!$F$6</definedName>
    <definedName name="FundingRate_SpecNeeds" localSheetId="73">'[15]-C3-'!$F$6</definedName>
    <definedName name="FundingRate_SpecNeeds">'-C3-'!$G$6</definedName>
    <definedName name="FundingRate_SrYrTech" localSheetId="47">'[13]-C4-'!$F$6</definedName>
    <definedName name="FundingRate_SrYrTech" localSheetId="52">'[14]-C4-'!$F$6</definedName>
    <definedName name="FundingRate_SrYrTech" localSheetId="57">'[15]-C4-'!$F$6</definedName>
    <definedName name="FundingRate_SrYrTech" localSheetId="74">'[15]-C4-'!$F$6</definedName>
    <definedName name="FundingRate_SrYrTech" localSheetId="73">'[15]-C4-'!$F$6</definedName>
    <definedName name="FundingRate_SrYrTech">'-C4-'!$F$6</definedName>
    <definedName name="FundingRate_SSBN_Base">'[16]- 2 -'!$H$33</definedName>
    <definedName name="FundingRate_StdperGrade" localSheetId="47">'[13]-B3-'!$G$5</definedName>
    <definedName name="FundingRate_StdperGrade" localSheetId="52">'[14]-B3-'!$G$5</definedName>
    <definedName name="FundingRate_StdperGrade" localSheetId="57">'[15]-B3-'!$G$5</definedName>
    <definedName name="FundingRate_StdperGrade" localSheetId="74">'[15]-B3-'!$G$5</definedName>
    <definedName name="FundingRate_StdperGrade" localSheetId="73">'[15]-B3-'!$G$5</definedName>
    <definedName name="FundingRate_StdperGrade">'-B3-'!$G$5</definedName>
    <definedName name="FundingRate_StudServ" localSheetId="47">'[13]-B7-'!$E$8</definedName>
    <definedName name="FundingRate_StudServ" localSheetId="52">'[14]-B7-'!$E$8</definedName>
    <definedName name="FundingRate_StudServ" localSheetId="57">'[15]-B7-'!$C$8</definedName>
    <definedName name="FundingRate_StudServ" localSheetId="74">'[15]-B7-'!$C$8</definedName>
    <definedName name="FundingRate_StudServ" localSheetId="73">'[15]-B7-'!$C$8</definedName>
    <definedName name="FundingRate_StudServ">'-B7-'!$E$8</definedName>
    <definedName name="FundingRate_SuperNet">'[16]- 2 -'!$Q$23</definedName>
    <definedName name="FundingRate_SusDev" localSheetId="47">'[13]-C13-'!$B$7</definedName>
    <definedName name="FundingRate_SusDev" localSheetId="52">'[14]-C13-'!$B$7</definedName>
    <definedName name="FundingRate_SusDev" localSheetId="57">'[15]-C14-'!$B$7</definedName>
    <definedName name="FundingRate_SusDev" localSheetId="74">'[15]-C14-'!$B$7</definedName>
    <definedName name="FundingRate_SusDev" localSheetId="73">'[15]-C14-'!$B$7</definedName>
    <definedName name="FundingRate_SusDev">'-C13-'!$B$7</definedName>
    <definedName name="GBEs" localSheetId="47">#REF!</definedName>
    <definedName name="GBEs" localSheetId="52">#REF!</definedName>
    <definedName name="GBEs" localSheetId="57">#REF!</definedName>
    <definedName name="GBEs" localSheetId="74">#REF!</definedName>
    <definedName name="GBEs" localSheetId="72">#REF!</definedName>
    <definedName name="GBEs" localSheetId="73">#REF!</definedName>
    <definedName name="GBEs" localSheetId="2">#REF!</definedName>
    <definedName name="GBEs" localSheetId="0">#REF!</definedName>
    <definedName name="GBEs">#REF!</definedName>
    <definedName name="GSG" localSheetId="47">#REF!</definedName>
    <definedName name="GSG" localSheetId="52">#REF!</definedName>
    <definedName name="GSG" localSheetId="57">#REF!</definedName>
    <definedName name="GSG" localSheetId="74">#REF!</definedName>
    <definedName name="GSG" localSheetId="72">#REF!</definedName>
    <definedName name="GSG" localSheetId="73">#REF!</definedName>
    <definedName name="GSG" localSheetId="2">#REF!</definedName>
    <definedName name="GSG" localSheetId="0">#REF!</definedName>
    <definedName name="GSG">#REF!</definedName>
    <definedName name="HEALTHSCH" localSheetId="47">#REF!</definedName>
    <definedName name="HEALTHSCH" localSheetId="52">#REF!</definedName>
    <definedName name="HEALTHSCH" localSheetId="57">#REF!</definedName>
    <definedName name="HEALTHSCH" localSheetId="74">#REF!</definedName>
    <definedName name="HEALTHSCH" localSheetId="72">#REF!</definedName>
    <definedName name="HEALTHSCH" localSheetId="73">#REF!</definedName>
    <definedName name="HEALTHSCH" localSheetId="2">#REF!</definedName>
    <definedName name="HEALTHSCH" localSheetId="0">#REF!</definedName>
    <definedName name="HEALTHSCH">#REF!</definedName>
    <definedName name="HERITAGE" localSheetId="57">#REF!</definedName>
    <definedName name="HERITAGE" localSheetId="74">#REF!</definedName>
    <definedName name="HERITAGE" localSheetId="72">#REF!</definedName>
    <definedName name="HERITAGE" localSheetId="73">#REF!</definedName>
    <definedName name="HERITAGE" localSheetId="2">#REF!</definedName>
    <definedName name="HERITAGE" localSheetId="0">#REF!</definedName>
    <definedName name="HERITAGE">#REF!</definedName>
    <definedName name="Holback_Key">'[2]Salary Hold back'!$A$1:$A$65536</definedName>
    <definedName name="Holdback_Value">'[2]Salary Hold back'!$G$1:$G$65536</definedName>
    <definedName name="HTML_CodePage" hidden="1">1252</definedName>
    <definedName name="HTML_Control" localSheetId="47" hidden="1">{"'- 4 -'!$A$1:$G$76","'-3 -'!$A$1:$G$77"}</definedName>
    <definedName name="HTML_Control" localSheetId="52" hidden="1">{"'- 4 -'!$A$1:$G$76","'-3 -'!$A$1:$G$77"}</definedName>
    <definedName name="HTML_Control" localSheetId="57" hidden="1">{"'- 4 -'!$A$1:$G$76","'-3 -'!$A$1:$G$77"}</definedName>
    <definedName name="HTML_Control" localSheetId="61" hidden="1">{"'- 4 -'!$A$1:$G$76","'-3 -'!$A$1:$G$77"}</definedName>
    <definedName name="HTML_Control" localSheetId="74" hidden="1">{"'- 4 -'!$A$1:$G$76","'-3 -'!$A$1:$G$77"}</definedName>
    <definedName name="HTML_Control" localSheetId="70" hidden="1">{"'- 4 -'!$A$1:$G$76","'-3 -'!$A$1:$G$77"}</definedName>
    <definedName name="HTML_Control" localSheetId="71" hidden="1">{"'- 4 -'!$A$1:$G$76","'-3 -'!$A$1:$G$77"}</definedName>
    <definedName name="HTML_Control" localSheetId="75" hidden="1">{"'- 4 -'!$A$1:$G$76","'-3 -'!$A$1:$G$77"}</definedName>
    <definedName name="HTML_Control" localSheetId="72" hidden="1">{"'- 4 -'!$A$1:$G$76","'-3 -'!$A$1:$G$77"}</definedName>
    <definedName name="HTML_Control" localSheetId="73" hidden="1">{"'- 4 -'!$A$1:$G$76","'-3 -'!$A$1:$G$77"}</definedName>
    <definedName name="HTML_Control" hidden="1">{"'- 4 -'!$A$1:$G$76","'-3 -'!$A$1:$G$77"}</definedName>
    <definedName name="HTML_Description" hidden="1">""</definedName>
    <definedName name="HTML_Email" hidden="1">""</definedName>
    <definedName name="HTML_Header" hidden="1">"- 8 -"</definedName>
    <definedName name="HTML_LastUpdate" hidden="1">"1999-01-20"</definedName>
    <definedName name="HTML_LineAfter" hidden="1">FALSE</definedName>
    <definedName name="HTML_LineBefore" hidden="1">FALSE</definedName>
    <definedName name="HTML_Name" hidden="1">"Chris J. Anderson"</definedName>
    <definedName name="HTML_OBDlg2" hidden="1">TRUE</definedName>
    <definedName name="HTML_OBDlg4" hidden="1">TRUE</definedName>
    <definedName name="HTML_OS" hidden="1">0</definedName>
    <definedName name="HTML_PathFile" hidden="1">"C:\frame\FIN98\MyHTML.htm"</definedName>
    <definedName name="HTML_Title" hidden="1">"98AFRAME"</definedName>
    <definedName name="IncidenceRate_Proxy_ESL">'[16]- 29 -'!$C$10</definedName>
    <definedName name="IncidenceRate_Proxy_SES">'[16]- 29 -'!$C$18</definedName>
    <definedName name="INFOTECH" localSheetId="57">#REF!</definedName>
    <definedName name="INFOTECH" localSheetId="74">#REF!</definedName>
    <definedName name="INFOTECH" localSheetId="72">#REF!</definedName>
    <definedName name="INFOTECH" localSheetId="73">#REF!</definedName>
    <definedName name="INFOTECH" localSheetId="2">#REF!</definedName>
    <definedName name="INFOTECH" localSheetId="0">#REF!</definedName>
    <definedName name="INFOTECH">#REF!</definedName>
    <definedName name="INSTPROG" localSheetId="57">#REF!</definedName>
    <definedName name="INSTPROG" localSheetId="74">#REF!</definedName>
    <definedName name="INSTPROG" localSheetId="72">#REF!</definedName>
    <definedName name="INSTPROG" localSheetId="73">#REF!</definedName>
    <definedName name="INSTPROG" localSheetId="2">#REF!</definedName>
    <definedName name="INSTPROG" localSheetId="0">#REF!</definedName>
    <definedName name="INSTPROG">#REF!</definedName>
    <definedName name="ISAdd" localSheetId="15">#REF!</definedName>
    <definedName name="ISAdd" localSheetId="16">#REF!</definedName>
    <definedName name="ISAdd" localSheetId="7">#REF!</definedName>
    <definedName name="ISAdd" localSheetId="8">#REF!</definedName>
    <definedName name="ISAdd" localSheetId="9">#REF!</definedName>
    <definedName name="ISAdd" localSheetId="10">#REF!</definedName>
    <definedName name="ISAdd" localSheetId="11">#REF!</definedName>
    <definedName name="ISAdd" localSheetId="12">#REF!</definedName>
    <definedName name="ISAdd" localSheetId="13">#REF!</definedName>
    <definedName name="ISAdd" localSheetId="14">#REF!</definedName>
    <definedName name="ISAdd" localSheetId="18">#REF!</definedName>
    <definedName name="ISAdd" localSheetId="27">#REF!</definedName>
    <definedName name="ISAdd" localSheetId="28">#REF!</definedName>
    <definedName name="ISAdd" localSheetId="29">#REF!</definedName>
    <definedName name="ISAdd" localSheetId="30">#REF!</definedName>
    <definedName name="ISAdd" localSheetId="19">#REF!</definedName>
    <definedName name="ISAdd" localSheetId="20">#REF!</definedName>
    <definedName name="ISAdd" localSheetId="21">#REF!</definedName>
    <definedName name="ISAdd" localSheetId="22">#REF!</definedName>
    <definedName name="ISAdd" localSheetId="23">#REF!</definedName>
    <definedName name="ISAdd" localSheetId="24">#REF!</definedName>
    <definedName name="ISAdd" localSheetId="25">#REF!</definedName>
    <definedName name="ISAdd" localSheetId="26">#REF!</definedName>
    <definedName name="ISAdd" localSheetId="44">#REF!</definedName>
    <definedName name="ISAdd" localSheetId="57">#REF!</definedName>
    <definedName name="ISAdd" localSheetId="64">#REF!</definedName>
    <definedName name="ISAdd" localSheetId="66">#REF!</definedName>
    <definedName name="ISAdd" localSheetId="74">#REF!</definedName>
    <definedName name="ISAdd" localSheetId="36">#REF!</definedName>
    <definedName name="ISAdd" localSheetId="68">#REF!</definedName>
    <definedName name="ISAdd" localSheetId="38">#REF!</definedName>
    <definedName name="ISAdd" localSheetId="40">#REF!</definedName>
    <definedName name="ISAdd" localSheetId="37">#REF!</definedName>
    <definedName name="ISAdd" localSheetId="70">#REF!</definedName>
    <definedName name="ISAdd" localSheetId="71">#REF!</definedName>
    <definedName name="ISAdd" localSheetId="75">#REF!</definedName>
    <definedName name="ISAdd" localSheetId="72">#REF!</definedName>
    <definedName name="ISAdd" localSheetId="73">#REF!</definedName>
    <definedName name="ISAdd" localSheetId="2">#REF!</definedName>
    <definedName name="ISAdd" localSheetId="0">#REF!</definedName>
    <definedName name="ISAdd">#REF!</definedName>
    <definedName name="ISEnrl" localSheetId="72">#REF!</definedName>
    <definedName name="ISEnrl" localSheetId="0">#REF!</definedName>
    <definedName name="ISEnrl">#REF!</definedName>
    <definedName name="Lang" localSheetId="27">#REF!</definedName>
    <definedName name="Lang" localSheetId="28">#REF!</definedName>
    <definedName name="Lang" localSheetId="29">#REF!</definedName>
    <definedName name="Lang" localSheetId="30">#REF!</definedName>
    <definedName name="Lang" localSheetId="44">#REF!</definedName>
    <definedName name="Lang" localSheetId="52">#REF!</definedName>
    <definedName name="Lang" localSheetId="57">#REF!</definedName>
    <definedName name="Lang" localSheetId="61">[3]Data!$V$4</definedName>
    <definedName name="Lang" localSheetId="74">#REF!</definedName>
    <definedName name="Lang" localSheetId="36">#REF!</definedName>
    <definedName name="Lang" localSheetId="38">#REF!</definedName>
    <definedName name="Lang" localSheetId="40">#REF!</definedName>
    <definedName name="Lang" localSheetId="37">#REF!</definedName>
    <definedName name="Lang" localSheetId="70">#REF!</definedName>
    <definedName name="Lang" localSheetId="71">#REF!</definedName>
    <definedName name="Lang" localSheetId="75">#REF!</definedName>
    <definedName name="Lang" localSheetId="72">#REF!</definedName>
    <definedName name="Lang" localSheetId="73">#REF!</definedName>
    <definedName name="Lang" localSheetId="2">#REF!</definedName>
    <definedName name="Lang" localSheetId="0">#REF!</definedName>
    <definedName name="Lang">#REF!</definedName>
    <definedName name="Learn18Coord" localSheetId="57">#REF!</definedName>
    <definedName name="Learn18Coord" localSheetId="74">#REF!</definedName>
    <definedName name="Learn18Coord" localSheetId="72">#REF!</definedName>
    <definedName name="Learn18Coord" localSheetId="73">#REF!</definedName>
    <definedName name="Learn18Coord" localSheetId="2">#REF!</definedName>
    <definedName name="Learn18Coord" localSheetId="0">#REF!</definedName>
    <definedName name="Learn18Coord">#REF!</definedName>
    <definedName name="LEASECOSTS" localSheetId="44">[1]Allowable!#REF!</definedName>
    <definedName name="LEASECOSTS" localSheetId="57">[1]Allowable!#REF!</definedName>
    <definedName name="LEASECOSTS" localSheetId="74">[1]Allowable!#REF!</definedName>
    <definedName name="LEASECOSTS" localSheetId="70">[1]Allowable!#REF!</definedName>
    <definedName name="LEASECOSTS" localSheetId="71">[1]Allowable!#REF!</definedName>
    <definedName name="LEASECOSTS" localSheetId="75">[1]Allowable!#REF!</definedName>
    <definedName name="LEASECOSTS" localSheetId="72">[1]Allowable!#REF!</definedName>
    <definedName name="LEASECOSTS" localSheetId="73">[1]Allowable!#REF!</definedName>
    <definedName name="LEASECOSTS" localSheetId="2">[1]Allowable!#REF!</definedName>
    <definedName name="LEASECOSTS" localSheetId="0">[1]Allowable!#REF!</definedName>
    <definedName name="LEASECOSTS">[1]Allowable!#REF!</definedName>
    <definedName name="LIBRARY" localSheetId="57">#REF!</definedName>
    <definedName name="LIBRARY" localSheetId="74">#REF!</definedName>
    <definedName name="LIBRARY" localSheetId="72">#REF!</definedName>
    <definedName name="LIBRARY" localSheetId="73">#REF!</definedName>
    <definedName name="LIBRARY" localSheetId="2">#REF!</definedName>
    <definedName name="LIBRARY" localSheetId="0">#REF!</definedName>
    <definedName name="LIBRARY">#REF!</definedName>
    <definedName name="LIST">[12]DATA!$D$1:$D$39</definedName>
    <definedName name="LOADED1" localSheetId="15">#REF!</definedName>
    <definedName name="LOADED1" localSheetId="16">#REF!</definedName>
    <definedName name="LOADED1" localSheetId="7">#REF!</definedName>
    <definedName name="LOADED1" localSheetId="8">#REF!</definedName>
    <definedName name="LOADED1" localSheetId="9">#REF!</definedName>
    <definedName name="LOADED1" localSheetId="10">#REF!</definedName>
    <definedName name="LOADED1" localSheetId="11">#REF!</definedName>
    <definedName name="LOADED1" localSheetId="12">#REF!</definedName>
    <definedName name="LOADED1" localSheetId="13">#REF!</definedName>
    <definedName name="LOADED1" localSheetId="14">#REF!</definedName>
    <definedName name="LOADED1" localSheetId="18">#REF!</definedName>
    <definedName name="LOADED1" localSheetId="27">#REF!</definedName>
    <definedName name="LOADED1" localSheetId="28">#REF!</definedName>
    <definedName name="LOADED1" localSheetId="29">#REF!</definedName>
    <definedName name="LOADED1" localSheetId="30">#REF!</definedName>
    <definedName name="LOADED1" localSheetId="19">#REF!</definedName>
    <definedName name="LOADED1" localSheetId="20">#REF!</definedName>
    <definedName name="LOADED1" localSheetId="21">#REF!</definedName>
    <definedName name="LOADED1" localSheetId="22">#REF!</definedName>
    <definedName name="LOADED1" localSheetId="23">#REF!</definedName>
    <definedName name="LOADED1" localSheetId="24">#REF!</definedName>
    <definedName name="LOADED1" localSheetId="25">#REF!</definedName>
    <definedName name="LOADED1" localSheetId="26">#REF!</definedName>
    <definedName name="LOADED1" localSheetId="44">#REF!</definedName>
    <definedName name="LOADED1" localSheetId="57">#REF!</definedName>
    <definedName name="LOADED1" localSheetId="74">#REF!</definedName>
    <definedName name="LOADED1" localSheetId="36">#REF!</definedName>
    <definedName name="LOADED1" localSheetId="38">#REF!</definedName>
    <definedName name="LOADED1" localSheetId="40">#REF!</definedName>
    <definedName name="LOADED1" localSheetId="37">#REF!</definedName>
    <definedName name="LOADED1" localSheetId="70">#REF!</definedName>
    <definedName name="LOADED1" localSheetId="71">#REF!</definedName>
    <definedName name="LOADED1" localSheetId="75">#REF!</definedName>
    <definedName name="LOADED1" localSheetId="72">#REF!</definedName>
    <definedName name="LOADED1" localSheetId="73">#REF!</definedName>
    <definedName name="LOADED1" localSheetId="2">#REF!</definedName>
    <definedName name="LOADED1" localSheetId="0">#REF!</definedName>
    <definedName name="LOADED1">#REF!</definedName>
    <definedName name="LOADED2" localSheetId="15">#REF!</definedName>
    <definedName name="LOADED2" localSheetId="16">#REF!</definedName>
    <definedName name="LOADED2" localSheetId="7">#REF!</definedName>
    <definedName name="LOADED2" localSheetId="8">#REF!</definedName>
    <definedName name="LOADED2" localSheetId="9">#REF!</definedName>
    <definedName name="LOADED2" localSheetId="10">#REF!</definedName>
    <definedName name="LOADED2" localSheetId="11">#REF!</definedName>
    <definedName name="LOADED2" localSheetId="12">#REF!</definedName>
    <definedName name="LOADED2" localSheetId="13">#REF!</definedName>
    <definedName name="LOADED2" localSheetId="14">#REF!</definedName>
    <definedName name="LOADED2" localSheetId="18">#REF!</definedName>
    <definedName name="LOADED2" localSheetId="27">#REF!</definedName>
    <definedName name="LOADED2" localSheetId="28">#REF!</definedName>
    <definedName name="LOADED2" localSheetId="29">#REF!</definedName>
    <definedName name="LOADED2" localSheetId="30">#REF!</definedName>
    <definedName name="LOADED2" localSheetId="19">#REF!</definedName>
    <definedName name="LOADED2" localSheetId="20">#REF!</definedName>
    <definedName name="LOADED2" localSheetId="21">#REF!</definedName>
    <definedName name="LOADED2" localSheetId="22">#REF!</definedName>
    <definedName name="LOADED2" localSheetId="23">#REF!</definedName>
    <definedName name="LOADED2" localSheetId="24">#REF!</definedName>
    <definedName name="LOADED2" localSheetId="25">#REF!</definedName>
    <definedName name="LOADED2" localSheetId="26">#REF!</definedName>
    <definedName name="LOADED2" localSheetId="44">#REF!</definedName>
    <definedName name="LOADED2" localSheetId="57">#REF!</definedName>
    <definedName name="LOADED2" localSheetId="74">#REF!</definedName>
    <definedName name="LOADED2" localSheetId="36">#REF!</definedName>
    <definedName name="LOADED2" localSheetId="38">#REF!</definedName>
    <definedName name="LOADED2" localSheetId="40">#REF!</definedName>
    <definedName name="LOADED2" localSheetId="37">#REF!</definedName>
    <definedName name="LOADED2" localSheetId="72">#REF!</definedName>
    <definedName name="LOADED2" localSheetId="73">#REF!</definedName>
    <definedName name="LOADED2" localSheetId="2">#REF!</definedName>
    <definedName name="LOADED2" localSheetId="0">#REF!</definedName>
    <definedName name="LOADED2">#REF!</definedName>
    <definedName name="LOADED3" localSheetId="15">#REF!</definedName>
    <definedName name="LOADED3" localSheetId="16">#REF!</definedName>
    <definedName name="LOADED3" localSheetId="7">#REF!</definedName>
    <definedName name="LOADED3" localSheetId="8">#REF!</definedName>
    <definedName name="LOADED3" localSheetId="9">#REF!</definedName>
    <definedName name="LOADED3" localSheetId="10">#REF!</definedName>
    <definedName name="LOADED3" localSheetId="11">#REF!</definedName>
    <definedName name="LOADED3" localSheetId="12">#REF!</definedName>
    <definedName name="LOADED3" localSheetId="13">#REF!</definedName>
    <definedName name="LOADED3" localSheetId="14">#REF!</definedName>
    <definedName name="LOADED3" localSheetId="18">#REF!</definedName>
    <definedName name="LOADED3" localSheetId="27">#REF!</definedName>
    <definedName name="LOADED3" localSheetId="28">#REF!</definedName>
    <definedName name="LOADED3" localSheetId="29">#REF!</definedName>
    <definedName name="LOADED3" localSheetId="30">#REF!</definedName>
    <definedName name="LOADED3" localSheetId="19">#REF!</definedName>
    <definedName name="LOADED3" localSheetId="20">#REF!</definedName>
    <definedName name="LOADED3" localSheetId="21">#REF!</definedName>
    <definedName name="LOADED3" localSheetId="22">#REF!</definedName>
    <definedName name="LOADED3" localSheetId="23">#REF!</definedName>
    <definedName name="LOADED3" localSheetId="24">#REF!</definedName>
    <definedName name="LOADED3" localSheetId="25">#REF!</definedName>
    <definedName name="LOADED3" localSheetId="26">#REF!</definedName>
    <definedName name="LOADED3" localSheetId="44">#REF!</definedName>
    <definedName name="LOADED3" localSheetId="57">#REF!</definedName>
    <definedName name="LOADED3" localSheetId="74">#REF!</definedName>
    <definedName name="LOADED3" localSheetId="36">#REF!</definedName>
    <definedName name="LOADED3" localSheetId="38">#REF!</definedName>
    <definedName name="LOADED3" localSheetId="40">#REF!</definedName>
    <definedName name="LOADED3" localSheetId="37">#REF!</definedName>
    <definedName name="LOADED3" localSheetId="72">#REF!</definedName>
    <definedName name="LOADED3" localSheetId="73">#REF!</definedName>
    <definedName name="LOADED3" localSheetId="2">#REF!</definedName>
    <definedName name="LOADED3" localSheetId="0">#REF!</definedName>
    <definedName name="LOADED3">#REF!</definedName>
    <definedName name="MINCAP" localSheetId="57">#REF!</definedName>
    <definedName name="MINCAP" localSheetId="74">#REF!</definedName>
    <definedName name="MINCAP" localSheetId="72">#REF!</definedName>
    <definedName name="MINCAP" localSheetId="73">#REF!</definedName>
    <definedName name="MINCAP" localSheetId="2">#REF!</definedName>
    <definedName name="MINCAP" localSheetId="0">#REF!</definedName>
    <definedName name="MINCAP">#REF!</definedName>
    <definedName name="MUNGOVT" localSheetId="57">#REF!</definedName>
    <definedName name="MUNGOVT" localSheetId="74">#REF!</definedName>
    <definedName name="MUNGOVT" localSheetId="72">#REF!</definedName>
    <definedName name="MUNGOVT" localSheetId="73">#REF!</definedName>
    <definedName name="MUNGOVT" localSheetId="2">#REF!</definedName>
    <definedName name="MUNGOVT" localSheetId="0">#REF!</definedName>
    <definedName name="MUNGOVT">#REF!</definedName>
    <definedName name="MUNOTHR" localSheetId="57">#REF!</definedName>
    <definedName name="MUNOTHR" localSheetId="74">#REF!</definedName>
    <definedName name="MUNOTHR" localSheetId="72">#REF!</definedName>
    <definedName name="MUNOTHR" localSheetId="73">#REF!</definedName>
    <definedName name="MUNOTHR" localSheetId="2">#REF!</definedName>
    <definedName name="MUNOTHR" localSheetId="0">#REF!</definedName>
    <definedName name="MUNOTHR">#REF!</definedName>
    <definedName name="NETSPECREQ" localSheetId="57">#REF!</definedName>
    <definedName name="NETSPECREQ" localSheetId="74">#REF!</definedName>
    <definedName name="NETSPECREQ" localSheetId="72">#REF!</definedName>
    <definedName name="NETSPECREQ" localSheetId="73">#REF!</definedName>
    <definedName name="NETSPECREQ" localSheetId="2">#REF!</definedName>
    <definedName name="NETSPECREQ" localSheetId="0">#REF!</definedName>
    <definedName name="NETSPECREQ">#REF!</definedName>
    <definedName name="New_CoA">[2]Lookups!$P$1:$Y$339</definedName>
    <definedName name="NONFUNDEDIS" localSheetId="72">#REF!</definedName>
    <definedName name="NONFUNDEDIS" localSheetId="0">#REF!</definedName>
    <definedName name="NONFUNDEDIS">#REF!</definedName>
    <definedName name="NONPROVREV" localSheetId="47">#REF!</definedName>
    <definedName name="NONPROVREV" localSheetId="52">#REF!</definedName>
    <definedName name="NONPROVREV" localSheetId="57">#REF!</definedName>
    <definedName name="NONPROVREV" localSheetId="74">#REF!</definedName>
    <definedName name="NONPROVREV" localSheetId="72">#REF!</definedName>
    <definedName name="NONPROVREV" localSheetId="73">#REF!</definedName>
    <definedName name="NONPROVREV" localSheetId="2">#REF!</definedName>
    <definedName name="NONPROVREV" localSheetId="0">#REF!</definedName>
    <definedName name="NONPROVREV">#REF!</definedName>
    <definedName name="NONRES" localSheetId="47">#REF!</definedName>
    <definedName name="NONRES" localSheetId="52">#REF!</definedName>
    <definedName name="NONRES" localSheetId="57">#REF!</definedName>
    <definedName name="NONRES" localSheetId="74">#REF!</definedName>
    <definedName name="NONRES" localSheetId="72">#REF!</definedName>
    <definedName name="NONRES" localSheetId="73">#REF!</definedName>
    <definedName name="NONRES" localSheetId="2">#REF!</definedName>
    <definedName name="NONRES" localSheetId="0">#REF!</definedName>
    <definedName name="NONRES">#REF!</definedName>
    <definedName name="NORTHERN" localSheetId="47">#REF!</definedName>
    <definedName name="NORTHERN" localSheetId="52">#REF!</definedName>
    <definedName name="NORTHERN" localSheetId="57">#REF!</definedName>
    <definedName name="NORTHERN" localSheetId="74">#REF!</definedName>
    <definedName name="NORTHERN" localSheetId="72">#REF!</definedName>
    <definedName name="NORTHERN" localSheetId="73">#REF!</definedName>
    <definedName name="NORTHERN" localSheetId="2">#REF!</definedName>
    <definedName name="NORTHERN" localSheetId="0">#REF!</definedName>
    <definedName name="NORTHERN">#REF!</definedName>
    <definedName name="NOW" localSheetId="15">#REF!</definedName>
    <definedName name="NOW" localSheetId="16">#REF!</definedName>
    <definedName name="NOW" localSheetId="7">#REF!</definedName>
    <definedName name="NOW" localSheetId="8">#REF!</definedName>
    <definedName name="NOW" localSheetId="9">#REF!</definedName>
    <definedName name="NOW" localSheetId="10">#REF!</definedName>
    <definedName name="NOW" localSheetId="11">#REF!</definedName>
    <definedName name="NOW" localSheetId="12">#REF!</definedName>
    <definedName name="NOW" localSheetId="13">#REF!</definedName>
    <definedName name="NOW" localSheetId="14">#REF!</definedName>
    <definedName name="NOW" localSheetId="18">#REF!</definedName>
    <definedName name="NOW" localSheetId="27">#REF!</definedName>
    <definedName name="NOW" localSheetId="28">#REF!</definedName>
    <definedName name="NOW" localSheetId="29">#REF!</definedName>
    <definedName name="NOW" localSheetId="30">#REF!</definedName>
    <definedName name="NOW" localSheetId="19">#REF!</definedName>
    <definedName name="NOW" localSheetId="20">#REF!</definedName>
    <definedName name="NOW" localSheetId="21">#REF!</definedName>
    <definedName name="NOW" localSheetId="22">#REF!</definedName>
    <definedName name="NOW" localSheetId="23">#REF!</definedName>
    <definedName name="NOW" localSheetId="24">#REF!</definedName>
    <definedName name="NOW" localSheetId="25">#REF!</definedName>
    <definedName name="NOW" localSheetId="26">#REF!</definedName>
    <definedName name="NOW" localSheetId="44">#REF!</definedName>
    <definedName name="NOW" localSheetId="57">#REF!</definedName>
    <definedName name="NOW" localSheetId="74">#REF!</definedName>
    <definedName name="NOW" localSheetId="36">#REF!</definedName>
    <definedName name="NOW" localSheetId="38">#REF!</definedName>
    <definedName name="NOW" localSheetId="40">#REF!</definedName>
    <definedName name="NOW" localSheetId="37">#REF!</definedName>
    <definedName name="NOW" localSheetId="70">#REF!</definedName>
    <definedName name="NOW" localSheetId="71">#REF!</definedName>
    <definedName name="NOW" localSheetId="75">#REF!</definedName>
    <definedName name="NOW" localSheetId="72">#REF!</definedName>
    <definedName name="NOW" localSheetId="73">#REF!</definedName>
    <definedName name="NOW" localSheetId="2">#REF!</definedName>
    <definedName name="NOW" localSheetId="0">#REF!</definedName>
    <definedName name="NOW">#REF!</definedName>
    <definedName name="OCCUP" localSheetId="57">#REF!</definedName>
    <definedName name="OCCUP" localSheetId="74">#REF!</definedName>
    <definedName name="OCCUP" localSheetId="72">#REF!</definedName>
    <definedName name="OCCUP" localSheetId="73">#REF!</definedName>
    <definedName name="OCCUP" localSheetId="2">#REF!</definedName>
    <definedName name="OCCUP" localSheetId="0">#REF!</definedName>
    <definedName name="OCCUP">#REF!</definedName>
    <definedName name="OD_FINISH" localSheetId="15">#REF!</definedName>
    <definedName name="OD_FINISH" localSheetId="16">#REF!</definedName>
    <definedName name="OD_FINISH" localSheetId="7">#REF!</definedName>
    <definedName name="OD_FINISH" localSheetId="8">#REF!</definedName>
    <definedName name="OD_FINISH" localSheetId="9">#REF!</definedName>
    <definedName name="OD_FINISH" localSheetId="10">#REF!</definedName>
    <definedName name="OD_FINISH" localSheetId="11">#REF!</definedName>
    <definedName name="OD_FINISH" localSheetId="12">#REF!</definedName>
    <definedName name="OD_FINISH" localSheetId="13">#REF!</definedName>
    <definedName name="OD_FINISH" localSheetId="14">#REF!</definedName>
    <definedName name="OD_FINISH" localSheetId="18">#REF!</definedName>
    <definedName name="OD_FINISH" localSheetId="27">#REF!</definedName>
    <definedName name="OD_FINISH" localSheetId="28">#REF!</definedName>
    <definedName name="OD_FINISH" localSheetId="29">#REF!</definedName>
    <definedName name="OD_FINISH" localSheetId="30">#REF!</definedName>
    <definedName name="OD_FINISH" localSheetId="19">#REF!</definedName>
    <definedName name="OD_FINISH" localSheetId="20">#REF!</definedName>
    <definedName name="OD_FINISH" localSheetId="21">#REF!</definedName>
    <definedName name="OD_FINISH" localSheetId="22">#REF!</definedName>
    <definedName name="OD_FINISH" localSheetId="23">#REF!</definedName>
    <definedName name="OD_FINISH" localSheetId="24">#REF!</definedName>
    <definedName name="OD_FINISH" localSheetId="25">#REF!</definedName>
    <definedName name="OD_FINISH" localSheetId="26">#REF!</definedName>
    <definedName name="OD_FINISH" localSheetId="44">#REF!</definedName>
    <definedName name="OD_FINISH" localSheetId="57">#REF!</definedName>
    <definedName name="OD_FINISH" localSheetId="74">#REF!</definedName>
    <definedName name="OD_FINISH" localSheetId="36">#REF!</definedName>
    <definedName name="OD_FINISH" localSheetId="38">#REF!</definedName>
    <definedName name="OD_FINISH" localSheetId="40">#REF!</definedName>
    <definedName name="OD_FINISH" localSheetId="37">#REF!</definedName>
    <definedName name="OD_FINISH" localSheetId="72">#REF!</definedName>
    <definedName name="OD_FINISH" localSheetId="73">#REF!</definedName>
    <definedName name="OD_FINISH" localSheetId="2">#REF!</definedName>
    <definedName name="OD_FINISH" localSheetId="0">#REF!</definedName>
    <definedName name="OD_FINISH">#REF!</definedName>
    <definedName name="OD_FIRST" localSheetId="15">#REF!</definedName>
    <definedName name="OD_FIRST" localSheetId="16">#REF!</definedName>
    <definedName name="OD_FIRST" localSheetId="7">#REF!</definedName>
    <definedName name="OD_FIRST" localSheetId="8">#REF!</definedName>
    <definedName name="OD_FIRST" localSheetId="9">#REF!</definedName>
    <definedName name="OD_FIRST" localSheetId="10">#REF!</definedName>
    <definedName name="OD_FIRST" localSheetId="11">#REF!</definedName>
    <definedName name="OD_FIRST" localSheetId="12">#REF!</definedName>
    <definedName name="OD_FIRST" localSheetId="13">#REF!</definedName>
    <definedName name="OD_FIRST" localSheetId="14">#REF!</definedName>
    <definedName name="OD_FIRST" localSheetId="18">#REF!</definedName>
    <definedName name="OD_FIRST" localSheetId="27">#REF!</definedName>
    <definedName name="OD_FIRST" localSheetId="28">#REF!</definedName>
    <definedName name="OD_FIRST" localSheetId="29">#REF!</definedName>
    <definedName name="OD_FIRST" localSheetId="30">#REF!</definedName>
    <definedName name="OD_FIRST" localSheetId="19">#REF!</definedName>
    <definedName name="OD_FIRST" localSheetId="20">#REF!</definedName>
    <definedName name="OD_FIRST" localSheetId="21">#REF!</definedName>
    <definedName name="OD_FIRST" localSheetId="22">#REF!</definedName>
    <definedName name="OD_FIRST" localSheetId="23">#REF!</definedName>
    <definedName name="OD_FIRST" localSheetId="24">#REF!</definedName>
    <definedName name="OD_FIRST" localSheetId="25">#REF!</definedName>
    <definedName name="OD_FIRST" localSheetId="26">#REF!</definedName>
    <definedName name="OD_FIRST" localSheetId="44">#REF!</definedName>
    <definedName name="OD_FIRST" localSheetId="57">#REF!</definedName>
    <definedName name="OD_FIRST" localSheetId="74">#REF!</definedName>
    <definedName name="OD_FIRST" localSheetId="36">#REF!</definedName>
    <definedName name="OD_FIRST" localSheetId="38">#REF!</definedName>
    <definedName name="OD_FIRST" localSheetId="40">#REF!</definedName>
    <definedName name="OD_FIRST" localSheetId="37">#REF!</definedName>
    <definedName name="OD_FIRST" localSheetId="72">#REF!</definedName>
    <definedName name="OD_FIRST" localSheetId="73">#REF!</definedName>
    <definedName name="OD_FIRST" localSheetId="2">#REF!</definedName>
    <definedName name="OD_FIRST" localSheetId="0">#REF!</definedName>
    <definedName name="OD_FIRST">#REF!</definedName>
    <definedName name="OD_LAST" localSheetId="15">#REF!</definedName>
    <definedName name="OD_LAST" localSheetId="16">#REF!</definedName>
    <definedName name="OD_LAST" localSheetId="7">#REF!</definedName>
    <definedName name="OD_LAST" localSheetId="8">#REF!</definedName>
    <definedName name="OD_LAST" localSheetId="9">#REF!</definedName>
    <definedName name="OD_LAST" localSheetId="10">#REF!</definedName>
    <definedName name="OD_LAST" localSheetId="11">#REF!</definedName>
    <definedName name="OD_LAST" localSheetId="12">#REF!</definedName>
    <definedName name="OD_LAST" localSheetId="13">#REF!</definedName>
    <definedName name="OD_LAST" localSheetId="14">#REF!</definedName>
    <definedName name="OD_LAST" localSheetId="18">#REF!</definedName>
    <definedName name="OD_LAST" localSheetId="27">#REF!</definedName>
    <definedName name="OD_LAST" localSheetId="28">#REF!</definedName>
    <definedName name="OD_LAST" localSheetId="29">#REF!</definedName>
    <definedName name="OD_LAST" localSheetId="30">#REF!</definedName>
    <definedName name="OD_LAST" localSheetId="19">#REF!</definedName>
    <definedName name="OD_LAST" localSheetId="20">#REF!</definedName>
    <definedName name="OD_LAST" localSheetId="21">#REF!</definedName>
    <definedName name="OD_LAST" localSheetId="22">#REF!</definedName>
    <definedName name="OD_LAST" localSheetId="23">#REF!</definedName>
    <definedName name="OD_LAST" localSheetId="24">#REF!</definedName>
    <definedName name="OD_LAST" localSheetId="25">#REF!</definedName>
    <definedName name="OD_LAST" localSheetId="26">#REF!</definedName>
    <definedName name="OD_LAST" localSheetId="44">#REF!</definedName>
    <definedName name="OD_LAST" localSheetId="57">#REF!</definedName>
    <definedName name="OD_LAST" localSheetId="74">#REF!</definedName>
    <definedName name="OD_LAST" localSheetId="36">#REF!</definedName>
    <definedName name="OD_LAST" localSheetId="38">#REF!</definedName>
    <definedName name="OD_LAST" localSheetId="40">#REF!</definedName>
    <definedName name="OD_LAST" localSheetId="37">#REF!</definedName>
    <definedName name="OD_LAST" localSheetId="72">#REF!</definedName>
    <definedName name="OD_LAST" localSheetId="73">#REF!</definedName>
    <definedName name="OD_LAST" localSheetId="2">#REF!</definedName>
    <definedName name="OD_LAST" localSheetId="0">#REF!</definedName>
    <definedName name="OD_LAST">#REF!</definedName>
    <definedName name="OD_START" localSheetId="15">#REF!</definedName>
    <definedName name="OD_START" localSheetId="16">#REF!</definedName>
    <definedName name="OD_START" localSheetId="7">#REF!</definedName>
    <definedName name="OD_START" localSheetId="8">#REF!</definedName>
    <definedName name="OD_START" localSheetId="9">#REF!</definedName>
    <definedName name="OD_START" localSheetId="10">#REF!</definedName>
    <definedName name="OD_START" localSheetId="11">#REF!</definedName>
    <definedName name="OD_START" localSheetId="12">#REF!</definedName>
    <definedName name="OD_START" localSheetId="13">#REF!</definedName>
    <definedName name="OD_START" localSheetId="14">#REF!</definedName>
    <definedName name="OD_START" localSheetId="18">#REF!</definedName>
    <definedName name="OD_START" localSheetId="27">#REF!</definedName>
    <definedName name="OD_START" localSheetId="28">#REF!</definedName>
    <definedName name="OD_START" localSheetId="29">#REF!</definedName>
    <definedName name="OD_START" localSheetId="30">#REF!</definedName>
    <definedName name="OD_START" localSheetId="19">#REF!</definedName>
    <definedName name="OD_START" localSheetId="20">#REF!</definedName>
    <definedName name="OD_START" localSheetId="21">#REF!</definedName>
    <definedName name="OD_START" localSheetId="22">#REF!</definedName>
    <definedName name="OD_START" localSheetId="23">#REF!</definedName>
    <definedName name="OD_START" localSheetId="24">#REF!</definedName>
    <definedName name="OD_START" localSheetId="25">#REF!</definedName>
    <definedName name="OD_START" localSheetId="26">#REF!</definedName>
    <definedName name="OD_START" localSheetId="44">#REF!</definedName>
    <definedName name="OD_START" localSheetId="57">#REF!</definedName>
    <definedName name="OD_START" localSheetId="74">#REF!</definedName>
    <definedName name="OD_START" localSheetId="36">#REF!</definedName>
    <definedName name="OD_START" localSheetId="38">#REF!</definedName>
    <definedName name="OD_START" localSheetId="40">#REF!</definedName>
    <definedName name="OD_START" localSheetId="37">#REF!</definedName>
    <definedName name="OD_START" localSheetId="72">#REF!</definedName>
    <definedName name="OD_START" localSheetId="73">#REF!</definedName>
    <definedName name="OD_START" localSheetId="2">#REF!</definedName>
    <definedName name="OD_START" localSheetId="0">#REF!</definedName>
    <definedName name="OD_START">#REF!</definedName>
    <definedName name="ODE" localSheetId="57">#REF!</definedName>
    <definedName name="ODE" localSheetId="74">#REF!</definedName>
    <definedName name="ODE" localSheetId="72">#REF!</definedName>
    <definedName name="ODE" localSheetId="73">#REF!</definedName>
    <definedName name="ODE" localSheetId="2">#REF!</definedName>
    <definedName name="ODE" localSheetId="0">#REF!</definedName>
    <definedName name="ODE">#REF!</definedName>
    <definedName name="OE22BEN" localSheetId="44">'[1]200'!#REF!</definedName>
    <definedName name="OE22BEN" localSheetId="57">'[1]200'!#REF!</definedName>
    <definedName name="OE22BEN" localSheetId="74">'[1]200'!#REF!</definedName>
    <definedName name="OE22BEN" localSheetId="70">'[1]200'!#REF!</definedName>
    <definedName name="OE22BEN" localSheetId="71">'[1]200'!#REF!</definedName>
    <definedName name="OE22BEN" localSheetId="75">'[1]200'!#REF!</definedName>
    <definedName name="OE22BEN" localSheetId="72">'[1]200'!#REF!</definedName>
    <definedName name="OE22BEN" localSheetId="73">'[1]200'!#REF!</definedName>
    <definedName name="OE22BEN" localSheetId="2">'[1]200'!#REF!</definedName>
    <definedName name="OE22BEN" localSheetId="0">'[1]200'!#REF!</definedName>
    <definedName name="OE22BEN">'[1]200'!#REF!</definedName>
    <definedName name="OE22SAL" localSheetId="44">'[1]200'!#REF!</definedName>
    <definedName name="OE22SAL" localSheetId="57">'[1]200'!#REF!</definedName>
    <definedName name="OE22SAL" localSheetId="74">'[1]200'!#REF!</definedName>
    <definedName name="OE22SAL" localSheetId="70">'[1]200'!#REF!</definedName>
    <definedName name="OE22SAL" localSheetId="71">'[1]200'!#REF!</definedName>
    <definedName name="OE22SAL" localSheetId="75">'[1]200'!#REF!</definedName>
    <definedName name="OE22SAL" localSheetId="72">'[1]200'!#REF!</definedName>
    <definedName name="OE22SAL" localSheetId="73">'[1]200'!#REF!</definedName>
    <definedName name="OE22SAL" localSheetId="2">'[1]200'!#REF!</definedName>
    <definedName name="OE22SAL" localSheetId="0">'[1]200'!#REF!</definedName>
    <definedName name="OE22SAL">'[1]200'!#REF!</definedName>
    <definedName name="OE22SERV" localSheetId="44">'[1]200'!#REF!</definedName>
    <definedName name="OE22SERV" localSheetId="57">'[1]200'!#REF!</definedName>
    <definedName name="OE22SERV" localSheetId="74">'[1]200'!#REF!</definedName>
    <definedName name="OE22SERV" localSheetId="70">'[1]200'!#REF!</definedName>
    <definedName name="OE22SERV" localSheetId="71">'[1]200'!#REF!</definedName>
    <definedName name="OE22SERV" localSheetId="75">'[1]200'!#REF!</definedName>
    <definedName name="OE22SERV" localSheetId="72">'[1]200'!#REF!</definedName>
    <definedName name="OE22SERV" localSheetId="73">'[1]200'!#REF!</definedName>
    <definedName name="OE22SERV" localSheetId="2">'[1]200'!#REF!</definedName>
    <definedName name="OE22SERV" localSheetId="0">'[1]200'!#REF!</definedName>
    <definedName name="OE22SERV">'[1]200'!#REF!</definedName>
    <definedName name="OE22SUPP" localSheetId="44">'[1]200'!#REF!</definedName>
    <definedName name="OE22SUPP" localSheetId="57">'[1]200'!#REF!</definedName>
    <definedName name="OE22SUPP" localSheetId="74">'[1]200'!#REF!</definedName>
    <definedName name="OE22SUPP" localSheetId="70">'[1]200'!#REF!</definedName>
    <definedName name="OE22SUPP" localSheetId="71">'[1]200'!#REF!</definedName>
    <definedName name="OE22SUPP" localSheetId="75">'[1]200'!#REF!</definedName>
    <definedName name="OE22SUPP" localSheetId="72">'[1]200'!#REF!</definedName>
    <definedName name="OE22SUPP" localSheetId="73">'[1]200'!#REF!</definedName>
    <definedName name="OE22SUPP" localSheetId="2">'[1]200'!#REF!</definedName>
    <definedName name="OE22SUPP" localSheetId="0">'[1]200'!#REF!</definedName>
    <definedName name="OE22SUPP">'[1]200'!#REF!</definedName>
    <definedName name="OE26TRANS">'[1]200'!$EO$11</definedName>
    <definedName name="OE27TRANS">'[1]200'!$FT$11</definedName>
    <definedName name="OE62TRANS">'[1]600'!$CB$11</definedName>
    <definedName name="ONE_AM" localSheetId="15">#REF!</definedName>
    <definedName name="ONE_AM" localSheetId="16">#REF!</definedName>
    <definedName name="ONE_AM" localSheetId="7">#REF!</definedName>
    <definedName name="ONE_AM" localSheetId="8">#REF!</definedName>
    <definedName name="ONE_AM" localSheetId="9">#REF!</definedName>
    <definedName name="ONE_AM" localSheetId="10">#REF!</definedName>
    <definedName name="ONE_AM" localSheetId="11">#REF!</definedName>
    <definedName name="ONE_AM" localSheetId="12">#REF!</definedName>
    <definedName name="ONE_AM" localSheetId="13">#REF!</definedName>
    <definedName name="ONE_AM" localSheetId="14">#REF!</definedName>
    <definedName name="ONE_AM" localSheetId="18">#REF!</definedName>
    <definedName name="ONE_AM" localSheetId="27">#REF!</definedName>
    <definedName name="ONE_AM" localSheetId="28">#REF!</definedName>
    <definedName name="ONE_AM" localSheetId="29">#REF!</definedName>
    <definedName name="ONE_AM" localSheetId="30">#REF!</definedName>
    <definedName name="ONE_AM" localSheetId="19">#REF!</definedName>
    <definedName name="ONE_AM" localSheetId="20">#REF!</definedName>
    <definedName name="ONE_AM" localSheetId="21">#REF!</definedName>
    <definedName name="ONE_AM" localSheetId="22">#REF!</definedName>
    <definedName name="ONE_AM" localSheetId="23">#REF!</definedName>
    <definedName name="ONE_AM" localSheetId="24">#REF!</definedName>
    <definedName name="ONE_AM" localSheetId="25">#REF!</definedName>
    <definedName name="ONE_AM" localSheetId="26">#REF!</definedName>
    <definedName name="ONE_AM" localSheetId="44">#REF!</definedName>
    <definedName name="ONE_AM" localSheetId="57">#REF!</definedName>
    <definedName name="ONE_AM" localSheetId="74">#REF!</definedName>
    <definedName name="ONE_AM" localSheetId="36">#REF!</definedName>
    <definedName name="ONE_AM" localSheetId="38">#REF!</definedName>
    <definedName name="ONE_AM" localSheetId="40">#REF!</definedName>
    <definedName name="ONE_AM" localSheetId="37">#REF!</definedName>
    <definedName name="ONE_AM" localSheetId="70">#REF!</definedName>
    <definedName name="ONE_AM" localSheetId="71">#REF!</definedName>
    <definedName name="ONE_AM" localSheetId="75">#REF!</definedName>
    <definedName name="ONE_AM" localSheetId="72">#REF!</definedName>
    <definedName name="ONE_AM" localSheetId="73">#REF!</definedName>
    <definedName name="ONE_AM" localSheetId="2">#REF!</definedName>
    <definedName name="ONE_AM" localSheetId="0">#REF!</definedName>
    <definedName name="ONE_AM">#REF!</definedName>
    <definedName name="ONE_PM" localSheetId="15">#REF!</definedName>
    <definedName name="ONE_PM" localSheetId="16">#REF!</definedName>
    <definedName name="ONE_PM" localSheetId="7">#REF!</definedName>
    <definedName name="ONE_PM" localSheetId="8">#REF!</definedName>
    <definedName name="ONE_PM" localSheetId="9">#REF!</definedName>
    <definedName name="ONE_PM" localSheetId="10">#REF!</definedName>
    <definedName name="ONE_PM" localSheetId="11">#REF!</definedName>
    <definedName name="ONE_PM" localSheetId="12">#REF!</definedName>
    <definedName name="ONE_PM" localSheetId="13">#REF!</definedName>
    <definedName name="ONE_PM" localSheetId="14">#REF!</definedName>
    <definedName name="ONE_PM" localSheetId="18">#REF!</definedName>
    <definedName name="ONE_PM" localSheetId="27">#REF!</definedName>
    <definedName name="ONE_PM" localSheetId="28">#REF!</definedName>
    <definedName name="ONE_PM" localSheetId="29">#REF!</definedName>
    <definedName name="ONE_PM" localSheetId="30">#REF!</definedName>
    <definedName name="ONE_PM" localSheetId="19">#REF!</definedName>
    <definedName name="ONE_PM" localSheetId="20">#REF!</definedName>
    <definedName name="ONE_PM" localSheetId="21">#REF!</definedName>
    <definedName name="ONE_PM" localSheetId="22">#REF!</definedName>
    <definedName name="ONE_PM" localSheetId="23">#REF!</definedName>
    <definedName name="ONE_PM" localSheetId="24">#REF!</definedName>
    <definedName name="ONE_PM" localSheetId="25">#REF!</definedName>
    <definedName name="ONE_PM" localSheetId="26">#REF!</definedName>
    <definedName name="ONE_PM" localSheetId="44">#REF!</definedName>
    <definedName name="ONE_PM" localSheetId="57">#REF!</definedName>
    <definedName name="ONE_PM" localSheetId="74">#REF!</definedName>
    <definedName name="ONE_PM" localSheetId="36">#REF!</definedName>
    <definedName name="ONE_PM" localSheetId="38">#REF!</definedName>
    <definedName name="ONE_PM" localSheetId="40">#REF!</definedName>
    <definedName name="ONE_PM" localSheetId="37">#REF!</definedName>
    <definedName name="ONE_PM" localSheetId="72">#REF!</definedName>
    <definedName name="ONE_PM" localSheetId="73">#REF!</definedName>
    <definedName name="ONE_PM" localSheetId="2">#REF!</definedName>
    <definedName name="ONE_PM" localSheetId="0">#REF!</definedName>
    <definedName name="ONE_PM">#REF!</definedName>
    <definedName name="OPD" localSheetId="57">#REF!</definedName>
    <definedName name="OPD" localSheetId="74">#REF!</definedName>
    <definedName name="OPD" localSheetId="72">#REF!</definedName>
    <definedName name="OPD" localSheetId="73">#REF!</definedName>
    <definedName name="OPD" localSheetId="2">#REF!</definedName>
    <definedName name="OPD" localSheetId="0">#REF!</definedName>
    <definedName name="OPD">#REF!</definedName>
    <definedName name="OPYEAR" localSheetId="27">#REF!</definedName>
    <definedName name="OPYEAR" localSheetId="28">#REF!</definedName>
    <definedName name="OPYEAR" localSheetId="29">#REF!</definedName>
    <definedName name="OPYEAR" localSheetId="30">#REF!</definedName>
    <definedName name="OPYEAR" localSheetId="44">#REF!</definedName>
    <definedName name="OPYEAR" localSheetId="52">#REF!</definedName>
    <definedName name="OPYEAR" localSheetId="57">#REF!</definedName>
    <definedName name="OPYEAR" localSheetId="61">'[3]- 3 -'!$A$3</definedName>
    <definedName name="OPYEAR" localSheetId="74">#REF!</definedName>
    <definedName name="OPYEAR" localSheetId="36">#REF!</definedName>
    <definedName name="OPYEAR" localSheetId="38">#REF!</definedName>
    <definedName name="OPYEAR" localSheetId="40">#REF!</definedName>
    <definedName name="OPYEAR" localSheetId="37">#REF!</definedName>
    <definedName name="OPYEAR" localSheetId="70">#REF!</definedName>
    <definedName name="OPYEAR" localSheetId="71">#REF!</definedName>
    <definedName name="OPYEAR" localSheetId="72">#REF!</definedName>
    <definedName name="OPYEAR" localSheetId="73">#REF!</definedName>
    <definedName name="OPYEAR" localSheetId="2">#REF!</definedName>
    <definedName name="OPYEAR" localSheetId="0">#REF!</definedName>
    <definedName name="OPYEAR">#REF!</definedName>
    <definedName name="opyear1">'[17]- 3 -'!$A$3</definedName>
    <definedName name="OSD" localSheetId="57">#REF!</definedName>
    <definedName name="OSD" localSheetId="74">#REF!</definedName>
    <definedName name="OSD" localSheetId="72">#REF!</definedName>
    <definedName name="OSD" localSheetId="73">#REF!</definedName>
    <definedName name="OSD" localSheetId="2">#REF!</definedName>
    <definedName name="OSD" localSheetId="0">#REF!</definedName>
    <definedName name="OSD">#REF!</definedName>
    <definedName name="OSDOTHR1" localSheetId="57">#REF!</definedName>
    <definedName name="OSDOTHR1" localSheetId="74">#REF!</definedName>
    <definedName name="OSDOTHR1" localSheetId="72">#REF!</definedName>
    <definedName name="OSDOTHR1" localSheetId="73">#REF!</definedName>
    <definedName name="OSDOTHR1" localSheetId="2">#REF!</definedName>
    <definedName name="OSDOTHR1" localSheetId="0">#REF!</definedName>
    <definedName name="OSDOTHR1">#REF!</definedName>
    <definedName name="OSDOTHR2" localSheetId="57">#REF!</definedName>
    <definedName name="OSDOTHR2" localSheetId="74">#REF!</definedName>
    <definedName name="OSDOTHR2" localSheetId="72">#REF!</definedName>
    <definedName name="OSDOTHR2" localSheetId="73">#REF!</definedName>
    <definedName name="OSDOTHR2" localSheetId="2">#REF!</definedName>
    <definedName name="OSDOTHR2" localSheetId="0">#REF!</definedName>
    <definedName name="OSDOTHR2">#REF!</definedName>
    <definedName name="OSDOTHR3" localSheetId="57">#REF!</definedName>
    <definedName name="OSDOTHR3" localSheetId="74">#REF!</definedName>
    <definedName name="OSDOTHR3" localSheetId="72">#REF!</definedName>
    <definedName name="OSDOTHR3" localSheetId="73">#REF!</definedName>
    <definedName name="OSDOTHR3" localSheetId="2">#REF!</definedName>
    <definedName name="OSDOTHR3" localSheetId="0">#REF!</definedName>
    <definedName name="OSDOTHR3">#REF!</definedName>
    <definedName name="OSDRESIDUAL" localSheetId="57">#REF!</definedName>
    <definedName name="OSDRESIDUAL" localSheetId="74">#REF!</definedName>
    <definedName name="OSDRESIDUAL" localSheetId="72">#REF!</definedName>
    <definedName name="OSDRESIDUAL" localSheetId="73">#REF!</definedName>
    <definedName name="OSDRESIDUAL" localSheetId="2">#REF!</definedName>
    <definedName name="OSDRESIDUAL" localSheetId="0">#REF!</definedName>
    <definedName name="OSDRESIDUAL">#REF!</definedName>
    <definedName name="OSDTRANS" localSheetId="57">#REF!</definedName>
    <definedName name="OSDTRANS" localSheetId="74">#REF!</definedName>
    <definedName name="OSDTRANS" localSheetId="72">#REF!</definedName>
    <definedName name="OSDTRANS" localSheetId="73">#REF!</definedName>
    <definedName name="OSDTRANS" localSheetId="2">#REF!</definedName>
    <definedName name="OSDTRANS" localSheetId="0">#REF!</definedName>
    <definedName name="OSDTRANS">#REF!</definedName>
    <definedName name="OSDTRANSFER" localSheetId="57">#REF!</definedName>
    <definedName name="OSDTRANSFER" localSheetId="74">#REF!</definedName>
    <definedName name="OSDTRANSFER" localSheetId="72">#REF!</definedName>
    <definedName name="OSDTRANSFER" localSheetId="73">#REF!</definedName>
    <definedName name="OSDTRANSFER" localSheetId="2">#REF!</definedName>
    <definedName name="OSDTRANSFER" localSheetId="0">#REF!</definedName>
    <definedName name="OSDTRANSFER">#REF!</definedName>
    <definedName name="OTHER" localSheetId="57">#REF!</definedName>
    <definedName name="OTHER" localSheetId="74">#REF!</definedName>
    <definedName name="OTHER" localSheetId="72">#REF!</definedName>
    <definedName name="OTHER" localSheetId="73">#REF!</definedName>
    <definedName name="OTHER" localSheetId="2">#REF!</definedName>
    <definedName name="OTHER" localSheetId="0">#REF!</definedName>
    <definedName name="OTHER">#REF!</definedName>
    <definedName name="OTHER100" localSheetId="44">[1]Allowable!#REF!</definedName>
    <definedName name="OTHER100" localSheetId="57">[1]Allowable!#REF!</definedName>
    <definedName name="OTHER100" localSheetId="74">[1]Allowable!#REF!</definedName>
    <definedName name="OTHER100" localSheetId="70">[1]Allowable!#REF!</definedName>
    <definedName name="OTHER100" localSheetId="71">[1]Allowable!#REF!</definedName>
    <definedName name="OTHER100" localSheetId="75">[1]Allowable!#REF!</definedName>
    <definedName name="OTHER100" localSheetId="72">[1]Allowable!#REF!</definedName>
    <definedName name="OTHER100" localSheetId="73">[1]Allowable!#REF!</definedName>
    <definedName name="OTHER100" localSheetId="2">[1]Allowable!#REF!</definedName>
    <definedName name="OTHER100" localSheetId="0">[1]Allowable!#REF!</definedName>
    <definedName name="OTHER100">[1]Allowable!#REF!</definedName>
    <definedName name="OTHER500" localSheetId="44">[1]Allowable!#REF!</definedName>
    <definedName name="OTHER500" localSheetId="57">[1]Allowable!#REF!</definedName>
    <definedName name="OTHER500" localSheetId="74">[1]Allowable!#REF!</definedName>
    <definedName name="OTHER500" localSheetId="70">[1]Allowable!#REF!</definedName>
    <definedName name="OTHER500" localSheetId="71">[1]Allowable!#REF!</definedName>
    <definedName name="OTHER500" localSheetId="75">[1]Allowable!#REF!</definedName>
    <definedName name="OTHER500" localSheetId="72">[1]Allowable!#REF!</definedName>
    <definedName name="OTHER500" localSheetId="73">[1]Allowable!#REF!</definedName>
    <definedName name="OTHER500" localSheetId="2">[1]Allowable!#REF!</definedName>
    <definedName name="OTHER500" localSheetId="0">[1]Allowable!#REF!</definedName>
    <definedName name="OTHER500">[1]Allowable!#REF!</definedName>
    <definedName name="OTHER605" localSheetId="44">[1]Allowable!#REF!</definedName>
    <definedName name="OTHER605" localSheetId="57">[1]Allowable!#REF!</definedName>
    <definedName name="OTHER605" localSheetId="74">[1]Allowable!#REF!</definedName>
    <definedName name="OTHER605" localSheetId="75">[1]Allowable!#REF!</definedName>
    <definedName name="OTHER605" localSheetId="72">[1]Allowable!#REF!</definedName>
    <definedName name="OTHER605" localSheetId="73">[1]Allowable!#REF!</definedName>
    <definedName name="OTHER605" localSheetId="2">[1]Allowable!#REF!</definedName>
    <definedName name="OTHER605" localSheetId="0">[1]Allowable!#REF!</definedName>
    <definedName name="OTHER605">[1]Allowable!#REF!</definedName>
    <definedName name="OTHER610" localSheetId="44">[1]Allowable!#REF!</definedName>
    <definedName name="OTHER610" localSheetId="57">[1]Allowable!#REF!</definedName>
    <definedName name="OTHER610" localSheetId="74">[1]Allowable!#REF!</definedName>
    <definedName name="OTHER610" localSheetId="75">[1]Allowable!#REF!</definedName>
    <definedName name="OTHER610" localSheetId="72">[1]Allowable!#REF!</definedName>
    <definedName name="OTHER610" localSheetId="73">[1]Allowable!#REF!</definedName>
    <definedName name="OTHER610" localSheetId="2">[1]Allowable!#REF!</definedName>
    <definedName name="OTHER610" localSheetId="0">[1]Allowable!#REF!</definedName>
    <definedName name="OTHER610">[1]Allowable!#REF!</definedName>
    <definedName name="OTHEROTHR600" localSheetId="44">[1]Allowable!#REF!</definedName>
    <definedName name="OTHEROTHR600" localSheetId="57">[1]Allowable!#REF!</definedName>
    <definedName name="OTHEROTHR600" localSheetId="74">[1]Allowable!#REF!</definedName>
    <definedName name="OTHEROTHR600" localSheetId="72">[1]Allowable!#REF!</definedName>
    <definedName name="OTHEROTHR600" localSheetId="73">[1]Allowable!#REF!</definedName>
    <definedName name="OTHEROTHR600" localSheetId="2">[1]Allowable!#REF!</definedName>
    <definedName name="OTHEROTHR600" localSheetId="0">[1]Allowable!#REF!</definedName>
    <definedName name="OTHEROTHR600">[1]Allowable!#REF!</definedName>
    <definedName name="OTHODE1" localSheetId="57">#REF!</definedName>
    <definedName name="OTHODE1" localSheetId="74">#REF!</definedName>
    <definedName name="OTHODE1" localSheetId="72">#REF!</definedName>
    <definedName name="OTHODE1" localSheetId="73">#REF!</definedName>
    <definedName name="OTHODE1" localSheetId="2">#REF!</definedName>
    <definedName name="OTHODE1" localSheetId="0">#REF!</definedName>
    <definedName name="OTHODE1">#REF!</definedName>
    <definedName name="OTHODE2" localSheetId="57">#REF!</definedName>
    <definedName name="OTHODE2" localSheetId="74">#REF!</definedName>
    <definedName name="OTHODE2" localSheetId="72">#REF!</definedName>
    <definedName name="OTHODE2" localSheetId="73">#REF!</definedName>
    <definedName name="OTHODE2" localSheetId="2">#REF!</definedName>
    <definedName name="OTHODE2" localSheetId="0">#REF!</definedName>
    <definedName name="OTHODE2">#REF!</definedName>
    <definedName name="OTHODE3" localSheetId="57">#REF!</definedName>
    <definedName name="OTHODE3" localSheetId="74">#REF!</definedName>
    <definedName name="OTHODE3" localSheetId="72">#REF!</definedName>
    <definedName name="OTHODE3" localSheetId="73">#REF!</definedName>
    <definedName name="OTHODE3" localSheetId="2">#REF!</definedName>
    <definedName name="OTHODE3" localSheetId="0">#REF!</definedName>
    <definedName name="OTHODE3">#REF!</definedName>
    <definedName name="OTHODE4" localSheetId="57">#REF!</definedName>
    <definedName name="OTHODE4" localSheetId="74">#REF!</definedName>
    <definedName name="OTHODE4" localSheetId="72">#REF!</definedName>
    <definedName name="OTHODE4" localSheetId="73">#REF!</definedName>
    <definedName name="OTHODE4" localSheetId="2">#REF!</definedName>
    <definedName name="OTHODE4" localSheetId="0">#REF!</definedName>
    <definedName name="OTHODE4">#REF!</definedName>
    <definedName name="OTHODE5" localSheetId="57">#REF!</definedName>
    <definedName name="OTHODE5" localSheetId="74">#REF!</definedName>
    <definedName name="OTHODE5" localSheetId="72">#REF!</definedName>
    <definedName name="OTHODE5" localSheetId="73">#REF!</definedName>
    <definedName name="OTHODE5" localSheetId="2">#REF!</definedName>
    <definedName name="OTHODE5" localSheetId="0">#REF!</definedName>
    <definedName name="OTHODE5">#REF!</definedName>
    <definedName name="OTHODE6" localSheetId="57">#REF!</definedName>
    <definedName name="OTHODE6" localSheetId="74">#REF!</definedName>
    <definedName name="OTHODE6" localSheetId="72">#REF!</definedName>
    <definedName name="OTHODE6" localSheetId="73">#REF!</definedName>
    <definedName name="OTHODE6" localSheetId="2">#REF!</definedName>
    <definedName name="OTHODE6" localSheetId="0">#REF!</definedName>
    <definedName name="OTHODE6">#REF!</definedName>
    <definedName name="OTHODE7" localSheetId="57">#REF!</definedName>
    <definedName name="OTHODE7" localSheetId="74">#REF!</definedName>
    <definedName name="OTHODE7" localSheetId="72">#REF!</definedName>
    <definedName name="OTHODE7" localSheetId="73">#REF!</definedName>
    <definedName name="OTHODE7" localSheetId="2">#REF!</definedName>
    <definedName name="OTHODE7" localSheetId="0">#REF!</definedName>
    <definedName name="OTHODE7">#REF!</definedName>
    <definedName name="OTHOPD1" localSheetId="57">#REF!</definedName>
    <definedName name="OTHOPD1" localSheetId="74">#REF!</definedName>
    <definedName name="OTHOPD1" localSheetId="72">#REF!</definedName>
    <definedName name="OTHOPD1" localSheetId="73">#REF!</definedName>
    <definedName name="OTHOPD1" localSheetId="2">#REF!</definedName>
    <definedName name="OTHOPD1" localSheetId="0">#REF!</definedName>
    <definedName name="OTHOPD1">#REF!</definedName>
    <definedName name="OTHOPD2" localSheetId="57">#REF!</definedName>
    <definedName name="OTHOPD2" localSheetId="74">#REF!</definedName>
    <definedName name="OTHOPD2" localSheetId="72">#REF!</definedName>
    <definedName name="OTHOPD2" localSheetId="73">#REF!</definedName>
    <definedName name="OTHOPD2" localSheetId="2">#REF!</definedName>
    <definedName name="OTHOPD2" localSheetId="0">#REF!</definedName>
    <definedName name="OTHOPD2">#REF!</definedName>
    <definedName name="OTHOPD3" localSheetId="57">#REF!</definedName>
    <definedName name="OTHOPD3" localSheetId="74">#REF!</definedName>
    <definedName name="OTHOPD3" localSheetId="72">#REF!</definedName>
    <definedName name="OTHOPD3" localSheetId="73">#REF!</definedName>
    <definedName name="OTHOPD3" localSheetId="2">#REF!</definedName>
    <definedName name="OTHOPD3" localSheetId="0">#REF!</definedName>
    <definedName name="OTHOPD3">#REF!</definedName>
    <definedName name="OTHOPD4" localSheetId="57">#REF!</definedName>
    <definedName name="OTHOPD4" localSheetId="74">#REF!</definedName>
    <definedName name="OTHOPD4" localSheetId="72">#REF!</definedName>
    <definedName name="OTHOPD4" localSheetId="73">#REF!</definedName>
    <definedName name="OTHOPD4" localSheetId="2">#REF!</definedName>
    <definedName name="OTHOPD4" localSheetId="0">#REF!</definedName>
    <definedName name="OTHOPD4">#REF!</definedName>
    <definedName name="OTHOPD5" localSheetId="57">#REF!</definedName>
    <definedName name="OTHOPD5" localSheetId="74">#REF!</definedName>
    <definedName name="OTHOPD5" localSheetId="72">#REF!</definedName>
    <definedName name="OTHOPD5" localSheetId="73">#REF!</definedName>
    <definedName name="OTHOPD5" localSheetId="2">#REF!</definedName>
    <definedName name="OTHOPD5" localSheetId="0">#REF!</definedName>
    <definedName name="OTHOPD5">#REF!</definedName>
    <definedName name="OTHOPD6" localSheetId="57">#REF!</definedName>
    <definedName name="OTHOPD6" localSheetId="74">#REF!</definedName>
    <definedName name="OTHOPD6" localSheetId="72">#REF!</definedName>
    <definedName name="OTHOPD6" localSheetId="73">#REF!</definedName>
    <definedName name="OTHOPD6" localSheetId="2">#REF!</definedName>
    <definedName name="OTHOPD6" localSheetId="0">#REF!</definedName>
    <definedName name="OTHOPD6">#REF!</definedName>
    <definedName name="OTHRINT" localSheetId="57">#REF!</definedName>
    <definedName name="OTHRINT" localSheetId="74">#REF!</definedName>
    <definedName name="OTHRINT" localSheetId="72">#REF!</definedName>
    <definedName name="OTHRINT" localSheetId="73">#REF!</definedName>
    <definedName name="OTHRINT" localSheetId="2">#REF!</definedName>
    <definedName name="OTHRINT" localSheetId="0">#REF!</definedName>
    <definedName name="OTHRINT">#REF!</definedName>
    <definedName name="OTHROTHR1" localSheetId="57">#REF!</definedName>
    <definedName name="OTHROTHR1" localSheetId="74">#REF!</definedName>
    <definedName name="OTHROTHR1" localSheetId="72">#REF!</definedName>
    <definedName name="OTHROTHR1" localSheetId="73">#REF!</definedName>
    <definedName name="OTHROTHR1" localSheetId="2">#REF!</definedName>
    <definedName name="OTHROTHR1" localSheetId="0">#REF!</definedName>
    <definedName name="OTHROTHR1">#REF!</definedName>
    <definedName name="OTHROTHR2" localSheetId="57">#REF!</definedName>
    <definedName name="OTHROTHR2" localSheetId="74">#REF!</definedName>
    <definedName name="OTHROTHR2" localSheetId="72">#REF!</definedName>
    <definedName name="OTHROTHR2" localSheetId="73">#REF!</definedName>
    <definedName name="OTHROTHR2" localSheetId="2">#REF!</definedName>
    <definedName name="OTHROTHR2" localSheetId="0">#REF!</definedName>
    <definedName name="OTHROTHR2">#REF!</definedName>
    <definedName name="OTHROTHR3" localSheetId="57">#REF!</definedName>
    <definedName name="OTHROTHR3" localSheetId="74">#REF!</definedName>
    <definedName name="OTHROTHR3" localSheetId="72">#REF!</definedName>
    <definedName name="OTHROTHR3" localSheetId="73">#REF!</definedName>
    <definedName name="OTHROTHR3" localSheetId="2">#REF!</definedName>
    <definedName name="OTHROTHR3" localSheetId="0">#REF!</definedName>
    <definedName name="OTHROTHR3">#REF!</definedName>
    <definedName name="OTHROTHR4" localSheetId="57">#REF!</definedName>
    <definedName name="OTHROTHR4" localSheetId="74">#REF!</definedName>
    <definedName name="OTHROTHR4" localSheetId="72">#REF!</definedName>
    <definedName name="OTHROTHR4" localSheetId="73">#REF!</definedName>
    <definedName name="OTHROTHR4" localSheetId="2">#REF!</definedName>
    <definedName name="OTHROTHR4" localSheetId="0">#REF!</definedName>
    <definedName name="OTHROTHR4">#REF!</definedName>
    <definedName name="OTHROTHR5" localSheetId="57">#REF!</definedName>
    <definedName name="OTHROTHR5" localSheetId="74">#REF!</definedName>
    <definedName name="OTHROTHR5" localSheetId="72">#REF!</definedName>
    <definedName name="OTHROTHR5" localSheetId="73">#REF!</definedName>
    <definedName name="OTHROTHR5" localSheetId="2">#REF!</definedName>
    <definedName name="OTHROTHR5" localSheetId="0">#REF!</definedName>
    <definedName name="OTHROTHR5">#REF!</definedName>
    <definedName name="OTHROTHR6" localSheetId="57">#REF!</definedName>
    <definedName name="OTHROTHR6" localSheetId="74">#REF!</definedName>
    <definedName name="OTHROTHR6" localSheetId="72">#REF!</definedName>
    <definedName name="OTHROTHR6" localSheetId="73">#REF!</definedName>
    <definedName name="OTHROTHR6" localSheetId="2">#REF!</definedName>
    <definedName name="OTHROTHR6" localSheetId="0">#REF!</definedName>
    <definedName name="OTHROTHR6">#REF!</definedName>
    <definedName name="OTHROTHR7" localSheetId="57">#REF!</definedName>
    <definedName name="OTHROTHR7" localSheetId="74">#REF!</definedName>
    <definedName name="OTHROTHR7" localSheetId="72">#REF!</definedName>
    <definedName name="OTHROTHR7" localSheetId="73">#REF!</definedName>
    <definedName name="OTHROTHR7" localSheetId="2">#REF!</definedName>
    <definedName name="OTHROTHR7" localSheetId="0">#REF!</definedName>
    <definedName name="OTHROTHR7">#REF!</definedName>
    <definedName name="OTHROTHR8" localSheetId="57">#REF!</definedName>
    <definedName name="OTHROTHR8" localSheetId="74">#REF!</definedName>
    <definedName name="OTHROTHR8" localSheetId="72">#REF!</definedName>
    <definedName name="OTHROTHR8" localSheetId="73">#REF!</definedName>
    <definedName name="OTHROTHR8" localSheetId="2">#REF!</definedName>
    <definedName name="OTHROTHR8" localSheetId="0">#REF!</definedName>
    <definedName name="OTHROTHR8">#REF!</definedName>
    <definedName name="OTHROTHR9" localSheetId="57">#REF!</definedName>
    <definedName name="OTHROTHR9" localSheetId="74">#REF!</definedName>
    <definedName name="OTHROTHR9" localSheetId="72">#REF!</definedName>
    <definedName name="OTHROTHR9" localSheetId="73">#REF!</definedName>
    <definedName name="OTHROTHR9" localSheetId="2">#REF!</definedName>
    <definedName name="OTHROTHR9" localSheetId="0">#REF!</definedName>
    <definedName name="OTHROTHR9">#REF!</definedName>
    <definedName name="OTHRPROG" localSheetId="57">#REF!</definedName>
    <definedName name="OTHRPROG" localSheetId="74">#REF!</definedName>
    <definedName name="OTHRPROG" localSheetId="72">#REF!</definedName>
    <definedName name="OTHRPROG" localSheetId="73">#REF!</definedName>
    <definedName name="OTHRPROG" localSheetId="2">#REF!</definedName>
    <definedName name="OTHRPROG" localSheetId="0">#REF!</definedName>
    <definedName name="OTHRPROG">#REF!</definedName>
    <definedName name="OTHRPROG100" localSheetId="44">[1]Allowable!#REF!</definedName>
    <definedName name="OTHRPROG100" localSheetId="57">[1]Allowable!#REF!</definedName>
    <definedName name="OTHRPROG100" localSheetId="74">[1]Allowable!#REF!</definedName>
    <definedName name="OTHRPROG100" localSheetId="70">[1]Allowable!#REF!</definedName>
    <definedName name="OTHRPROG100" localSheetId="71">[1]Allowable!#REF!</definedName>
    <definedName name="OTHRPROG100" localSheetId="75">[1]Allowable!#REF!</definedName>
    <definedName name="OTHRPROG100" localSheetId="72">[1]Allowable!#REF!</definedName>
    <definedName name="OTHRPROG100" localSheetId="73">[1]Allowable!#REF!</definedName>
    <definedName name="OTHRPROG100" localSheetId="2">[1]Allowable!#REF!</definedName>
    <definedName name="OTHRPROG100" localSheetId="0">[1]Allowable!#REF!</definedName>
    <definedName name="OTHRPROG100">[1]Allowable!#REF!</definedName>
    <definedName name="OTHRPROG500" localSheetId="44">[1]Allowable!#REF!</definedName>
    <definedName name="OTHRPROG500" localSheetId="57">[1]Allowable!#REF!</definedName>
    <definedName name="OTHRPROG500" localSheetId="74">[1]Allowable!#REF!</definedName>
    <definedName name="OTHRPROG500" localSheetId="70">[1]Allowable!#REF!</definedName>
    <definedName name="OTHRPROG500" localSheetId="71">[1]Allowable!#REF!</definedName>
    <definedName name="OTHRPROG500" localSheetId="72">[1]Allowable!#REF!</definedName>
    <definedName name="OTHRPROG500" localSheetId="73">[1]Allowable!#REF!</definedName>
    <definedName name="OTHRPROG500" localSheetId="2">[1]Allowable!#REF!</definedName>
    <definedName name="OTHRPROG500" localSheetId="0">[1]Allowable!#REF!</definedName>
    <definedName name="OTHRPROG500">[1]Allowable!#REF!</definedName>
    <definedName name="OTHRPROG605" localSheetId="44">[1]Allowable!#REF!</definedName>
    <definedName name="OTHRPROG605" localSheetId="57">[1]Allowable!#REF!</definedName>
    <definedName name="OTHRPROG605" localSheetId="74">[1]Allowable!#REF!</definedName>
    <definedName name="OTHRPROG605" localSheetId="72">[1]Allowable!#REF!</definedName>
    <definedName name="OTHRPROG605" localSheetId="73">[1]Allowable!#REF!</definedName>
    <definedName name="OTHRPROG605" localSheetId="2">[1]Allowable!#REF!</definedName>
    <definedName name="OTHRPROG605" localSheetId="0">[1]Allowable!#REF!</definedName>
    <definedName name="OTHRPROG605">[1]Allowable!#REF!</definedName>
    <definedName name="OTHRPROG610" localSheetId="44">[1]Allowable!#REF!</definedName>
    <definedName name="OTHRPROG610" localSheetId="57">[1]Allowable!#REF!</definedName>
    <definedName name="OTHRPROG610" localSheetId="74">[1]Allowable!#REF!</definedName>
    <definedName name="OTHRPROG610" localSheetId="72">[1]Allowable!#REF!</definedName>
    <definedName name="OTHRPROG610" localSheetId="73">[1]Allowable!#REF!</definedName>
    <definedName name="OTHRPROG610" localSheetId="2">[1]Allowable!#REF!</definedName>
    <definedName name="OTHRPROG610" localSheetId="0">[1]Allowable!#REF!</definedName>
    <definedName name="OTHRPROG610">[1]Allowable!#REF!</definedName>
    <definedName name="OTHRPROGOTHR600" localSheetId="44">[1]Allowable!#REF!</definedName>
    <definedName name="OTHRPROGOTHR600" localSheetId="57">[1]Allowable!#REF!</definedName>
    <definedName name="OTHRPROGOTHR600" localSheetId="74">[1]Allowable!#REF!</definedName>
    <definedName name="OTHRPROGOTHR600" localSheetId="72">[1]Allowable!#REF!</definedName>
    <definedName name="OTHRPROGOTHR600" localSheetId="73">[1]Allowable!#REF!</definedName>
    <definedName name="OTHRPROGOTHR600" localSheetId="2">[1]Allowable!#REF!</definedName>
    <definedName name="OTHRPROGOTHR600" localSheetId="0">[1]Allowable!#REF!</definedName>
    <definedName name="OTHRPROGOTHR600">[1]Allowable!#REF!</definedName>
    <definedName name="OTHRPROV100" localSheetId="44">[1]Allowable!#REF!</definedName>
    <definedName name="OTHRPROV100" localSheetId="57">[1]Allowable!#REF!</definedName>
    <definedName name="OTHRPROV100" localSheetId="74">[1]Allowable!#REF!</definedName>
    <definedName name="OTHRPROV100" localSheetId="72">[1]Allowable!#REF!</definedName>
    <definedName name="OTHRPROV100" localSheetId="73">[1]Allowable!#REF!</definedName>
    <definedName name="OTHRPROV100" localSheetId="2">[1]Allowable!#REF!</definedName>
    <definedName name="OTHRPROV100" localSheetId="0">[1]Allowable!#REF!</definedName>
    <definedName name="OTHRPROV100">[1]Allowable!#REF!</definedName>
    <definedName name="OTHRPROV500" localSheetId="44">[1]Allowable!#REF!</definedName>
    <definedName name="OTHRPROV500" localSheetId="57">[1]Allowable!#REF!</definedName>
    <definedName name="OTHRPROV500" localSheetId="74">[1]Allowable!#REF!</definedName>
    <definedName name="OTHRPROV500" localSheetId="72">[1]Allowable!#REF!</definedName>
    <definedName name="OTHRPROV500" localSheetId="73">[1]Allowable!#REF!</definedName>
    <definedName name="OTHRPROV500" localSheetId="2">[1]Allowable!#REF!</definedName>
    <definedName name="OTHRPROV500" localSheetId="0">[1]Allowable!#REF!</definedName>
    <definedName name="OTHRPROV500">[1]Allowable!#REF!</definedName>
    <definedName name="OTHRPROV605" localSheetId="44">[1]Allowable!#REF!</definedName>
    <definedName name="OTHRPROV605" localSheetId="57">[1]Allowable!#REF!</definedName>
    <definedName name="OTHRPROV605" localSheetId="74">[1]Allowable!#REF!</definedName>
    <definedName name="OTHRPROV605" localSheetId="72">[1]Allowable!#REF!</definedName>
    <definedName name="OTHRPROV605" localSheetId="73">[1]Allowable!#REF!</definedName>
    <definedName name="OTHRPROV605" localSheetId="2">[1]Allowable!#REF!</definedName>
    <definedName name="OTHRPROV605" localSheetId="0">[1]Allowable!#REF!</definedName>
    <definedName name="OTHRPROV605">[1]Allowable!#REF!</definedName>
    <definedName name="OTHRPROV610" localSheetId="44">[1]Allowable!#REF!</definedName>
    <definedName name="OTHRPROV610" localSheetId="57">[1]Allowable!#REF!</definedName>
    <definedName name="OTHRPROV610" localSheetId="74">[1]Allowable!#REF!</definedName>
    <definedName name="OTHRPROV610" localSheetId="72">[1]Allowable!#REF!</definedName>
    <definedName name="OTHRPROV610" localSheetId="73">[1]Allowable!#REF!</definedName>
    <definedName name="OTHRPROV610" localSheetId="2">[1]Allowable!#REF!</definedName>
    <definedName name="OTHRPROV610" localSheetId="0">[1]Allowable!#REF!</definedName>
    <definedName name="OTHRPROV610">[1]Allowable!#REF!</definedName>
    <definedName name="OTHRPROVOTHR600" localSheetId="44">[1]Allowable!#REF!</definedName>
    <definedName name="OTHRPROVOTHR600" localSheetId="57">[1]Allowable!#REF!</definedName>
    <definedName name="OTHRPROVOTHR600" localSheetId="74">[1]Allowable!#REF!</definedName>
    <definedName name="OTHRPROVOTHR600" localSheetId="72">[1]Allowable!#REF!</definedName>
    <definedName name="OTHRPROVOTHR600" localSheetId="73">[1]Allowable!#REF!</definedName>
    <definedName name="OTHRPROVOTHR600" localSheetId="2">[1]Allowable!#REF!</definedName>
    <definedName name="OTHRPROVOTHR600" localSheetId="0">[1]Allowable!#REF!</definedName>
    <definedName name="OTHRPROVOTHR600">[1]Allowable!#REF!</definedName>
    <definedName name="PensionContrPercent" localSheetId="47">[13]Pensions!$F$4</definedName>
    <definedName name="PensionContrPercent" localSheetId="52">[14]Pensions!$F$4</definedName>
    <definedName name="PensionContrPercent" localSheetId="57">[15]Pensions!$F$4</definedName>
    <definedName name="PensionContrPercent" localSheetId="74">[15]Pensions!$F$4</definedName>
    <definedName name="PensionContrPercent" localSheetId="73">[15]Pensions!$F$4</definedName>
    <definedName name="PensionContrPercent">Pensions!$F$4</definedName>
    <definedName name="PHYSED" localSheetId="47">#REF!</definedName>
    <definedName name="PHYSED" localSheetId="52">#REF!</definedName>
    <definedName name="PHYSED" localSheetId="57">#REF!</definedName>
    <definedName name="PHYSED" localSheetId="74">#REF!</definedName>
    <definedName name="PHYSED" localSheetId="72">#REF!</definedName>
    <definedName name="PHYSED" localSheetId="73">#REF!</definedName>
    <definedName name="PHYSED" localSheetId="2">#REF!</definedName>
    <definedName name="PHYSED" localSheetId="0">#REF!</definedName>
    <definedName name="PHYSED">#REF!</definedName>
    <definedName name="POI" localSheetId="47">#REF!</definedName>
    <definedName name="POI" localSheetId="52">#REF!</definedName>
    <definedName name="POI" localSheetId="57">#REF!</definedName>
    <definedName name="POI" localSheetId="74">#REF!</definedName>
    <definedName name="POI" localSheetId="72">#REF!</definedName>
    <definedName name="POI" localSheetId="73">#REF!</definedName>
    <definedName name="POI" localSheetId="2">#REF!</definedName>
    <definedName name="POI" localSheetId="0">#REF!</definedName>
    <definedName name="POI">#REF!</definedName>
    <definedName name="POIASFOOD" localSheetId="47">#REF!</definedName>
    <definedName name="POIASFOOD" localSheetId="52">#REF!</definedName>
    <definedName name="POIASFOOD" localSheetId="57">#REF!</definedName>
    <definedName name="POIASFOOD" localSheetId="74">#REF!</definedName>
    <definedName name="POIASFOOD" localSheetId="72">#REF!</definedName>
    <definedName name="POIASFOOD" localSheetId="73">#REF!</definedName>
    <definedName name="POIASFOOD" localSheetId="2">#REF!</definedName>
    <definedName name="POIASFOOD" localSheetId="0">#REF!</definedName>
    <definedName name="POIASFOOD">#REF!</definedName>
    <definedName name="POIASOTHR1" localSheetId="57">#REF!</definedName>
    <definedName name="POIASOTHR1" localSheetId="74">#REF!</definedName>
    <definedName name="POIASOTHR1" localSheetId="72">#REF!</definedName>
    <definedName name="POIASOTHR1" localSheetId="73">#REF!</definedName>
    <definedName name="POIASOTHR1" localSheetId="2">#REF!</definedName>
    <definedName name="POIASOTHR1" localSheetId="0">#REF!</definedName>
    <definedName name="POIASOTHR1">#REF!</definedName>
    <definedName name="POIASOTHR2" localSheetId="57">#REF!</definedName>
    <definedName name="POIASOTHR2" localSheetId="74">#REF!</definedName>
    <definedName name="POIASOTHR2" localSheetId="72">#REF!</definedName>
    <definedName name="POIASOTHR2" localSheetId="73">#REF!</definedName>
    <definedName name="POIASOTHR2" localSheetId="2">#REF!</definedName>
    <definedName name="POIASOTHR2" localSheetId="0">#REF!</definedName>
    <definedName name="POIASOTHR2">#REF!</definedName>
    <definedName name="POIASOTHR3" localSheetId="57">#REF!</definedName>
    <definedName name="POIASOTHR3" localSheetId="74">#REF!</definedName>
    <definedName name="POIASOTHR3" localSheetId="72">#REF!</definedName>
    <definedName name="POIASOTHR3" localSheetId="73">#REF!</definedName>
    <definedName name="POIASOTHR3" localSheetId="2">#REF!</definedName>
    <definedName name="POIASOTHR3" localSheetId="0">#REF!</definedName>
    <definedName name="POIASOTHR3">#REF!</definedName>
    <definedName name="POIASOTHR4" localSheetId="57">#REF!</definedName>
    <definedName name="POIASOTHR4" localSheetId="74">#REF!</definedName>
    <definedName name="POIASOTHR4" localSheetId="72">#REF!</definedName>
    <definedName name="POIASOTHR4" localSheetId="73">#REF!</definedName>
    <definedName name="POIASOTHR4" localSheetId="2">#REF!</definedName>
    <definedName name="POIASOTHR4" localSheetId="0">#REF!</definedName>
    <definedName name="POIASOTHR4">#REF!</definedName>
    <definedName name="POIASOTHR5" localSheetId="57">#REF!</definedName>
    <definedName name="POIASOTHR5" localSheetId="74">#REF!</definedName>
    <definedName name="POIASOTHR5" localSheetId="72">#REF!</definedName>
    <definedName name="POIASOTHR5" localSheetId="73">#REF!</definedName>
    <definedName name="POIASOTHR5" localSheetId="2">#REF!</definedName>
    <definedName name="POIASOTHR5" localSheetId="0">#REF!</definedName>
    <definedName name="POIASOTHR5">#REF!</definedName>
    <definedName name="POIASOTHR6" localSheetId="57">#REF!</definedName>
    <definedName name="POIASOTHR6" localSheetId="74">#REF!</definedName>
    <definedName name="POIASOTHR6" localSheetId="72">#REF!</definedName>
    <definedName name="POIASOTHR6" localSheetId="73">#REF!</definedName>
    <definedName name="POIASOTHR6" localSheetId="2">#REF!</definedName>
    <definedName name="POIASOTHR6" localSheetId="0">#REF!</definedName>
    <definedName name="POIASOTHR6">#REF!</definedName>
    <definedName name="POITDRED" localSheetId="44">#REF!</definedName>
    <definedName name="POITDRED" localSheetId="47">#REF!</definedName>
    <definedName name="POITDRED" localSheetId="52">'[4]S. 2016-17 FRAME Budget'!#REF!</definedName>
    <definedName name="POITDRED" localSheetId="57">#REF!</definedName>
    <definedName name="POITDRED" localSheetId="74">#REF!</definedName>
    <definedName name="POITDRED" localSheetId="70">#REF!</definedName>
    <definedName name="POITDRED" localSheetId="71">#REF!</definedName>
    <definedName name="POITDRED" localSheetId="75">'[5]2016-17 FRAME Budget'!#REF!</definedName>
    <definedName name="POITDRED" localSheetId="72">'[5]2016-17 FRAME Budget'!#REF!</definedName>
    <definedName name="POITDRED" localSheetId="73">#REF!</definedName>
    <definedName name="POITDRED" localSheetId="2">#REF!</definedName>
    <definedName name="POITDRED" localSheetId="0">#REF!</definedName>
    <definedName name="POITDRED">#REF!</definedName>
    <definedName name="POITFCONED" localSheetId="47">#REF!</definedName>
    <definedName name="POITFCONED" localSheetId="52">#REF!</definedName>
    <definedName name="POITFCONED" localSheetId="57">#REF!</definedName>
    <definedName name="POITFCONED" localSheetId="74">#REF!</definedName>
    <definedName name="POITFCONED" localSheetId="72">#REF!</definedName>
    <definedName name="POITFCONED" localSheetId="73">#REF!</definedName>
    <definedName name="POITFCONED" localSheetId="2">#REF!</definedName>
    <definedName name="POITFCONED" localSheetId="0">#REF!</definedName>
    <definedName name="POITFCONED">#REF!</definedName>
    <definedName name="POITFINT" localSheetId="47">#REF!</definedName>
    <definedName name="POITFINT" localSheetId="52">#REF!</definedName>
    <definedName name="POITFINT" localSheetId="57">#REF!</definedName>
    <definedName name="POITFINT" localSheetId="74">#REF!</definedName>
    <definedName name="POITFINT" localSheetId="72">#REF!</definedName>
    <definedName name="POITFINT" localSheetId="73">#REF!</definedName>
    <definedName name="POITFINT" localSheetId="2">#REF!</definedName>
    <definedName name="POITFINT" localSheetId="0">#REF!</definedName>
    <definedName name="POITFINT">#REF!</definedName>
    <definedName name="POITFOTHR" localSheetId="57">#REF!</definedName>
    <definedName name="POITFOTHR" localSheetId="74">#REF!</definedName>
    <definedName name="POITFOTHR" localSheetId="72">#REF!</definedName>
    <definedName name="POITFOTHR" localSheetId="73">#REF!</definedName>
    <definedName name="POITFOTHR" localSheetId="2">#REF!</definedName>
    <definedName name="POITFOTHR" localSheetId="0">#REF!</definedName>
    <definedName name="POITFOTHR">#REF!</definedName>
    <definedName name="POITFREG" localSheetId="57">#REF!</definedName>
    <definedName name="POITFREG" localSheetId="74">#REF!</definedName>
    <definedName name="POITFREG" localSheetId="72">#REF!</definedName>
    <definedName name="POITFREG" localSheetId="73">#REF!</definedName>
    <definedName name="POITFREG" localSheetId="2">#REF!</definedName>
    <definedName name="POITFREG" localSheetId="0">#REF!</definedName>
    <definedName name="POITFREG">#REF!</definedName>
    <definedName name="POSTAM" localSheetId="72">#REF!</definedName>
    <definedName name="POSTAM" localSheetId="0">#REF!</definedName>
    <definedName name="POSTAM">#REF!</definedName>
    <definedName name="PREVCURR" localSheetId="57">#REF!</definedName>
    <definedName name="PREVCURR" localSheetId="74">#REF!</definedName>
    <definedName name="PREVCURR" localSheetId="72">#REF!</definedName>
    <definedName name="PREVCURR" localSheetId="73">#REF!</definedName>
    <definedName name="PREVCURR" localSheetId="2">#REF!</definedName>
    <definedName name="PREVCURR" localSheetId="0">#REF!</definedName>
    <definedName name="PREVCURR">#REF!</definedName>
    <definedName name="PREVD" localSheetId="57">#REF!</definedName>
    <definedName name="PREVD" localSheetId="74">#REF!</definedName>
    <definedName name="PREVD" localSheetId="72">#REF!</definedName>
    <definedName name="PREVD" localSheetId="73">#REF!</definedName>
    <definedName name="PREVD" localSheetId="2">#REF!</definedName>
    <definedName name="PREVD" localSheetId="0">#REF!</definedName>
    <definedName name="PREVD">#REF!</definedName>
    <definedName name="PREVVOC" localSheetId="57">#REF!</definedName>
    <definedName name="PREVVOC" localSheetId="74">#REF!</definedName>
    <definedName name="PREVVOC" localSheetId="72">#REF!</definedName>
    <definedName name="PREVVOC" localSheetId="73">#REF!</definedName>
    <definedName name="PREVVOC" localSheetId="2">#REF!</definedName>
    <definedName name="PREVVOC" localSheetId="0">#REF!</definedName>
    <definedName name="PREVVOC">#REF!</definedName>
    <definedName name="PrevY">[8]Data!$B$4</definedName>
    <definedName name="_xlnm.Print_Area" localSheetId="56">'F1. Prov School Area 1617'!$A$2:$E$51</definedName>
    <definedName name="_xlnm.Print_Area" localSheetId="64">'L1. 2016 PROV Enrol Report Sum'!$A$1:$R$28</definedName>
    <definedName name="_xlnm.Print_Area" localSheetId="65">'M1. ENROLMENT 2016-FRONTIER'!$A$3:$R$36</definedName>
    <definedName name="_xlnm.Print_Area" localSheetId="66">'M2. ENROLMENT 2017-FRONTIER'!$A$3:$R$36</definedName>
    <definedName name="_xlnm.Print_Area" localSheetId="67">'N1. ENROLMENT 2016-RTSD'!$A$3:$R$36</definedName>
    <definedName name="_xlnm.Print_Area" localSheetId="68">'N2. ENROLMENT 2017-RTSD'!$A$3:$R$37</definedName>
    <definedName name="_xlnm.Print_Titles" localSheetId="49">'A. 20-21 FN Schools Data'!$A:$A</definedName>
    <definedName name="_xlnm.Print_Titles" localSheetId="64">'L1. 2016 PROV Enrol Report Sum'!$1:$2</definedName>
    <definedName name="_xlnm.Print_Titles" localSheetId="65">'M1. ENROLMENT 2016-FRONTIER'!$1:$2</definedName>
    <definedName name="_xlnm.Print_Titles" localSheetId="66">'M2. ENROLMENT 2017-FRONTIER'!$1:$2</definedName>
    <definedName name="_xlnm.Print_Titles" localSheetId="67">'N1. ENROLMENT 2016-RTSD'!$1:$2</definedName>
    <definedName name="_xlnm.Print_Titles" localSheetId="68">'N2. ENROLMENT 2017-RTSD'!$1:$2</definedName>
    <definedName name="PROFDEV" localSheetId="47">#REF!</definedName>
    <definedName name="PROFDEV" localSheetId="52">#REF!</definedName>
    <definedName name="PROFDEV" localSheetId="57">#REF!</definedName>
    <definedName name="PROFDEV" localSheetId="74">#REF!</definedName>
    <definedName name="PROFDEV" localSheetId="72">#REF!</definedName>
    <definedName name="PROFDEV" localSheetId="73">#REF!</definedName>
    <definedName name="PROFDEV" localSheetId="2">#REF!</definedName>
    <definedName name="PROFDEV" localSheetId="0">#REF!</definedName>
    <definedName name="PROFDEV">#REF!</definedName>
    <definedName name="progdesc" localSheetId="15">#REF!</definedName>
    <definedName name="progdesc" localSheetId="16">#REF!</definedName>
    <definedName name="progdesc" localSheetId="7">#REF!</definedName>
    <definedName name="progdesc" localSheetId="8">#REF!</definedName>
    <definedName name="progdesc" localSheetId="9">#REF!</definedName>
    <definedName name="progdesc" localSheetId="10">#REF!</definedName>
    <definedName name="progdesc" localSheetId="11">#REF!</definedName>
    <definedName name="progdesc" localSheetId="12">#REF!</definedName>
    <definedName name="progdesc" localSheetId="13">#REF!</definedName>
    <definedName name="progdesc" localSheetId="14">#REF!</definedName>
    <definedName name="progdesc" localSheetId="18">#REF!</definedName>
    <definedName name="progdesc" localSheetId="27">#REF!</definedName>
    <definedName name="progdesc" localSheetId="28">#REF!</definedName>
    <definedName name="progdesc" localSheetId="29">#REF!</definedName>
    <definedName name="progdesc" localSheetId="30">#REF!</definedName>
    <definedName name="progdesc" localSheetId="19">#REF!</definedName>
    <definedName name="progdesc" localSheetId="20">#REF!</definedName>
    <definedName name="progdesc" localSheetId="21">#REF!</definedName>
    <definedName name="progdesc" localSheetId="22">#REF!</definedName>
    <definedName name="progdesc" localSheetId="23">#REF!</definedName>
    <definedName name="progdesc" localSheetId="24">#REF!</definedName>
    <definedName name="progdesc" localSheetId="25">#REF!</definedName>
    <definedName name="progdesc" localSheetId="26">#REF!</definedName>
    <definedName name="progdesc" localSheetId="44">#REF!</definedName>
    <definedName name="progdesc" localSheetId="57">#REF!</definedName>
    <definedName name="progdesc" localSheetId="74">#REF!</definedName>
    <definedName name="progdesc" localSheetId="36">#REF!</definedName>
    <definedName name="progdesc" localSheetId="38">#REF!</definedName>
    <definedName name="progdesc" localSheetId="40">#REF!</definedName>
    <definedName name="progdesc" localSheetId="37">#REF!</definedName>
    <definedName name="progdesc" localSheetId="70">#REF!</definedName>
    <definedName name="progdesc" localSheetId="71">#REF!</definedName>
    <definedName name="progdesc" localSheetId="75">#REF!</definedName>
    <definedName name="progdesc" localSheetId="72">#REF!</definedName>
    <definedName name="progdesc" localSheetId="73">#REF!</definedName>
    <definedName name="progdesc" localSheetId="2">#REF!</definedName>
    <definedName name="progdesc" localSheetId="0">#REF!</definedName>
    <definedName name="progdesc">#REF!</definedName>
    <definedName name="PROVGOVT" localSheetId="57">#REF!</definedName>
    <definedName name="PROVGOVT" localSheetId="74">#REF!</definedName>
    <definedName name="PROVGOVT" localSheetId="72">#REF!</definedName>
    <definedName name="PROVGOVT" localSheetId="73">#REF!</definedName>
    <definedName name="PROVGOVT" localSheetId="2">#REF!</definedName>
    <definedName name="PROVGOVT" localSheetId="0">#REF!</definedName>
    <definedName name="PROVGOVT">#REF!</definedName>
    <definedName name="PublicAdd" localSheetId="72">#REF!</definedName>
    <definedName name="PublicAdd" localSheetId="0">#REF!</definedName>
    <definedName name="PublicAdd">#REF!</definedName>
    <definedName name="QUAL_INIT" localSheetId="44">#REF!</definedName>
    <definedName name="QUAL_INIT" localSheetId="47">#REF!</definedName>
    <definedName name="QUAL_INIT" localSheetId="52">'[4]S. 2016-17 FRAME Budget'!#REF!</definedName>
    <definedName name="QUAL_INIT" localSheetId="57">#REF!</definedName>
    <definedName name="QUAL_INIT" localSheetId="74">#REF!</definedName>
    <definedName name="QUAL_INIT" localSheetId="70">#REF!</definedName>
    <definedName name="QUAL_INIT" localSheetId="71">#REF!</definedName>
    <definedName name="QUAL_INIT" localSheetId="75">'[5]2016-17 FRAME Budget'!#REF!</definedName>
    <definedName name="QUAL_INIT" localSheetId="72">'[5]2016-17 FRAME Budget'!#REF!</definedName>
    <definedName name="QUAL_INIT" localSheetId="73">#REF!</definedName>
    <definedName name="QUAL_INIT" localSheetId="2">#REF!</definedName>
    <definedName name="QUAL_INIT" localSheetId="0">#REF!</definedName>
    <definedName name="QUAL_INIT">#REF!</definedName>
    <definedName name="RATE">[11]Rates!$B$8:$C$109</definedName>
    <definedName name="RCM">[2]Lookups!$A$1:$B$33</definedName>
    <definedName name="Reg_Key">'[2]Reg Changes'!$A$1:$A$65536</definedName>
    <definedName name="Reg_Value">'[2]Reg Changes'!$F$1:$F$65536</definedName>
    <definedName name="Reverse_Lookup">[2]Lookups!$AA$1:$AD$307</definedName>
    <definedName name="REVYEAR">'[18]- 42 -'!$B$1</definedName>
    <definedName name="SAMPLE">[19]Sample!$N$10:$O$83</definedName>
    <definedName name="SAMPLE2">'[19]Sample 2'!$P$10:$Q$84</definedName>
    <definedName name="SCHDIV" localSheetId="15">#REF!</definedName>
    <definedName name="SCHDIV" localSheetId="16">#REF!</definedName>
    <definedName name="SCHDIV" localSheetId="7">#REF!</definedName>
    <definedName name="SCHDIV" localSheetId="8">#REF!</definedName>
    <definedName name="SCHDIV" localSheetId="9">#REF!</definedName>
    <definedName name="SCHDIV" localSheetId="10">#REF!</definedName>
    <definedName name="SCHDIV" localSheetId="11">#REF!</definedName>
    <definedName name="SCHDIV" localSheetId="12">#REF!</definedName>
    <definedName name="SCHDIV" localSheetId="13">#REF!</definedName>
    <definedName name="SCHDIV" localSheetId="14">#REF!</definedName>
    <definedName name="SCHDIV" localSheetId="18">#REF!</definedName>
    <definedName name="SCHDIV" localSheetId="27">#REF!</definedName>
    <definedName name="SCHDIV" localSheetId="28">#REF!</definedName>
    <definedName name="SCHDIV" localSheetId="29">#REF!</definedName>
    <definedName name="SCHDIV" localSheetId="30">#REF!</definedName>
    <definedName name="SCHDIV" localSheetId="19">#REF!</definedName>
    <definedName name="SCHDIV" localSheetId="20">#REF!</definedName>
    <definedName name="SCHDIV" localSheetId="21">#REF!</definedName>
    <definedName name="SCHDIV" localSheetId="22">#REF!</definedName>
    <definedName name="SCHDIV" localSheetId="23">#REF!</definedName>
    <definedName name="SCHDIV" localSheetId="24">#REF!</definedName>
    <definedName name="SCHDIV" localSheetId="25">#REF!</definedName>
    <definedName name="SCHDIV" localSheetId="26">#REF!</definedName>
    <definedName name="SCHDIV" localSheetId="44">#REF!</definedName>
    <definedName name="SCHDIV" localSheetId="52">#REF!</definedName>
    <definedName name="SCHDIV" localSheetId="57">#REF!</definedName>
    <definedName name="SCHDIV" localSheetId="61">[20]ADDRESS!#REF!</definedName>
    <definedName name="SCHDIV" localSheetId="64">#REF!</definedName>
    <definedName name="SCHDIV" localSheetId="65">#REF!</definedName>
    <definedName name="SCHDIV" localSheetId="66">#REF!</definedName>
    <definedName name="SCHDIV" localSheetId="74">#REF!</definedName>
    <definedName name="SCHDIV" localSheetId="36">#REF!</definedName>
    <definedName name="SCHDIV" localSheetId="67">#REF!</definedName>
    <definedName name="SCHDIV" localSheetId="68">#REF!</definedName>
    <definedName name="SCHDIV" localSheetId="38">#REF!</definedName>
    <definedName name="SCHDIV" localSheetId="40">#REF!</definedName>
    <definedName name="SCHDIV" localSheetId="37">#REF!</definedName>
    <definedName name="SCHDIV" localSheetId="70">#REF!</definedName>
    <definedName name="SCHDIV" localSheetId="71">#REF!</definedName>
    <definedName name="SCHDIV" localSheetId="75">#REF!</definedName>
    <definedName name="SCHDIV" localSheetId="72">#REF!</definedName>
    <definedName name="SCHDIV" localSheetId="73">#REF!</definedName>
    <definedName name="SCHDIV" localSheetId="2">#REF!</definedName>
    <definedName name="SCHDIV" localSheetId="0">#REF!</definedName>
    <definedName name="SCHDIV">#REF!</definedName>
    <definedName name="SCHOOLS" localSheetId="15">#REF!</definedName>
    <definedName name="SCHOOLS" localSheetId="16">#REF!</definedName>
    <definedName name="SCHOOLS" localSheetId="7">#REF!</definedName>
    <definedName name="SCHOOLS" localSheetId="8">#REF!</definedName>
    <definedName name="SCHOOLS" localSheetId="9">#REF!</definedName>
    <definedName name="SCHOOLS" localSheetId="10">#REF!</definedName>
    <definedName name="SCHOOLS" localSheetId="11">#REF!</definedName>
    <definedName name="SCHOOLS" localSheetId="12">#REF!</definedName>
    <definedName name="SCHOOLS" localSheetId="13">#REF!</definedName>
    <definedName name="SCHOOLS" localSheetId="14">#REF!</definedName>
    <definedName name="SCHOOLS" localSheetId="18">#REF!</definedName>
    <definedName name="SCHOOLS" localSheetId="27">#REF!</definedName>
    <definedName name="SCHOOLS" localSheetId="28">#REF!</definedName>
    <definedName name="SCHOOLS" localSheetId="29">#REF!</definedName>
    <definedName name="SCHOOLS" localSheetId="30">#REF!</definedName>
    <definedName name="SCHOOLS" localSheetId="19">#REF!</definedName>
    <definedName name="SCHOOLS" localSheetId="20">#REF!</definedName>
    <definedName name="SCHOOLS" localSheetId="21">#REF!</definedName>
    <definedName name="SCHOOLS" localSheetId="22">#REF!</definedName>
    <definedName name="SCHOOLS" localSheetId="23">#REF!</definedName>
    <definedName name="SCHOOLS" localSheetId="24">#REF!</definedName>
    <definedName name="SCHOOLS" localSheetId="25">#REF!</definedName>
    <definedName name="SCHOOLS" localSheetId="26">#REF!</definedName>
    <definedName name="SCHOOLS" localSheetId="44">#REF!</definedName>
    <definedName name="SCHOOLS" localSheetId="57">#REF!</definedName>
    <definedName name="Schools" localSheetId="66">#REF!</definedName>
    <definedName name="SCHOOLS" localSheetId="74">#REF!</definedName>
    <definedName name="SCHOOLS" localSheetId="36">#REF!</definedName>
    <definedName name="Schools" localSheetId="68">#REF!</definedName>
    <definedName name="SCHOOLS" localSheetId="38">#REF!</definedName>
    <definedName name="SCHOOLS" localSheetId="40">#REF!</definedName>
    <definedName name="SCHOOLS" localSheetId="37">#REF!</definedName>
    <definedName name="SCHOOLS" localSheetId="72">#REF!</definedName>
    <definedName name="SCHOOLS" localSheetId="73">#REF!</definedName>
    <definedName name="SCHOOLS" localSheetId="2">#REF!</definedName>
    <definedName name="SCHOOLS" localSheetId="0">#REF!</definedName>
    <definedName name="SCHOOLS">#REF!</definedName>
    <definedName name="SCLS2004" localSheetId="15">#REF!</definedName>
    <definedName name="SCLS2004" localSheetId="16">#REF!</definedName>
    <definedName name="SCLS2004" localSheetId="7">#REF!</definedName>
    <definedName name="SCLS2004" localSheetId="8">#REF!</definedName>
    <definedName name="SCLS2004" localSheetId="9">#REF!</definedName>
    <definedName name="SCLS2004" localSheetId="10">#REF!</definedName>
    <definedName name="SCLS2004" localSheetId="11">#REF!</definedName>
    <definedName name="SCLS2004" localSheetId="12">#REF!</definedName>
    <definedName name="SCLS2004" localSheetId="13">#REF!</definedName>
    <definedName name="SCLS2004" localSheetId="14">#REF!</definedName>
    <definedName name="SCLS2004" localSheetId="18">#REF!</definedName>
    <definedName name="SCLS2004" localSheetId="27">#REF!</definedName>
    <definedName name="SCLS2004" localSheetId="28">#REF!</definedName>
    <definedName name="SCLS2004" localSheetId="29">#REF!</definedName>
    <definedName name="SCLS2004" localSheetId="30">#REF!</definedName>
    <definedName name="SCLS2004" localSheetId="19">#REF!</definedName>
    <definedName name="SCLS2004" localSheetId="20">#REF!</definedName>
    <definedName name="SCLS2004" localSheetId="21">#REF!</definedName>
    <definedName name="SCLS2004" localSheetId="22">#REF!</definedName>
    <definedName name="SCLS2004" localSheetId="23">#REF!</definedName>
    <definedName name="SCLS2004" localSheetId="24">#REF!</definedName>
    <definedName name="SCLS2004" localSheetId="25">#REF!</definedName>
    <definedName name="SCLS2004" localSheetId="26">#REF!</definedName>
    <definedName name="SCLS2004" localSheetId="44">#REF!</definedName>
    <definedName name="SCLS2004" localSheetId="52">#REF!</definedName>
    <definedName name="SCLS2004" localSheetId="57">#REF!</definedName>
    <definedName name="SCLS2004" localSheetId="61">[20]ADDRESS!#REF!</definedName>
    <definedName name="SCLS2004" localSheetId="64">#REF!</definedName>
    <definedName name="SCLS2004" localSheetId="65">#REF!</definedName>
    <definedName name="SCLS2004" localSheetId="66">#REF!</definedName>
    <definedName name="SCLS2004" localSheetId="74">#REF!</definedName>
    <definedName name="SCLS2004" localSheetId="36">#REF!</definedName>
    <definedName name="SCLS2004" localSheetId="67">#REF!</definedName>
    <definedName name="SCLS2004" localSheetId="68">#REF!</definedName>
    <definedName name="SCLS2004" localSheetId="38">#REF!</definedName>
    <definedName name="SCLS2004" localSheetId="40">#REF!</definedName>
    <definedName name="SCLS2004" localSheetId="37">#REF!</definedName>
    <definedName name="SCLS2004" localSheetId="70">#REF!</definedName>
    <definedName name="SCLS2004" localSheetId="71">#REF!</definedName>
    <definedName name="SCLS2004" localSheetId="72">#REF!</definedName>
    <definedName name="SCLS2004" localSheetId="73">#REF!</definedName>
    <definedName name="SCLS2004" localSheetId="2">#REF!</definedName>
    <definedName name="SCLS2004" localSheetId="0">#REF!</definedName>
    <definedName name="SCLS2004">#REF!</definedName>
    <definedName name="SFB" localSheetId="44">#REF!</definedName>
    <definedName name="SFB" localSheetId="52">#REF!</definedName>
    <definedName name="SFB" localSheetId="57">#REF!</definedName>
    <definedName name="SFB" localSheetId="74">#REF!</definedName>
    <definedName name="SFB" localSheetId="72">#REF!</definedName>
    <definedName name="SFB" localSheetId="73">#REF!</definedName>
    <definedName name="SFB" localSheetId="2">#REF!</definedName>
    <definedName name="SFB" localSheetId="0">#REF!</definedName>
    <definedName name="SFB">#REF!</definedName>
    <definedName name="SFP" localSheetId="57">#REF!</definedName>
    <definedName name="SFP" localSheetId="74">#REF!</definedName>
    <definedName name="SFP" localSheetId="72">#REF!</definedName>
    <definedName name="SFP" localSheetId="73">#REF!</definedName>
    <definedName name="SFP" localSheetId="2">#REF!</definedName>
    <definedName name="SFP" localSheetId="0">#REF!</definedName>
    <definedName name="SFP">#REF!</definedName>
    <definedName name="SMLLSCH" localSheetId="57">#REF!</definedName>
    <definedName name="SMLLSCH" localSheetId="74">#REF!</definedName>
    <definedName name="SMLLSCH" localSheetId="72">#REF!</definedName>
    <definedName name="SMLLSCH" localSheetId="73">#REF!</definedName>
    <definedName name="SMLLSCH" localSheetId="2">#REF!</definedName>
    <definedName name="SMLLSCH" localSheetId="0">#REF!</definedName>
    <definedName name="SMLLSCH">#REF!</definedName>
    <definedName name="SODESC" localSheetId="15">#REF!</definedName>
    <definedName name="SODESC" localSheetId="16">#REF!</definedName>
    <definedName name="SODESC" localSheetId="7">#REF!</definedName>
    <definedName name="SODESC" localSheetId="8">#REF!</definedName>
    <definedName name="SODESC" localSheetId="9">#REF!</definedName>
    <definedName name="SODESC" localSheetId="10">#REF!</definedName>
    <definedName name="SODESC" localSheetId="11">#REF!</definedName>
    <definedName name="SODESC" localSheetId="12">#REF!</definedName>
    <definedName name="SODESC" localSheetId="13">#REF!</definedName>
    <definedName name="SODESC" localSheetId="14">#REF!</definedName>
    <definedName name="SODESC" localSheetId="18">#REF!</definedName>
    <definedName name="SODESC" localSheetId="27">#REF!</definedName>
    <definedName name="SODESC" localSheetId="28">#REF!</definedName>
    <definedName name="SODESC" localSheetId="29">#REF!</definedName>
    <definedName name="SODESC" localSheetId="30">#REF!</definedName>
    <definedName name="SODESC" localSheetId="19">#REF!</definedName>
    <definedName name="SODESC" localSheetId="20">#REF!</definedName>
    <definedName name="SODESC" localSheetId="21">#REF!</definedName>
    <definedName name="SODESC" localSheetId="22">#REF!</definedName>
    <definedName name="SODESC" localSheetId="23">#REF!</definedName>
    <definedName name="SODESC" localSheetId="24">#REF!</definedName>
    <definedName name="SODESC" localSheetId="25">#REF!</definedName>
    <definedName name="SODESC" localSheetId="26">#REF!</definedName>
    <definedName name="SODESC" localSheetId="44">#REF!</definedName>
    <definedName name="SODESC" localSheetId="57">#REF!</definedName>
    <definedName name="SODESC" localSheetId="74">#REF!</definedName>
    <definedName name="SODESC" localSheetId="36">#REF!</definedName>
    <definedName name="SODESC" localSheetId="38">#REF!</definedName>
    <definedName name="SODESC" localSheetId="40">#REF!</definedName>
    <definedName name="SODESC" localSheetId="37">#REF!</definedName>
    <definedName name="SODESC" localSheetId="72">#REF!</definedName>
    <definedName name="SODESC" localSheetId="73">#REF!</definedName>
    <definedName name="SODESC" localSheetId="2">#REF!</definedName>
    <definedName name="SODESC" localSheetId="0">#REF!</definedName>
    <definedName name="SODESC">#REF!</definedName>
    <definedName name="SPARSITY" localSheetId="57">#REF!</definedName>
    <definedName name="SPARSITY" localSheetId="74">#REF!</definedName>
    <definedName name="SPARSITY" localSheetId="72">#REF!</definedName>
    <definedName name="SPARSITY" localSheetId="73">#REF!</definedName>
    <definedName name="SPARSITY" localSheetId="2">#REF!</definedName>
    <definedName name="SPARSITY" localSheetId="0">#REF!</definedName>
    <definedName name="SPARSITY">#REF!</definedName>
    <definedName name="SPECNEED2" localSheetId="57">#REF!</definedName>
    <definedName name="SPECNEED2" localSheetId="74">#REF!</definedName>
    <definedName name="SPECNEED2" localSheetId="72">#REF!</definedName>
    <definedName name="SPECNEED2" localSheetId="73">#REF!</definedName>
    <definedName name="SPECNEED2" localSheetId="2">#REF!</definedName>
    <definedName name="SPECNEED2" localSheetId="0">#REF!</definedName>
    <definedName name="SPECNEED2">#REF!</definedName>
    <definedName name="SPECNEED3" localSheetId="57">#REF!</definedName>
    <definedName name="SPECNEED3" localSheetId="74">#REF!</definedName>
    <definedName name="SPECNEED3" localSheetId="72">#REF!</definedName>
    <definedName name="SPECNEED3" localSheetId="73">#REF!</definedName>
    <definedName name="SPECNEED3" localSheetId="2">#REF!</definedName>
    <definedName name="SPECNEED3" localSheetId="0">#REF!</definedName>
    <definedName name="SPECNEED3">#REF!</definedName>
    <definedName name="SPECNEEDCLIN" localSheetId="57">#REF!</definedName>
    <definedName name="SPECNEEDCLIN" localSheetId="74">#REF!</definedName>
    <definedName name="SPECNEEDCLIN" localSheetId="72">#REF!</definedName>
    <definedName name="SPECNEEDCLIN" localSheetId="73">#REF!</definedName>
    <definedName name="SPECNEEDCLIN" localSheetId="2">#REF!</definedName>
    <definedName name="SPECNEEDCLIN" localSheetId="0">#REF!</definedName>
    <definedName name="SPECNEEDCLIN">#REF!</definedName>
    <definedName name="SPECREQ" localSheetId="57">#REF!</definedName>
    <definedName name="SPECREQ" localSheetId="74">#REF!</definedName>
    <definedName name="SPECREQ" localSheetId="72">#REF!</definedName>
    <definedName name="SPECREQ" localSheetId="73">#REF!</definedName>
    <definedName name="SPECREQ" localSheetId="2">#REF!</definedName>
    <definedName name="SPECREQ" localSheetId="0">#REF!</definedName>
    <definedName name="SPECREQ">#REF!</definedName>
    <definedName name="SPNEEDS" localSheetId="57">#REF!</definedName>
    <definedName name="SPNEEDS" localSheetId="74">#REF!</definedName>
    <definedName name="SPNEEDS" localSheetId="72">#REF!</definedName>
    <definedName name="SPNEEDS" localSheetId="73">#REF!</definedName>
    <definedName name="SPNEEDS" localSheetId="2">#REF!</definedName>
    <definedName name="SPNEEDS" localSheetId="0">#REF!</definedName>
    <definedName name="SPNEEDS">#REF!</definedName>
    <definedName name="SPRINGYR">[8]Data!$B$7</definedName>
    <definedName name="SSEE" localSheetId="47">#REF!</definedName>
    <definedName name="SSEE" localSheetId="52">#REF!</definedName>
    <definedName name="SSEE" localSheetId="57">#REF!</definedName>
    <definedName name="SSEE" localSheetId="74">#REF!</definedName>
    <definedName name="SSEE" localSheetId="72">#REF!</definedName>
    <definedName name="SSEE" localSheetId="73">#REF!</definedName>
    <definedName name="SSEE" localSheetId="2">#REF!</definedName>
    <definedName name="SSEE" localSheetId="0">#REF!</definedName>
    <definedName name="SSEE">#REF!</definedName>
    <definedName name="STAMP" localSheetId="15">#REF!</definedName>
    <definedName name="STAMP" localSheetId="16">#REF!</definedName>
    <definedName name="STAMP" localSheetId="7">#REF!</definedName>
    <definedName name="STAMP" localSheetId="8">#REF!</definedName>
    <definedName name="STAMP" localSheetId="9">#REF!</definedName>
    <definedName name="STAMP" localSheetId="10">#REF!</definedName>
    <definedName name="STAMP" localSheetId="11">#REF!</definedName>
    <definedName name="STAMP" localSheetId="12">#REF!</definedName>
    <definedName name="STAMP" localSheetId="13">#REF!</definedName>
    <definedName name="STAMP" localSheetId="14">#REF!</definedName>
    <definedName name="STAMP" localSheetId="18">#REF!</definedName>
    <definedName name="STAMP" localSheetId="27">#REF!</definedName>
    <definedName name="STAMP" localSheetId="28">#REF!</definedName>
    <definedName name="STAMP" localSheetId="29">#REF!</definedName>
    <definedName name="STAMP" localSheetId="30">#REF!</definedName>
    <definedName name="STAMP" localSheetId="19">#REF!</definedName>
    <definedName name="STAMP" localSheetId="20">#REF!</definedName>
    <definedName name="STAMP" localSheetId="21">#REF!</definedName>
    <definedName name="STAMP" localSheetId="22">#REF!</definedName>
    <definedName name="STAMP" localSheetId="23">#REF!</definedName>
    <definedName name="STAMP" localSheetId="24">#REF!</definedName>
    <definedName name="STAMP" localSheetId="25">#REF!</definedName>
    <definedName name="STAMP" localSheetId="26">#REF!</definedName>
    <definedName name="STAMP" localSheetId="44">#REF!</definedName>
    <definedName name="STAMP" localSheetId="57">#REF!</definedName>
    <definedName name="STAMP" localSheetId="74">#REF!</definedName>
    <definedName name="STAMP" localSheetId="36">#REF!</definedName>
    <definedName name="STAMP" localSheetId="38">#REF!</definedName>
    <definedName name="STAMP" localSheetId="40">#REF!</definedName>
    <definedName name="STAMP" localSheetId="37">#REF!</definedName>
    <definedName name="STAMP" localSheetId="70">#REF!</definedName>
    <definedName name="STAMP" localSheetId="71">#REF!</definedName>
    <definedName name="STAMP" localSheetId="75">#REF!</definedName>
    <definedName name="STAMP" localSheetId="72">#REF!</definedName>
    <definedName name="STAMP" localSheetId="73">#REF!</definedName>
    <definedName name="STAMP" localSheetId="2">#REF!</definedName>
    <definedName name="STAMP" localSheetId="0">#REF!</definedName>
    <definedName name="STAMP">#REF!</definedName>
    <definedName name="STATDATE" localSheetId="27">#REF!</definedName>
    <definedName name="STATDATE" localSheetId="28">#REF!</definedName>
    <definedName name="STATDATE" localSheetId="29">#REF!</definedName>
    <definedName name="STATDATE" localSheetId="30">#REF!</definedName>
    <definedName name="STATDATE" localSheetId="44">#REF!</definedName>
    <definedName name="STATDATE" localSheetId="52">#REF!</definedName>
    <definedName name="STATDATE" localSheetId="57">#REF!</definedName>
    <definedName name="STATDATE" localSheetId="61">'[3]- 6 -'!$B$3</definedName>
    <definedName name="STATDATE" localSheetId="74">#REF!</definedName>
    <definedName name="STATDATE" localSheetId="36">#REF!</definedName>
    <definedName name="STATDATE" localSheetId="38">#REF!</definedName>
    <definedName name="STATDATE" localSheetId="40">#REF!</definedName>
    <definedName name="STATDATE" localSheetId="37">#REF!</definedName>
    <definedName name="STATDATE" localSheetId="70">#REF!</definedName>
    <definedName name="STATDATE" localSheetId="71">#REF!</definedName>
    <definedName name="STATDATE" localSheetId="75">#REF!</definedName>
    <definedName name="STATDATE" localSheetId="72">#REF!</definedName>
    <definedName name="STATDATE" localSheetId="73">#REF!</definedName>
    <definedName name="STATDATE" localSheetId="2">#REF!</definedName>
    <definedName name="STATDATE" localSheetId="0">#REF!</definedName>
    <definedName name="STATDATE">#REF!</definedName>
    <definedName name="STEINBACH__MB__R5G_1P6" localSheetId="15">#REF!</definedName>
    <definedName name="STEINBACH__MB__R5G_1P6" localSheetId="16">#REF!</definedName>
    <definedName name="STEINBACH__MB__R5G_1P6" localSheetId="7">#REF!</definedName>
    <definedName name="STEINBACH__MB__R5G_1P6" localSheetId="8">#REF!</definedName>
    <definedName name="STEINBACH__MB__R5G_1P6" localSheetId="9">#REF!</definedName>
    <definedName name="STEINBACH__MB__R5G_1P6" localSheetId="10">#REF!</definedName>
    <definedName name="STEINBACH__MB__R5G_1P6" localSheetId="11">#REF!</definedName>
    <definedName name="STEINBACH__MB__R5G_1P6" localSheetId="12">#REF!</definedName>
    <definedName name="STEINBACH__MB__R5G_1P6" localSheetId="13">#REF!</definedName>
    <definedName name="STEINBACH__MB__R5G_1P6" localSheetId="14">#REF!</definedName>
    <definedName name="STEINBACH__MB__R5G_1P6" localSheetId="18">#REF!</definedName>
    <definedName name="STEINBACH__MB__R5G_1P6" localSheetId="27">#REF!</definedName>
    <definedName name="STEINBACH__MB__R5G_1P6" localSheetId="28">#REF!</definedName>
    <definedName name="STEINBACH__MB__R5G_1P6" localSheetId="29">#REF!</definedName>
    <definedName name="STEINBACH__MB__R5G_1P6" localSheetId="30">#REF!</definedName>
    <definedName name="STEINBACH__MB__R5G_1P6" localSheetId="19">#REF!</definedName>
    <definedName name="STEINBACH__MB__R5G_1P6" localSheetId="20">#REF!</definedName>
    <definedName name="STEINBACH__MB__R5G_1P6" localSheetId="21">#REF!</definedName>
    <definedName name="STEINBACH__MB__R5G_1P6" localSheetId="22">#REF!</definedName>
    <definedName name="STEINBACH__MB__R5G_1P6" localSheetId="23">#REF!</definedName>
    <definedName name="STEINBACH__MB__R5G_1P6" localSheetId="24">#REF!</definedName>
    <definedName name="STEINBACH__MB__R5G_1P6" localSheetId="25">#REF!</definedName>
    <definedName name="STEINBACH__MB__R5G_1P6" localSheetId="26">#REF!</definedName>
    <definedName name="STEINBACH__MB__R5G_1P6" localSheetId="44">#REF!</definedName>
    <definedName name="STEINBACH__MB__R5G_1P6" localSheetId="57">#REF!</definedName>
    <definedName name="STEINBACH__MB__R5G_1P6" localSheetId="64">#REF!</definedName>
    <definedName name="STEINBACH__MB__R5G_1P6" localSheetId="66">#REF!</definedName>
    <definedName name="STEINBACH__MB__R5G_1P6" localSheetId="74">#REF!</definedName>
    <definedName name="STEINBACH__MB__R5G_1P6" localSheetId="36">#REF!</definedName>
    <definedName name="STEINBACH__MB__R5G_1P6" localSheetId="68">#REF!</definedName>
    <definedName name="STEINBACH__MB__R5G_1P6" localSheetId="38">#REF!</definedName>
    <definedName name="STEINBACH__MB__R5G_1P6" localSheetId="40">#REF!</definedName>
    <definedName name="STEINBACH__MB__R5G_1P6" localSheetId="37">#REF!</definedName>
    <definedName name="STEINBACH__MB__R5G_1P6" localSheetId="70">#REF!</definedName>
    <definedName name="STEINBACH__MB__R5G_1P6" localSheetId="71">#REF!</definedName>
    <definedName name="STEINBACH__MB__R5G_1P6" localSheetId="72">#REF!</definedName>
    <definedName name="STEINBACH__MB__R5G_1P6" localSheetId="73">#REF!</definedName>
    <definedName name="STEINBACH__MB__R5G_1P6" localSheetId="2">#REF!</definedName>
    <definedName name="STEINBACH__MB__R5G_1P6" localSheetId="0">#REF!</definedName>
    <definedName name="STEINBACH__MB__R5G_1P6">#REF!</definedName>
    <definedName name="STUDSERV" localSheetId="57">#REF!</definedName>
    <definedName name="STUDSERV" localSheetId="74">#REF!</definedName>
    <definedName name="STUDSERV" localSheetId="72">#REF!</definedName>
    <definedName name="STUDSERV" localSheetId="73">#REF!</definedName>
    <definedName name="STUDSERV" localSheetId="2">#REF!</definedName>
    <definedName name="STUDSERV" localSheetId="0">#REF!</definedName>
    <definedName name="STUDSERV">#REF!</definedName>
    <definedName name="subdesc" localSheetId="15">#REF!</definedName>
    <definedName name="subdesc" localSheetId="16">#REF!</definedName>
    <definedName name="subdesc" localSheetId="7">#REF!</definedName>
    <definedName name="subdesc" localSheetId="8">#REF!</definedName>
    <definedName name="subdesc" localSheetId="9">#REF!</definedName>
    <definedName name="subdesc" localSheetId="10">#REF!</definedName>
    <definedName name="subdesc" localSheetId="11">#REF!</definedName>
    <definedName name="subdesc" localSheetId="12">#REF!</definedName>
    <definedName name="subdesc" localSheetId="13">#REF!</definedName>
    <definedName name="subdesc" localSheetId="14">#REF!</definedName>
    <definedName name="subdesc" localSheetId="18">#REF!</definedName>
    <definedName name="subdesc" localSheetId="27">#REF!</definedName>
    <definedName name="subdesc" localSheetId="28">#REF!</definedName>
    <definedName name="subdesc" localSheetId="29">#REF!</definedName>
    <definedName name="subdesc" localSheetId="30">#REF!</definedName>
    <definedName name="subdesc" localSheetId="19">#REF!</definedName>
    <definedName name="subdesc" localSheetId="20">#REF!</definedName>
    <definedName name="subdesc" localSheetId="21">#REF!</definedName>
    <definedName name="subdesc" localSheetId="22">#REF!</definedName>
    <definedName name="subdesc" localSheetId="23">#REF!</definedName>
    <definedName name="subdesc" localSheetId="24">#REF!</definedName>
    <definedName name="subdesc" localSheetId="25">#REF!</definedName>
    <definedName name="subdesc" localSheetId="26">#REF!</definedName>
    <definedName name="subdesc" localSheetId="44">#REF!</definedName>
    <definedName name="subdesc" localSheetId="57">#REF!</definedName>
    <definedName name="subdesc" localSheetId="74">#REF!</definedName>
    <definedName name="subdesc" localSheetId="36">#REF!</definedName>
    <definedName name="subdesc" localSheetId="38">#REF!</definedName>
    <definedName name="subdesc" localSheetId="40">#REF!</definedName>
    <definedName name="subdesc" localSheetId="37">#REF!</definedName>
    <definedName name="subdesc" localSheetId="72">#REF!</definedName>
    <definedName name="subdesc" localSheetId="73">#REF!</definedName>
    <definedName name="subdesc" localSheetId="2">#REF!</definedName>
    <definedName name="subdesc" localSheetId="0">#REF!</definedName>
    <definedName name="subdesc">#REF!</definedName>
    <definedName name="SUBFEES" localSheetId="57">#REF!</definedName>
    <definedName name="SUBFEES" localSheetId="74">#REF!</definedName>
    <definedName name="SUBFEES" localSheetId="72">#REF!</definedName>
    <definedName name="SUBFEES" localSheetId="73">#REF!</definedName>
    <definedName name="SUBFEES" localSheetId="2">#REF!</definedName>
    <definedName name="SUBFEES" localSheetId="0">#REF!</definedName>
    <definedName name="SUBFEES">#REF!</definedName>
    <definedName name="TAXYEAR" localSheetId="27">#REF!</definedName>
    <definedName name="TAXYEAR" localSheetId="28">#REF!</definedName>
    <definedName name="TAXYEAR" localSheetId="29">#REF!</definedName>
    <definedName name="TAXYEAR" localSheetId="30">#REF!</definedName>
    <definedName name="TAXYEAR" localSheetId="44">#REF!</definedName>
    <definedName name="TAXYEAR" localSheetId="52">#REF!</definedName>
    <definedName name="TAXYEAR" localSheetId="57">#REF!</definedName>
    <definedName name="TAXYEAR" localSheetId="61">'[3]- 45 -'!$B$3</definedName>
    <definedName name="TAXYEAR" localSheetId="74">#REF!</definedName>
    <definedName name="TAXYEAR" localSheetId="36">#REF!</definedName>
    <definedName name="TAXYEAR" localSheetId="38">#REF!</definedName>
    <definedName name="TAXYEAR" localSheetId="40">#REF!</definedName>
    <definedName name="TAXYEAR" localSheetId="37">#REF!</definedName>
    <definedName name="TAXYEAR" localSheetId="70">#REF!</definedName>
    <definedName name="TAXYEAR" localSheetId="71">#REF!</definedName>
    <definedName name="TAXYEAR" localSheetId="72">#REF!</definedName>
    <definedName name="TAXYEAR" localSheetId="73">#REF!</definedName>
    <definedName name="TAXYEAR" localSheetId="2">#REF!</definedName>
    <definedName name="TAXYEAR" localSheetId="0">#REF!</definedName>
    <definedName name="TAXYEAR">#REF!</definedName>
    <definedName name="TECHED" localSheetId="57">#REF!</definedName>
    <definedName name="TECHED" localSheetId="74">#REF!</definedName>
    <definedName name="TECHED" localSheetId="72">#REF!</definedName>
    <definedName name="TECHED" localSheetId="73">#REF!</definedName>
    <definedName name="TECHED" localSheetId="2">#REF!</definedName>
    <definedName name="TECHED" localSheetId="0">#REF!</definedName>
    <definedName name="TECHED">#REF!</definedName>
    <definedName name="TIG" localSheetId="57">#REF!</definedName>
    <definedName name="TIG" localSheetId="74">#REF!</definedName>
    <definedName name="TIG" localSheetId="72">#REF!</definedName>
    <definedName name="TIG" localSheetId="73">#REF!</definedName>
    <definedName name="TIG" localSheetId="2">#REF!</definedName>
    <definedName name="TIG" localSheetId="0">#REF!</definedName>
    <definedName name="TIG">#REF!</definedName>
    <definedName name="TOTAL1" localSheetId="15">#REF!</definedName>
    <definedName name="TOTAL1" localSheetId="16">#REF!</definedName>
    <definedName name="TOTAL1" localSheetId="7">#REF!</definedName>
    <definedName name="TOTAL1" localSheetId="8">#REF!</definedName>
    <definedName name="TOTAL1" localSheetId="9">#REF!</definedName>
    <definedName name="TOTAL1" localSheetId="10">#REF!</definedName>
    <definedName name="TOTAL1" localSheetId="11">#REF!</definedName>
    <definedName name="TOTAL1" localSheetId="12">#REF!</definedName>
    <definedName name="TOTAL1" localSheetId="13">#REF!</definedName>
    <definedName name="TOTAL1" localSheetId="14">#REF!</definedName>
    <definedName name="TOTAL1" localSheetId="18">#REF!</definedName>
    <definedName name="TOTAL1" localSheetId="27">#REF!</definedName>
    <definedName name="TOTAL1" localSheetId="28">#REF!</definedName>
    <definedName name="TOTAL1" localSheetId="29">#REF!</definedName>
    <definedName name="TOTAL1" localSheetId="30">#REF!</definedName>
    <definedName name="TOTAL1" localSheetId="19">#REF!</definedName>
    <definedName name="TOTAL1" localSheetId="20">#REF!</definedName>
    <definedName name="TOTAL1" localSheetId="21">#REF!</definedName>
    <definedName name="TOTAL1" localSheetId="22">#REF!</definedName>
    <definedName name="TOTAL1" localSheetId="23">#REF!</definedName>
    <definedName name="TOTAL1" localSheetId="24">#REF!</definedName>
    <definedName name="TOTAL1" localSheetId="25">#REF!</definedName>
    <definedName name="TOTAL1" localSheetId="26">#REF!</definedName>
    <definedName name="TOTAL1" localSheetId="44">#REF!</definedName>
    <definedName name="TOTAL1" localSheetId="57">#REF!</definedName>
    <definedName name="TOTAL1" localSheetId="74">#REF!</definedName>
    <definedName name="TOTAL1" localSheetId="36">#REF!</definedName>
    <definedName name="TOTAL1" localSheetId="38">#REF!</definedName>
    <definedName name="TOTAL1" localSheetId="40">#REF!</definedName>
    <definedName name="TOTAL1" localSheetId="37">#REF!</definedName>
    <definedName name="TOTAL1" localSheetId="72">#REF!</definedName>
    <definedName name="TOTAL1" localSheetId="73">#REF!</definedName>
    <definedName name="TOTAL1" localSheetId="2">#REF!</definedName>
    <definedName name="TOTAL1" localSheetId="0">#REF!</definedName>
    <definedName name="TOTAL1">#REF!</definedName>
    <definedName name="TOTAL2" localSheetId="15">#REF!</definedName>
    <definedName name="TOTAL2" localSheetId="16">#REF!</definedName>
    <definedName name="TOTAL2" localSheetId="7">#REF!</definedName>
    <definedName name="TOTAL2" localSheetId="8">#REF!</definedName>
    <definedName name="TOTAL2" localSheetId="9">#REF!</definedName>
    <definedName name="TOTAL2" localSheetId="10">#REF!</definedName>
    <definedName name="TOTAL2" localSheetId="11">#REF!</definedName>
    <definedName name="TOTAL2" localSheetId="12">#REF!</definedName>
    <definedName name="TOTAL2" localSheetId="13">#REF!</definedName>
    <definedName name="TOTAL2" localSheetId="14">#REF!</definedName>
    <definedName name="TOTAL2" localSheetId="18">#REF!</definedName>
    <definedName name="TOTAL2" localSheetId="27">#REF!</definedName>
    <definedName name="TOTAL2" localSheetId="28">#REF!</definedName>
    <definedName name="TOTAL2" localSheetId="29">#REF!</definedName>
    <definedName name="TOTAL2" localSheetId="30">#REF!</definedName>
    <definedName name="TOTAL2" localSheetId="19">#REF!</definedName>
    <definedName name="TOTAL2" localSheetId="20">#REF!</definedName>
    <definedName name="TOTAL2" localSheetId="21">#REF!</definedName>
    <definedName name="TOTAL2" localSheetId="22">#REF!</definedName>
    <definedName name="TOTAL2" localSheetId="23">#REF!</definedName>
    <definedName name="TOTAL2" localSheetId="24">#REF!</definedName>
    <definedName name="TOTAL2" localSheetId="25">#REF!</definedName>
    <definedName name="TOTAL2" localSheetId="26">#REF!</definedName>
    <definedName name="TOTAL2" localSheetId="44">#REF!</definedName>
    <definedName name="TOTAL2" localSheetId="57">#REF!</definedName>
    <definedName name="TOTAL2" localSheetId="74">#REF!</definedName>
    <definedName name="TOTAL2" localSheetId="36">#REF!</definedName>
    <definedName name="TOTAL2" localSheetId="38">#REF!</definedName>
    <definedName name="TOTAL2" localSheetId="40">#REF!</definedName>
    <definedName name="TOTAL2" localSheetId="37">#REF!</definedName>
    <definedName name="TOTAL2" localSheetId="72">#REF!</definedName>
    <definedName name="TOTAL2" localSheetId="73">#REF!</definedName>
    <definedName name="TOTAL2" localSheetId="2">#REF!</definedName>
    <definedName name="TOTAL2" localSheetId="0">#REF!</definedName>
    <definedName name="TOTAL2">#REF!</definedName>
    <definedName name="TOTAL3" localSheetId="15">#REF!</definedName>
    <definedName name="TOTAL3" localSheetId="16">#REF!</definedName>
    <definedName name="TOTAL3" localSheetId="7">#REF!</definedName>
    <definedName name="TOTAL3" localSheetId="8">#REF!</definedName>
    <definedName name="TOTAL3" localSheetId="9">#REF!</definedName>
    <definedName name="TOTAL3" localSheetId="10">#REF!</definedName>
    <definedName name="TOTAL3" localSheetId="11">#REF!</definedName>
    <definedName name="TOTAL3" localSheetId="12">#REF!</definedName>
    <definedName name="TOTAL3" localSheetId="13">#REF!</definedName>
    <definedName name="TOTAL3" localSheetId="14">#REF!</definedName>
    <definedName name="TOTAL3" localSheetId="18">#REF!</definedName>
    <definedName name="TOTAL3" localSheetId="27">#REF!</definedName>
    <definedName name="TOTAL3" localSheetId="28">#REF!</definedName>
    <definedName name="TOTAL3" localSheetId="29">#REF!</definedName>
    <definedName name="TOTAL3" localSheetId="30">#REF!</definedName>
    <definedName name="TOTAL3" localSheetId="19">#REF!</definedName>
    <definedName name="TOTAL3" localSheetId="20">#REF!</definedName>
    <definedName name="TOTAL3" localSheetId="21">#REF!</definedName>
    <definedName name="TOTAL3" localSheetId="22">#REF!</definedName>
    <definedName name="TOTAL3" localSheetId="23">#REF!</definedName>
    <definedName name="TOTAL3" localSheetId="24">#REF!</definedName>
    <definedName name="TOTAL3" localSheetId="25">#REF!</definedName>
    <definedName name="TOTAL3" localSheetId="26">#REF!</definedName>
    <definedName name="TOTAL3" localSheetId="44">#REF!</definedName>
    <definedName name="TOTAL3" localSheetId="57">#REF!</definedName>
    <definedName name="TOTAL3" localSheetId="74">#REF!</definedName>
    <definedName name="TOTAL3" localSheetId="36">#REF!</definedName>
    <definedName name="TOTAL3" localSheetId="38">#REF!</definedName>
    <definedName name="TOTAL3" localSheetId="40">#REF!</definedName>
    <definedName name="TOTAL3" localSheetId="37">#REF!</definedName>
    <definedName name="TOTAL3" localSheetId="72">#REF!</definedName>
    <definedName name="TOTAL3" localSheetId="73">#REF!</definedName>
    <definedName name="TOTAL3" localSheetId="2">#REF!</definedName>
    <definedName name="TOTAL3" localSheetId="0">#REF!</definedName>
    <definedName name="TOTAL3">#REF!</definedName>
    <definedName name="TOTEXP">'[1]Revenues &amp; Expenditures'!$T$11</definedName>
    <definedName name="TRANSPORT" localSheetId="47">#REF!</definedName>
    <definedName name="TRANSPORT" localSheetId="52">#REF!</definedName>
    <definedName name="TRANSPORT" localSheetId="57">#REF!</definedName>
    <definedName name="TRANSPORT" localSheetId="74">#REF!</definedName>
    <definedName name="TRANSPORT" localSheetId="72">#REF!</definedName>
    <definedName name="TRANSPORT" localSheetId="73">#REF!</definedName>
    <definedName name="TRANSPORT" localSheetId="2">#REF!</definedName>
    <definedName name="TRANSPORT" localSheetId="0">#REF!</definedName>
    <definedName name="TRANSPORT">#REF!</definedName>
    <definedName name="TWO" localSheetId="15">#REF!</definedName>
    <definedName name="TWO" localSheetId="16">#REF!</definedName>
    <definedName name="TWO" localSheetId="7">#REF!</definedName>
    <definedName name="TWO" localSheetId="8">#REF!</definedName>
    <definedName name="TWO" localSheetId="9">#REF!</definedName>
    <definedName name="TWO" localSheetId="10">#REF!</definedName>
    <definedName name="TWO" localSheetId="11">#REF!</definedName>
    <definedName name="TWO" localSheetId="12">#REF!</definedName>
    <definedName name="TWO" localSheetId="13">#REF!</definedName>
    <definedName name="TWO" localSheetId="14">#REF!</definedName>
    <definedName name="TWO" localSheetId="18">#REF!</definedName>
    <definedName name="TWO" localSheetId="27">#REF!</definedName>
    <definedName name="TWO" localSheetId="28">#REF!</definedName>
    <definedName name="TWO" localSheetId="29">#REF!</definedName>
    <definedName name="TWO" localSheetId="30">#REF!</definedName>
    <definedName name="TWO" localSheetId="19">#REF!</definedName>
    <definedName name="TWO" localSheetId="20">#REF!</definedName>
    <definedName name="TWO" localSheetId="21">#REF!</definedName>
    <definedName name="TWO" localSheetId="22">#REF!</definedName>
    <definedName name="TWO" localSheetId="23">#REF!</definedName>
    <definedName name="TWO" localSheetId="24">#REF!</definedName>
    <definedName name="TWO" localSheetId="25">#REF!</definedName>
    <definedName name="TWO" localSheetId="26">#REF!</definedName>
    <definedName name="TWO" localSheetId="44">#REF!</definedName>
    <definedName name="TWO" localSheetId="57">#REF!</definedName>
    <definedName name="TWO" localSheetId="74">#REF!</definedName>
    <definedName name="TWO" localSheetId="36">#REF!</definedName>
    <definedName name="TWO" localSheetId="38">#REF!</definedName>
    <definedName name="TWO" localSheetId="40">#REF!</definedName>
    <definedName name="TWO" localSheetId="37">#REF!</definedName>
    <definedName name="TWO" localSheetId="70">#REF!</definedName>
    <definedName name="TWO" localSheetId="71">#REF!</definedName>
    <definedName name="TWO" localSheetId="75">#REF!</definedName>
    <definedName name="TWO" localSheetId="72">#REF!</definedName>
    <definedName name="TWO" localSheetId="73">#REF!</definedName>
    <definedName name="TWO" localSheetId="2">#REF!</definedName>
    <definedName name="TWO" localSheetId="0">#REF!</definedName>
    <definedName name="TWO">#REF!</definedName>
    <definedName name="TYPE" localSheetId="72">#REF!</definedName>
    <definedName name="TYPE" localSheetId="0">#REF!</definedName>
    <definedName name="TYPE">#REF!</definedName>
    <definedName name="URIS" localSheetId="57">#REF!</definedName>
    <definedName name="URIS" localSheetId="74">#REF!</definedName>
    <definedName name="URIS" localSheetId="72">#REF!</definedName>
    <definedName name="URIS" localSheetId="73">#REF!</definedName>
    <definedName name="URIS" localSheetId="2">#REF!</definedName>
    <definedName name="URIS" localSheetId="0">#REF!</definedName>
    <definedName name="URIS">#REF!</definedName>
    <definedName name="VOCDEMO" localSheetId="57">#REF!</definedName>
    <definedName name="VOCDEMO" localSheetId="74">#REF!</definedName>
    <definedName name="VOCDEMO" localSheetId="72">#REF!</definedName>
    <definedName name="VOCDEMO" localSheetId="73">#REF!</definedName>
    <definedName name="VOCDEMO" localSheetId="2">#REF!</definedName>
    <definedName name="VOCDEMO" localSheetId="0">#REF!</definedName>
    <definedName name="VOCDEMO">#REF!</definedName>
    <definedName name="VOCREP" localSheetId="57">#REF!</definedName>
    <definedName name="VOCREP" localSheetId="74">#REF!</definedName>
    <definedName name="VOCREP" localSheetId="72">#REF!</definedName>
    <definedName name="VOCREP" localSheetId="73">#REF!</definedName>
    <definedName name="VOCREP" localSheetId="2">#REF!</definedName>
    <definedName name="VOCREP" localSheetId="0">#REF!</definedName>
    <definedName name="VOCREP">#REF!</definedName>
    <definedName name="YEAR" localSheetId="27">#REF!</definedName>
    <definedName name="YEAR" localSheetId="28">#REF!</definedName>
    <definedName name="YEAR" localSheetId="29">#REF!</definedName>
    <definedName name="YEAR" localSheetId="30">#REF!</definedName>
    <definedName name="YEAR" localSheetId="44">#REF!</definedName>
    <definedName name="YEAR" localSheetId="52">#REF!</definedName>
    <definedName name="YEAR" localSheetId="57">#REF!</definedName>
    <definedName name="YEAR" localSheetId="61">[3]Data!$B$6</definedName>
    <definedName name="YEAR" localSheetId="74">#REF!</definedName>
    <definedName name="YEAR" localSheetId="36">#REF!</definedName>
    <definedName name="YEAR" localSheetId="38">#REF!</definedName>
    <definedName name="YEAR" localSheetId="40">#REF!</definedName>
    <definedName name="YEAR" localSheetId="37">#REF!</definedName>
    <definedName name="YEAR" localSheetId="70">#REF!</definedName>
    <definedName name="YEAR" localSheetId="71">#REF!</definedName>
    <definedName name="YEAR" localSheetId="75">#REF!</definedName>
    <definedName name="YEAR" localSheetId="72">#REF!</definedName>
    <definedName name="YEAR" localSheetId="73">#REF!</definedName>
    <definedName name="YEAR" localSheetId="2">#REF!</definedName>
    <definedName name="YEAR" localSheetId="0">#REF!</definedName>
    <definedName name="YEAR">#REF!</definedName>
    <definedName name="YEARFRENCH">'[21]- 42 -'!$B$1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96" l="1"/>
  <c r="I88" i="96"/>
  <c r="J88" i="96"/>
  <c r="K88" i="96"/>
  <c r="L88" i="96"/>
  <c r="M88" i="96"/>
  <c r="N88" i="96"/>
  <c r="O88" i="96"/>
  <c r="P88" i="96"/>
  <c r="Q88" i="96"/>
  <c r="R88" i="96"/>
  <c r="S88" i="96"/>
  <c r="T88" i="96"/>
  <c r="U88" i="96"/>
  <c r="V88" i="96"/>
  <c r="W88" i="96"/>
  <c r="X88" i="96"/>
  <c r="Y88" i="96"/>
  <c r="Z88" i="96"/>
  <c r="AA88" i="96"/>
  <c r="AB88" i="96"/>
  <c r="AC88" i="96"/>
  <c r="AD88" i="96"/>
  <c r="AE88" i="96"/>
  <c r="AF88" i="96"/>
  <c r="AG88" i="96"/>
  <c r="AH88" i="96"/>
  <c r="AH78" i="96"/>
  <c r="AH79" i="96"/>
  <c r="AH80" i="96"/>
  <c r="AH81" i="96"/>
  <c r="AH82" i="96"/>
  <c r="AH83" i="96"/>
  <c r="AH84" i="96"/>
  <c r="AH85" i="96"/>
  <c r="AH86" i="96"/>
  <c r="AH87" i="96"/>
  <c r="AH77" i="96"/>
  <c r="AG78" i="96"/>
  <c r="AG79" i="96"/>
  <c r="AG80" i="96"/>
  <c r="AG81" i="96"/>
  <c r="AG82" i="96"/>
  <c r="AG83" i="96"/>
  <c r="AG84" i="96"/>
  <c r="AG85" i="96"/>
  <c r="AG86" i="96"/>
  <c r="AG87" i="96"/>
  <c r="AG77" i="96"/>
  <c r="AF78" i="96"/>
  <c r="AF79" i="96"/>
  <c r="AF80" i="96"/>
  <c r="AF81" i="96"/>
  <c r="AF82" i="96"/>
  <c r="AF83" i="96"/>
  <c r="AF84" i="96"/>
  <c r="AF85" i="96"/>
  <c r="AF86" i="96"/>
  <c r="AF87" i="96"/>
  <c r="AF77" i="96"/>
  <c r="AE78" i="96"/>
  <c r="AE79" i="96"/>
  <c r="AE80" i="96"/>
  <c r="AE81" i="96"/>
  <c r="AE82" i="96"/>
  <c r="AE83" i="96"/>
  <c r="AE84" i="96"/>
  <c r="AE85" i="96"/>
  <c r="AE86" i="96"/>
  <c r="AE87" i="96"/>
  <c r="AE77" i="96"/>
  <c r="AD78" i="96"/>
  <c r="AD79" i="96"/>
  <c r="AD80" i="96"/>
  <c r="AD81" i="96"/>
  <c r="AD82" i="96"/>
  <c r="AD83" i="96"/>
  <c r="AD84" i="96"/>
  <c r="AD85" i="96"/>
  <c r="AD86" i="96"/>
  <c r="AD87" i="96"/>
  <c r="AD77" i="96"/>
  <c r="AC78" i="96"/>
  <c r="AC79" i="96"/>
  <c r="AC80" i="96"/>
  <c r="AC81" i="96"/>
  <c r="AC82" i="96"/>
  <c r="AC83" i="96"/>
  <c r="AC84" i="96"/>
  <c r="AC85" i="96"/>
  <c r="AC86" i="96"/>
  <c r="AC87" i="96"/>
  <c r="AC77" i="96"/>
  <c r="AB78" i="96"/>
  <c r="AB79" i="96"/>
  <c r="AB80" i="96"/>
  <c r="AB81" i="96"/>
  <c r="AB82" i="96"/>
  <c r="AB83" i="96"/>
  <c r="AB84" i="96"/>
  <c r="AB85" i="96"/>
  <c r="AB86" i="96"/>
  <c r="AB87" i="96"/>
  <c r="AB77" i="96"/>
  <c r="AA78" i="96"/>
  <c r="AA79" i="96"/>
  <c r="AA80" i="96"/>
  <c r="AA81" i="96"/>
  <c r="AA82" i="96"/>
  <c r="AA83" i="96"/>
  <c r="AA84" i="96"/>
  <c r="AA85" i="96"/>
  <c r="AA86" i="96"/>
  <c r="AA87" i="96"/>
  <c r="AA77" i="96"/>
  <c r="Z75" i="96"/>
  <c r="Z71" i="96" s="1"/>
  <c r="Z67" i="96" l="1"/>
  <c r="Z64" i="96"/>
  <c r="Z65" i="96"/>
  <c r="Z66" i="96"/>
  <c r="Z68" i="96"/>
  <c r="Z72" i="96"/>
  <c r="Z69" i="96"/>
  <c r="Z62" i="96"/>
  <c r="Z70" i="96"/>
  <c r="Z63" i="96"/>
  <c r="Z78" i="96" l="1"/>
  <c r="Z79" i="96"/>
  <c r="Z80" i="96"/>
  <c r="Z81" i="96"/>
  <c r="Z82" i="96"/>
  <c r="Z83" i="96"/>
  <c r="Z84" i="96"/>
  <c r="Z85" i="96"/>
  <c r="Z86" i="96"/>
  <c r="Z87" i="96"/>
  <c r="Z77" i="96"/>
  <c r="Y78" i="96"/>
  <c r="Y79" i="96"/>
  <c r="Y80" i="96"/>
  <c r="Y81" i="96"/>
  <c r="Y82" i="96"/>
  <c r="Y83" i="96"/>
  <c r="Y84" i="96"/>
  <c r="Y85" i="96"/>
  <c r="Y86" i="96"/>
  <c r="Y87" i="96"/>
  <c r="Y90" i="96"/>
  <c r="Y77" i="96"/>
  <c r="X78" i="96"/>
  <c r="X79" i="96"/>
  <c r="X80" i="96"/>
  <c r="X81" i="96"/>
  <c r="X82" i="96"/>
  <c r="X83" i="96"/>
  <c r="X84" i="96"/>
  <c r="X85" i="96"/>
  <c r="X86" i="96"/>
  <c r="X87" i="96"/>
  <c r="X77" i="96"/>
  <c r="W78" i="96"/>
  <c r="W79" i="96"/>
  <c r="W80" i="96"/>
  <c r="W81" i="96"/>
  <c r="W82" i="96"/>
  <c r="W83" i="96"/>
  <c r="W84" i="96"/>
  <c r="W85" i="96"/>
  <c r="W86" i="96"/>
  <c r="W87" i="96"/>
  <c r="W77" i="96"/>
  <c r="V78" i="96"/>
  <c r="V79" i="96"/>
  <c r="V80" i="96"/>
  <c r="V81" i="96"/>
  <c r="V82" i="96"/>
  <c r="V83" i="96"/>
  <c r="V84" i="96"/>
  <c r="V85" i="96"/>
  <c r="V86" i="96"/>
  <c r="V87" i="96"/>
  <c r="V77" i="96"/>
  <c r="U78" i="96"/>
  <c r="U79" i="96"/>
  <c r="U80" i="96"/>
  <c r="U81" i="96"/>
  <c r="U82" i="96"/>
  <c r="U83" i="96"/>
  <c r="U84" i="96"/>
  <c r="U85" i="96"/>
  <c r="U86" i="96"/>
  <c r="U87" i="96"/>
  <c r="U77" i="96"/>
  <c r="T78" i="96"/>
  <c r="T79" i="96"/>
  <c r="T80" i="96"/>
  <c r="T81" i="96"/>
  <c r="T82" i="96"/>
  <c r="T83" i="96"/>
  <c r="T84" i="96"/>
  <c r="T85" i="96"/>
  <c r="T86" i="96"/>
  <c r="T87" i="96"/>
  <c r="T77" i="96"/>
  <c r="S78" i="96"/>
  <c r="S79" i="96"/>
  <c r="S80" i="96"/>
  <c r="S81" i="96"/>
  <c r="S82" i="96"/>
  <c r="S83" i="96"/>
  <c r="S84" i="96"/>
  <c r="S85" i="96"/>
  <c r="S86" i="96"/>
  <c r="S87" i="96"/>
  <c r="S77" i="96"/>
  <c r="R78" i="96"/>
  <c r="R79" i="96"/>
  <c r="R80" i="96"/>
  <c r="R81" i="96"/>
  <c r="R82" i="96"/>
  <c r="R83" i="96"/>
  <c r="R84" i="96"/>
  <c r="R85" i="96"/>
  <c r="R86" i="96"/>
  <c r="R87" i="96"/>
  <c r="R77" i="96"/>
  <c r="Q78" i="96"/>
  <c r="Q79" i="96"/>
  <c r="Q80" i="96"/>
  <c r="Q81" i="96"/>
  <c r="Q82" i="96"/>
  <c r="Q83" i="96"/>
  <c r="Q84" i="96"/>
  <c r="Q85" i="96"/>
  <c r="Q86" i="96"/>
  <c r="Q87" i="96"/>
  <c r="Q77" i="96"/>
  <c r="P78" i="96"/>
  <c r="P79" i="96"/>
  <c r="P80" i="96"/>
  <c r="P81" i="96"/>
  <c r="P82" i="96"/>
  <c r="P83" i="96"/>
  <c r="P84" i="96"/>
  <c r="P85" i="96"/>
  <c r="P86" i="96"/>
  <c r="P87" i="96"/>
  <c r="P77" i="96"/>
  <c r="O78" i="96"/>
  <c r="O79" i="96"/>
  <c r="O80" i="96"/>
  <c r="O81" i="96"/>
  <c r="O82" i="96"/>
  <c r="O83" i="96"/>
  <c r="O84" i="96"/>
  <c r="O85" i="96"/>
  <c r="O86" i="96"/>
  <c r="O87" i="96"/>
  <c r="O77" i="96"/>
  <c r="N78" i="96"/>
  <c r="N79" i="96"/>
  <c r="N80" i="96"/>
  <c r="N81" i="96"/>
  <c r="N82" i="96"/>
  <c r="N83" i="96"/>
  <c r="N84" i="96"/>
  <c r="N85" i="96"/>
  <c r="N86" i="96"/>
  <c r="N87" i="96"/>
  <c r="N77" i="96"/>
  <c r="M78" i="96"/>
  <c r="M79" i="96"/>
  <c r="M80" i="96"/>
  <c r="M81" i="96"/>
  <c r="M82" i="96"/>
  <c r="M83" i="96"/>
  <c r="M84" i="96"/>
  <c r="M85" i="96"/>
  <c r="M86" i="96"/>
  <c r="M87" i="96"/>
  <c r="M77" i="96"/>
  <c r="L78" i="96"/>
  <c r="L79" i="96"/>
  <c r="L80" i="96"/>
  <c r="L81" i="96"/>
  <c r="L82" i="96"/>
  <c r="L83" i="96"/>
  <c r="L84" i="96"/>
  <c r="L85" i="96"/>
  <c r="L86" i="96"/>
  <c r="L87" i="96"/>
  <c r="L77" i="96"/>
  <c r="K78" i="96"/>
  <c r="K79" i="96"/>
  <c r="K80" i="96"/>
  <c r="K81" i="96"/>
  <c r="K82" i="96"/>
  <c r="K83" i="96"/>
  <c r="K84" i="96"/>
  <c r="K85" i="96"/>
  <c r="K86" i="96"/>
  <c r="K87" i="96"/>
  <c r="K77" i="96"/>
  <c r="J78" i="96"/>
  <c r="J79" i="96"/>
  <c r="J80" i="96"/>
  <c r="J81" i="96"/>
  <c r="J82" i="96"/>
  <c r="J83" i="96"/>
  <c r="J84" i="96"/>
  <c r="J85" i="96"/>
  <c r="J86" i="96"/>
  <c r="J87" i="96"/>
  <c r="J77" i="96"/>
  <c r="I78" i="96"/>
  <c r="I79" i="96"/>
  <c r="I80" i="96"/>
  <c r="I81" i="96"/>
  <c r="I82" i="96"/>
  <c r="I83" i="96"/>
  <c r="I84" i="96"/>
  <c r="I85" i="96"/>
  <c r="I86" i="96"/>
  <c r="I87" i="96"/>
  <c r="I77" i="96"/>
  <c r="H78" i="96"/>
  <c r="H79" i="96"/>
  <c r="H80" i="96"/>
  <c r="H81" i="96"/>
  <c r="H82" i="96"/>
  <c r="H83" i="96"/>
  <c r="H84" i="96"/>
  <c r="H85" i="96"/>
  <c r="H86" i="96"/>
  <c r="H87" i="96"/>
  <c r="H77" i="96"/>
  <c r="G89" i="96"/>
  <c r="Z89" i="96" s="1"/>
  <c r="I122" i="96"/>
  <c r="L122" i="96" s="1"/>
  <c r="V121" i="96"/>
  <c r="P121" i="96"/>
  <c r="Q121" i="96" s="1"/>
  <c r="L121" i="96"/>
  <c r="K121" i="96"/>
  <c r="J121" i="96"/>
  <c r="W120" i="96"/>
  <c r="Q120" i="96"/>
  <c r="L120" i="96"/>
  <c r="K120" i="96"/>
  <c r="J120" i="96"/>
  <c r="W119" i="96"/>
  <c r="Q119" i="96"/>
  <c r="L119" i="96"/>
  <c r="K119" i="96"/>
  <c r="J119" i="96"/>
  <c r="W118" i="96"/>
  <c r="Q118" i="96"/>
  <c r="L118" i="96"/>
  <c r="K118" i="96"/>
  <c r="J118" i="96"/>
  <c r="W117" i="96"/>
  <c r="Q117" i="96"/>
  <c r="L117" i="96"/>
  <c r="K117" i="96"/>
  <c r="J117" i="96"/>
  <c r="W116" i="96"/>
  <c r="Q116" i="96"/>
  <c r="L116" i="96"/>
  <c r="K116" i="96"/>
  <c r="J116" i="96"/>
  <c r="W115" i="96"/>
  <c r="Q115" i="96"/>
  <c r="L115" i="96"/>
  <c r="K115" i="96"/>
  <c r="J115" i="96"/>
  <c r="W114" i="96"/>
  <c r="Q114" i="96"/>
  <c r="L114" i="96"/>
  <c r="K114" i="96"/>
  <c r="J114" i="96"/>
  <c r="W113" i="96"/>
  <c r="Q113" i="96"/>
  <c r="L113" i="96"/>
  <c r="K113" i="96"/>
  <c r="J113" i="96"/>
  <c r="W112" i="96"/>
  <c r="Q112" i="96"/>
  <c r="L112" i="96"/>
  <c r="K112" i="96"/>
  <c r="J112" i="96"/>
  <c r="W111" i="96"/>
  <c r="Q111" i="96"/>
  <c r="L111" i="96"/>
  <c r="K111" i="96"/>
  <c r="J111" i="96"/>
  <c r="W110" i="96"/>
  <c r="Q110" i="96"/>
  <c r="L110" i="96"/>
  <c r="K110" i="96"/>
  <c r="J110" i="96"/>
  <c r="W109" i="96"/>
  <c r="Q109" i="96"/>
  <c r="M107" i="96"/>
  <c r="M106" i="96"/>
  <c r="M121" i="96" s="1"/>
  <c r="M105" i="96"/>
  <c r="M120" i="96" s="1"/>
  <c r="M104" i="96"/>
  <c r="M119" i="96" s="1"/>
  <c r="M103" i="96"/>
  <c r="M118" i="96" s="1"/>
  <c r="M102" i="96"/>
  <c r="M117" i="96" s="1"/>
  <c r="M101" i="96"/>
  <c r="M116" i="96" s="1"/>
  <c r="M100" i="96"/>
  <c r="M115" i="96" s="1"/>
  <c r="M99" i="96"/>
  <c r="M114" i="96" s="1"/>
  <c r="M98" i="96"/>
  <c r="M113" i="96" s="1"/>
  <c r="M97" i="96"/>
  <c r="M112" i="96" s="1"/>
  <c r="M96" i="96"/>
  <c r="M111" i="96" s="1"/>
  <c r="M95" i="96"/>
  <c r="M110" i="96" s="1"/>
  <c r="AI73" i="96"/>
  <c r="AI88" i="96" s="1"/>
  <c r="AK73" i="96"/>
  <c r="AE53" i="96"/>
  <c r="I74" i="96"/>
  <c r="I89" i="96" s="1"/>
  <c r="J74" i="96"/>
  <c r="M123" i="96" l="1"/>
  <c r="Q122" i="96"/>
  <c r="W122" i="96"/>
  <c r="Y89" i="96"/>
  <c r="M122" i="96"/>
  <c r="H89" i="96"/>
  <c r="N89" i="96"/>
  <c r="P89" i="96"/>
  <c r="T89" i="96"/>
  <c r="V89" i="96"/>
  <c r="X89" i="96"/>
  <c r="J89" i="96"/>
  <c r="AC89" i="96"/>
  <c r="AH89" i="96"/>
  <c r="AF89" i="96"/>
  <c r="AD89" i="96"/>
  <c r="AB89" i="96"/>
  <c r="AA89" i="96"/>
  <c r="AG89" i="96"/>
  <c r="AE89" i="96"/>
  <c r="L89" i="96"/>
  <c r="R89" i="96"/>
  <c r="K89" i="96"/>
  <c r="M89" i="96"/>
  <c r="O89" i="96"/>
  <c r="Q89" i="96"/>
  <c r="S89" i="96"/>
  <c r="U89" i="96"/>
  <c r="W89" i="96"/>
  <c r="J122" i="96"/>
  <c r="K122" i="96"/>
  <c r="AI72" i="96"/>
  <c r="AI87" i="96" s="1"/>
  <c r="AI69" i="96"/>
  <c r="AI84" i="96" s="1"/>
  <c r="AI62" i="96"/>
  <c r="AI77" i="96" s="1"/>
  <c r="AI67" i="96"/>
  <c r="AI82" i="96" s="1"/>
  <c r="AI66" i="96" l="1"/>
  <c r="AI81" i="96" s="1"/>
  <c r="AI64" i="96"/>
  <c r="AI79" i="96" s="1"/>
  <c r="AI63" i="96"/>
  <c r="AI78" i="96" s="1"/>
  <c r="AI71" i="96"/>
  <c r="AI86" i="96" s="1"/>
  <c r="AI65" i="96"/>
  <c r="AI80" i="96" s="1"/>
  <c r="AI70" i="96"/>
  <c r="AI85" i="96" s="1"/>
  <c r="AI68" i="96"/>
  <c r="AI83" i="96" s="1"/>
  <c r="AI90" i="96" l="1"/>
  <c r="E75" i="96" s="1"/>
  <c r="AI74" i="96"/>
  <c r="D71" i="96" l="1"/>
  <c r="D77" i="96"/>
  <c r="D78" i="96"/>
  <c r="E78" i="96"/>
  <c r="D72" i="96"/>
  <c r="E71" i="96"/>
  <c r="E77" i="96"/>
  <c r="D73" i="96"/>
  <c r="E73" i="96"/>
  <c r="E72" i="96"/>
  <c r="D70" i="96"/>
  <c r="E70" i="96"/>
  <c r="E79" i="96"/>
  <c r="D76" i="96"/>
  <c r="D79" i="96"/>
  <c r="E74" i="96"/>
  <c r="D74" i="96"/>
  <c r="E69" i="96"/>
  <c r="D69" i="96"/>
  <c r="E76" i="96"/>
  <c r="D75" i="96"/>
  <c r="C58" i="96"/>
  <c r="AI89" i="96"/>
  <c r="E42" i="155"/>
  <c r="F42" i="155"/>
  <c r="G42" i="155"/>
  <c r="H42" i="155"/>
  <c r="I42" i="155"/>
  <c r="J42" i="155"/>
  <c r="K42" i="155"/>
  <c r="L42" i="155"/>
  <c r="M42" i="155"/>
  <c r="N42" i="155"/>
  <c r="O42" i="155"/>
  <c r="P42" i="155"/>
  <c r="Q42" i="155"/>
  <c r="R42" i="155"/>
  <c r="S42" i="155"/>
  <c r="T42" i="155"/>
  <c r="U42" i="155"/>
  <c r="V42" i="155"/>
  <c r="W42" i="155"/>
  <c r="X42" i="155"/>
  <c r="Y42" i="155"/>
  <c r="Z42" i="155"/>
  <c r="AA42" i="155"/>
  <c r="AB42" i="155"/>
  <c r="AC42" i="155"/>
  <c r="AD42" i="155"/>
  <c r="AE42" i="155"/>
  <c r="AF42" i="155"/>
  <c r="AG42" i="155"/>
  <c r="AH42" i="155"/>
  <c r="AI42" i="155"/>
  <c r="AJ42" i="155"/>
  <c r="AK42" i="155"/>
  <c r="AL42" i="155"/>
  <c r="AM42" i="155"/>
  <c r="AN42" i="155"/>
  <c r="AO42" i="155"/>
  <c r="AP42" i="155"/>
  <c r="AQ42" i="155"/>
  <c r="AR42" i="155"/>
  <c r="AS42" i="155"/>
  <c r="AT42" i="155"/>
  <c r="AU42" i="155"/>
  <c r="AV42" i="155"/>
  <c r="AW42" i="155"/>
  <c r="AX42" i="155"/>
  <c r="G8" i="133"/>
  <c r="G9" i="133"/>
  <c r="G10" i="133"/>
  <c r="G11" i="133"/>
  <c r="G12" i="133"/>
  <c r="G13" i="133"/>
  <c r="G14" i="133"/>
  <c r="G15" i="133"/>
  <c r="G16" i="133"/>
  <c r="G17" i="133"/>
  <c r="G18" i="133"/>
  <c r="G19" i="133"/>
  <c r="G20" i="133"/>
  <c r="G21" i="133"/>
  <c r="G22" i="133"/>
  <c r="G23" i="133"/>
  <c r="G24" i="133"/>
  <c r="G25" i="133"/>
  <c r="G26" i="133"/>
  <c r="G27" i="133"/>
  <c r="G28" i="133"/>
  <c r="G29" i="133"/>
  <c r="G30" i="133"/>
  <c r="G31" i="133"/>
  <c r="G32" i="133"/>
  <c r="G33" i="133"/>
  <c r="G34" i="133"/>
  <c r="G35" i="133"/>
  <c r="G36" i="133"/>
  <c r="G37" i="133"/>
  <c r="G38" i="133"/>
  <c r="G39" i="133"/>
  <c r="G40" i="133"/>
  <c r="G41" i="133"/>
  <c r="G42" i="133"/>
  <c r="G7" i="133"/>
  <c r="K8" i="133"/>
  <c r="K9" i="133"/>
  <c r="K10" i="133"/>
  <c r="K11" i="133"/>
  <c r="K12" i="133"/>
  <c r="K13" i="133"/>
  <c r="K14" i="133"/>
  <c r="K15" i="133"/>
  <c r="K16" i="133"/>
  <c r="K17" i="133"/>
  <c r="K18" i="133"/>
  <c r="K19" i="133"/>
  <c r="K20" i="133"/>
  <c r="K21" i="133"/>
  <c r="K22" i="133"/>
  <c r="K23" i="133"/>
  <c r="K24" i="133"/>
  <c r="K25" i="133"/>
  <c r="K26" i="133"/>
  <c r="K27" i="133"/>
  <c r="K28" i="133"/>
  <c r="K29" i="133"/>
  <c r="K30" i="133"/>
  <c r="K31" i="133"/>
  <c r="K32" i="133"/>
  <c r="K33" i="133"/>
  <c r="K34" i="133"/>
  <c r="K35" i="133"/>
  <c r="K36" i="133"/>
  <c r="K37" i="133"/>
  <c r="K38" i="133"/>
  <c r="K39" i="133"/>
  <c r="K40" i="133"/>
  <c r="K41" i="133"/>
  <c r="K42" i="133"/>
  <c r="K7" i="133"/>
  <c r="L7" i="133"/>
  <c r="F19" i="90" l="1"/>
  <c r="G19" i="90"/>
  <c r="H19" i="90"/>
  <c r="I19" i="90"/>
  <c r="I7" i="71"/>
  <c r="F4" i="70"/>
  <c r="E7" i="124"/>
  <c r="D7" i="124"/>
  <c r="C8" i="124"/>
  <c r="C9" i="99"/>
  <c r="C5" i="99"/>
  <c r="C5" i="124" s="1"/>
  <c r="E8" i="99"/>
  <c r="D8" i="99"/>
  <c r="I7" i="100"/>
  <c r="I12" i="99" l="1"/>
  <c r="J12" i="99"/>
  <c r="I13" i="99"/>
  <c r="J13" i="99"/>
  <c r="I14" i="99"/>
  <c r="J14" i="99"/>
  <c r="I15" i="99"/>
  <c r="J15" i="99"/>
  <c r="I16" i="99"/>
  <c r="J16" i="99"/>
  <c r="I17" i="99"/>
  <c r="J17" i="99"/>
  <c r="I18" i="99"/>
  <c r="J18" i="99"/>
  <c r="I19" i="99"/>
  <c r="J19" i="99"/>
  <c r="I20" i="99"/>
  <c r="J20" i="99"/>
  <c r="I21" i="99"/>
  <c r="J21" i="99"/>
  <c r="I22" i="99"/>
  <c r="J22" i="99"/>
  <c r="I23" i="99"/>
  <c r="J23" i="99"/>
  <c r="I24" i="99"/>
  <c r="J24" i="99"/>
  <c r="I25" i="99"/>
  <c r="J25" i="99"/>
  <c r="I26" i="99"/>
  <c r="J26" i="99"/>
  <c r="I27" i="99"/>
  <c r="J27" i="99"/>
  <c r="I28" i="99"/>
  <c r="J28" i="99"/>
  <c r="I29" i="99"/>
  <c r="J29" i="99"/>
  <c r="I30" i="99"/>
  <c r="J30" i="99"/>
  <c r="I31" i="99"/>
  <c r="J31" i="99"/>
  <c r="I32" i="99"/>
  <c r="J32" i="99"/>
  <c r="I33" i="99"/>
  <c r="J33" i="99"/>
  <c r="I34" i="99"/>
  <c r="J34" i="99"/>
  <c r="I35" i="99"/>
  <c r="J35" i="99"/>
  <c r="I36" i="99"/>
  <c r="J36" i="99"/>
  <c r="I37" i="99"/>
  <c r="J37" i="99"/>
  <c r="I38" i="99"/>
  <c r="J38" i="99"/>
  <c r="I39" i="99"/>
  <c r="J39" i="99"/>
  <c r="I40" i="99"/>
  <c r="J40" i="99"/>
  <c r="I41" i="99"/>
  <c r="J41" i="99"/>
  <c r="G4" i="80"/>
  <c r="BP7" i="90"/>
  <c r="BP8" i="90"/>
  <c r="BP9" i="90"/>
  <c r="BP10" i="90"/>
  <c r="BP11" i="90"/>
  <c r="BP12" i="90"/>
  <c r="BP13" i="90"/>
  <c r="BP14" i="90"/>
  <c r="BP15" i="90"/>
  <c r="BP16" i="90"/>
  <c r="BP17" i="90"/>
  <c r="BP18" i="90"/>
  <c r="BJ7" i="90"/>
  <c r="BD7" i="90"/>
  <c r="BC8" i="90"/>
  <c r="BC9" i="90"/>
  <c r="BC10" i="90"/>
  <c r="BC11" i="90"/>
  <c r="BC12" i="90"/>
  <c r="BC13" i="90"/>
  <c r="BC14" i="90"/>
  <c r="BC15" i="90"/>
  <c r="BC16" i="90"/>
  <c r="BC17" i="90"/>
  <c r="BC18" i="90"/>
  <c r="BC7" i="90"/>
  <c r="BE7" i="90" s="1"/>
  <c r="G6" i="159"/>
  <c r="H24" i="155"/>
  <c r="I24" i="155"/>
  <c r="J24" i="155"/>
  <c r="K24" i="155"/>
  <c r="L24" i="155"/>
  <c r="M24" i="155"/>
  <c r="N24" i="155"/>
  <c r="O24" i="155"/>
  <c r="P24" i="155"/>
  <c r="Q24" i="155"/>
  <c r="R24" i="155"/>
  <c r="S24" i="155"/>
  <c r="T24" i="155"/>
  <c r="U24" i="155"/>
  <c r="V24" i="155"/>
  <c r="W24" i="155"/>
  <c r="X24" i="155"/>
  <c r="Y24" i="155"/>
  <c r="Z24" i="155"/>
  <c r="AA24" i="155"/>
  <c r="AB24" i="155"/>
  <c r="AC24" i="155"/>
  <c r="AD24" i="155"/>
  <c r="AE24" i="155"/>
  <c r="AF24" i="155"/>
  <c r="AG24" i="155"/>
  <c r="AH24" i="155"/>
  <c r="AI24" i="155"/>
  <c r="AJ24" i="155"/>
  <c r="AK24" i="155"/>
  <c r="AL24" i="155"/>
  <c r="AM24" i="155"/>
  <c r="AN24" i="155"/>
  <c r="AO24" i="155"/>
  <c r="AP24" i="155"/>
  <c r="AQ24" i="155"/>
  <c r="AR24" i="155"/>
  <c r="AS24" i="155"/>
  <c r="AT24" i="155"/>
  <c r="AU24" i="155"/>
  <c r="AV24" i="155"/>
  <c r="AW24" i="155"/>
  <c r="BA39" i="155" s="1"/>
  <c r="BA40" i="155" s="1"/>
  <c r="AX24" i="155"/>
  <c r="E24" i="155"/>
  <c r="F24" i="155"/>
  <c r="G24" i="155"/>
  <c r="P6" i="156" l="1"/>
  <c r="P7" i="156"/>
  <c r="P8" i="156"/>
  <c r="P9" i="156"/>
  <c r="P10" i="156"/>
  <c r="P11" i="156"/>
  <c r="P12" i="156"/>
  <c r="P13" i="156"/>
  <c r="P14" i="156"/>
  <c r="P15" i="156"/>
  <c r="P5" i="156"/>
  <c r="K5" i="156"/>
  <c r="K6" i="156"/>
  <c r="K7" i="156"/>
  <c r="K8" i="156"/>
  <c r="K9" i="156"/>
  <c r="K10" i="156"/>
  <c r="K11" i="156"/>
  <c r="K12" i="156"/>
  <c r="K13" i="156"/>
  <c r="K14" i="156"/>
  <c r="K15" i="156"/>
  <c r="K16" i="156"/>
  <c r="F16" i="156"/>
  <c r="P36" i="60" l="1"/>
  <c r="Q36" i="60" s="1"/>
  <c r="P37" i="60"/>
  <c r="Q37" i="60" s="1"/>
  <c r="P38" i="60"/>
  <c r="Q38" i="60" s="1"/>
  <c r="P39" i="60"/>
  <c r="Q39" i="60" s="1"/>
  <c r="P40" i="60"/>
  <c r="Q40" i="60" s="1"/>
  <c r="P41" i="60"/>
  <c r="Q41" i="60" s="1"/>
  <c r="P42" i="60"/>
  <c r="Q42" i="60" s="1"/>
  <c r="P43" i="60"/>
  <c r="Q43" i="60" s="1"/>
  <c r="P44" i="60"/>
  <c r="Q44" i="60" s="1"/>
  <c r="P45" i="60"/>
  <c r="Q45" i="60" s="1"/>
  <c r="P46" i="60"/>
  <c r="Q46" i="60" s="1"/>
  <c r="P47" i="60"/>
  <c r="Q47" i="60" s="1"/>
  <c r="G7" i="159" l="1"/>
  <c r="H7" i="159" s="1"/>
  <c r="G8" i="159"/>
  <c r="H8" i="159" s="1"/>
  <c r="G9" i="159"/>
  <c r="H9" i="159" s="1"/>
  <c r="G10" i="159"/>
  <c r="H10" i="159" s="1"/>
  <c r="G11" i="159"/>
  <c r="H11" i="159" s="1"/>
  <c r="G12" i="159"/>
  <c r="H12" i="159" s="1"/>
  <c r="G13" i="159"/>
  <c r="H13" i="159" s="1"/>
  <c r="G14" i="159"/>
  <c r="H14" i="159" s="1"/>
  <c r="G15" i="159"/>
  <c r="H15" i="159" s="1"/>
  <c r="G16" i="159"/>
  <c r="H16" i="159" s="1"/>
  <c r="G17" i="159"/>
  <c r="H17" i="159" s="1"/>
  <c r="H6" i="159"/>
  <c r="D22" i="158" l="1"/>
  <c r="C22" i="158"/>
  <c r="B22" i="158"/>
  <c r="A22" i="158"/>
  <c r="D21" i="158"/>
  <c r="C21" i="158"/>
  <c r="B21" i="158"/>
  <c r="A21" i="158"/>
  <c r="D20" i="158"/>
  <c r="C20" i="158"/>
  <c r="B20" i="158"/>
  <c r="A20" i="158"/>
  <c r="D19" i="158"/>
  <c r="C19" i="158"/>
  <c r="B19" i="158"/>
  <c r="A19" i="158"/>
  <c r="D18" i="158"/>
  <c r="C18" i="158"/>
  <c r="B18" i="158"/>
  <c r="A18" i="158"/>
  <c r="D17" i="158"/>
  <c r="C17" i="158"/>
  <c r="B17" i="158"/>
  <c r="A17" i="158"/>
  <c r="D16" i="158"/>
  <c r="C16" i="158"/>
  <c r="B16" i="158"/>
  <c r="A16" i="158"/>
  <c r="D15" i="158"/>
  <c r="C15" i="158"/>
  <c r="B15" i="158"/>
  <c r="A15" i="158"/>
  <c r="D14" i="158"/>
  <c r="C14" i="158"/>
  <c r="B14" i="158"/>
  <c r="A14" i="158"/>
  <c r="D13" i="158"/>
  <c r="C13" i="158"/>
  <c r="B13" i="158"/>
  <c r="A13" i="158"/>
  <c r="D12" i="158"/>
  <c r="C12" i="158"/>
  <c r="B12" i="158"/>
  <c r="A12" i="158"/>
  <c r="D11" i="158"/>
  <c r="C11" i="158"/>
  <c r="B11" i="158"/>
  <c r="A11" i="158"/>
  <c r="F86" i="157"/>
  <c r="E86" i="157"/>
  <c r="D74" i="157"/>
  <c r="C73" i="157"/>
  <c r="C72" i="157"/>
  <c r="C71" i="157"/>
  <c r="C70" i="157"/>
  <c r="D62" i="157"/>
  <c r="C62" i="157" s="1"/>
  <c r="D61" i="157"/>
  <c r="C61" i="157" s="1"/>
  <c r="B60" i="157"/>
  <c r="B63" i="157" s="1"/>
  <c r="D59" i="157"/>
  <c r="C59" i="157" s="1"/>
  <c r="B54" i="157"/>
  <c r="K44" i="157"/>
  <c r="K43" i="157"/>
  <c r="B43" i="157"/>
  <c r="B44" i="157" s="1"/>
  <c r="C41" i="157"/>
  <c r="C43" i="157" s="1"/>
  <c r="B35" i="157"/>
  <c r="B36" i="157" s="1"/>
  <c r="C23" i="157"/>
  <c r="B23" i="157"/>
  <c r="L14" i="157"/>
  <c r="C7" i="157"/>
  <c r="B6" i="157"/>
  <c r="B7" i="157" s="1"/>
  <c r="C74" i="157" l="1"/>
  <c r="C75" i="157" s="1"/>
  <c r="C76" i="157" s="1"/>
  <c r="D60" i="157"/>
  <c r="C60" i="157" s="1"/>
  <c r="C63" i="157" s="1"/>
  <c r="C53" i="157"/>
  <c r="D53" i="157" s="1"/>
  <c r="C52" i="157"/>
  <c r="D52" i="157" s="1"/>
  <c r="C50" i="157"/>
  <c r="C51" i="157"/>
  <c r="D51" i="157" s="1"/>
  <c r="B64" i="157"/>
  <c r="B65" i="157" s="1"/>
  <c r="D75" i="157"/>
  <c r="D76" i="157" s="1"/>
  <c r="B55" i="157"/>
  <c r="B56" i="157" s="1"/>
  <c r="D63" i="157" l="1"/>
  <c r="J16" i="156"/>
  <c r="S14" i="156"/>
  <c r="S13" i="156"/>
  <c r="S9" i="156"/>
  <c r="S6" i="156"/>
  <c r="S5" i="156"/>
  <c r="S8" i="156"/>
  <c r="S11" i="156"/>
  <c r="S7" i="156"/>
  <c r="S12" i="156"/>
  <c r="S10" i="156"/>
  <c r="S15" i="156"/>
  <c r="J12" i="156"/>
  <c r="J5" i="156"/>
  <c r="J13" i="156"/>
  <c r="J9" i="156"/>
  <c r="J11" i="156"/>
  <c r="J6" i="156"/>
  <c r="J14" i="156"/>
  <c r="J10" i="156"/>
  <c r="J7" i="156"/>
  <c r="J15" i="156"/>
  <c r="J8" i="156"/>
  <c r="C64" i="157"/>
  <c r="C65" i="157" s="1"/>
  <c r="F17" i="156"/>
  <c r="E17" i="156"/>
  <c r="I82" i="157"/>
  <c r="I84" i="157"/>
  <c r="I83" i="157"/>
  <c r="I85" i="157"/>
  <c r="I86" i="157"/>
  <c r="D50" i="157"/>
  <c r="D54" i="157" s="1"/>
  <c r="C54" i="157"/>
  <c r="D64" i="157"/>
  <c r="D65" i="157" s="1"/>
  <c r="I16" i="156" l="1"/>
  <c r="R13" i="156"/>
  <c r="R12" i="156"/>
  <c r="R5" i="156"/>
  <c r="R8" i="156"/>
  <c r="R9" i="156"/>
  <c r="R10" i="156"/>
  <c r="R15" i="156"/>
  <c r="R6" i="156"/>
  <c r="R7" i="156"/>
  <c r="R14" i="156"/>
  <c r="R11" i="156"/>
  <c r="I9" i="156"/>
  <c r="I5" i="156"/>
  <c r="I15" i="156"/>
  <c r="I10" i="156"/>
  <c r="I11" i="156"/>
  <c r="I13" i="156"/>
  <c r="I14" i="156"/>
  <c r="I12" i="156"/>
  <c r="I6" i="156"/>
  <c r="I7" i="156"/>
  <c r="I8" i="156"/>
  <c r="J17" i="156"/>
  <c r="H82" i="157"/>
  <c r="H84" i="157"/>
  <c r="H85" i="157"/>
  <c r="H83" i="157"/>
  <c r="H86" i="157"/>
  <c r="C55" i="157"/>
  <c r="C56" i="157" s="1"/>
  <c r="D55" i="157"/>
  <c r="D56" i="157" s="1"/>
  <c r="I7" i="54"/>
  <c r="H16" i="156" l="1"/>
  <c r="L16" i="156" s="1"/>
  <c r="M16" i="156" s="1"/>
  <c r="H5" i="156"/>
  <c r="Q12" i="156"/>
  <c r="T12" i="156" s="1"/>
  <c r="Q10" i="156"/>
  <c r="T10" i="156" s="1"/>
  <c r="Q15" i="156"/>
  <c r="T15" i="156" s="1"/>
  <c r="Q8" i="156"/>
  <c r="T8" i="156" s="1"/>
  <c r="Q5" i="156"/>
  <c r="T5" i="156" s="1"/>
  <c r="Q14" i="156"/>
  <c r="T14" i="156" s="1"/>
  <c r="Q9" i="156"/>
  <c r="T9" i="156" s="1"/>
  <c r="Q7" i="156"/>
  <c r="T7" i="156" s="1"/>
  <c r="Q11" i="156"/>
  <c r="T11" i="156" s="1"/>
  <c r="Q6" i="156"/>
  <c r="T6" i="156" s="1"/>
  <c r="Q13" i="156"/>
  <c r="T13" i="156" s="1"/>
  <c r="I17" i="156"/>
  <c r="H14" i="156"/>
  <c r="H10" i="156"/>
  <c r="H6" i="156"/>
  <c r="H15" i="156"/>
  <c r="H9" i="156"/>
  <c r="H12" i="156"/>
  <c r="H11" i="156"/>
  <c r="H7" i="156"/>
  <c r="H8" i="156"/>
  <c r="H13" i="156"/>
  <c r="G85" i="157"/>
  <c r="G82" i="157"/>
  <c r="G84" i="157"/>
  <c r="G83" i="157"/>
  <c r="G86" i="157"/>
  <c r="G88" i="157" s="1"/>
  <c r="G14" i="110"/>
  <c r="F31" i="97"/>
  <c r="F32" i="97"/>
  <c r="F33" i="97"/>
  <c r="F34" i="97"/>
  <c r="F35" i="97"/>
  <c r="F36" i="97"/>
  <c r="F37" i="97"/>
  <c r="F38" i="97"/>
  <c r="F39" i="97"/>
  <c r="F40" i="97"/>
  <c r="F41" i="97"/>
  <c r="F42" i="97"/>
  <c r="F43" i="97"/>
  <c r="F44" i="97"/>
  <c r="F45" i="97"/>
  <c r="F46" i="97"/>
  <c r="F47" i="97"/>
  <c r="F48" i="97"/>
  <c r="F49" i="97"/>
  <c r="F50" i="97"/>
  <c r="F51" i="97"/>
  <c r="F52" i="97"/>
  <c r="F53" i="97"/>
  <c r="F54" i="97"/>
  <c r="F55" i="97"/>
  <c r="F56" i="97"/>
  <c r="F57" i="97"/>
  <c r="F58" i="97"/>
  <c r="F59" i="97"/>
  <c r="Y54" i="94"/>
  <c r="E59" i="97" s="1"/>
  <c r="N59" i="97" s="1"/>
  <c r="AR54" i="94"/>
  <c r="AT54" i="94"/>
  <c r="AU54" i="94"/>
  <c r="AV54" i="94"/>
  <c r="AX54" i="94"/>
  <c r="AY54" i="94"/>
  <c r="A59" i="97"/>
  <c r="B59" i="97"/>
  <c r="C59" i="97"/>
  <c r="D59" i="97"/>
  <c r="G59" i="97"/>
  <c r="F14" i="97"/>
  <c r="F15" i="97"/>
  <c r="F16" i="97"/>
  <c r="F17" i="97"/>
  <c r="F18" i="97"/>
  <c r="F19" i="97"/>
  <c r="F20" i="97"/>
  <c r="F21" i="97"/>
  <c r="F22" i="97"/>
  <c r="F23" i="97"/>
  <c r="F24" i="97"/>
  <c r="F25" i="97"/>
  <c r="F26" i="97"/>
  <c r="F27" i="97"/>
  <c r="F28" i="97"/>
  <c r="F29" i="97"/>
  <c r="F30" i="97"/>
  <c r="A19" i="97"/>
  <c r="F38" i="124"/>
  <c r="L38" i="124" s="1"/>
  <c r="F39" i="124"/>
  <c r="L39" i="124" s="1"/>
  <c r="F40" i="124"/>
  <c r="L40" i="124" s="1"/>
  <c r="F41" i="124"/>
  <c r="L41" i="124" s="1"/>
  <c r="I38" i="124"/>
  <c r="I39" i="124"/>
  <c r="I40" i="124"/>
  <c r="I41" i="124"/>
  <c r="J38" i="124"/>
  <c r="M38" i="124" s="1"/>
  <c r="J39" i="124"/>
  <c r="M39" i="124" s="1"/>
  <c r="J40" i="124"/>
  <c r="M40" i="124" s="1"/>
  <c r="J41" i="124"/>
  <c r="M41" i="124" s="1"/>
  <c r="T16" i="156" l="1"/>
  <c r="L7" i="156"/>
  <c r="M7" i="156" s="1"/>
  <c r="L11" i="156"/>
  <c r="M11" i="156" s="1"/>
  <c r="L13" i="156"/>
  <c r="M13" i="156" s="1"/>
  <c r="L10" i="156"/>
  <c r="M10" i="156" s="1"/>
  <c r="L9" i="156"/>
  <c r="M9" i="156" s="1"/>
  <c r="L14" i="156"/>
  <c r="M14" i="156" s="1"/>
  <c r="L12" i="156"/>
  <c r="M12" i="156" s="1"/>
  <c r="L8" i="156"/>
  <c r="M8" i="156" s="1"/>
  <c r="L15" i="156"/>
  <c r="M15" i="156" s="1"/>
  <c r="L5" i="156"/>
  <c r="M5" i="156" s="1"/>
  <c r="H17" i="156"/>
  <c r="K17" i="156" l="1"/>
  <c r="L6" i="156"/>
  <c r="M6" i="156" s="1"/>
  <c r="B7" i="78"/>
  <c r="BJ14" i="90"/>
  <c r="L17" i="156" l="1"/>
  <c r="AV9" i="94"/>
  <c r="AV10" i="94"/>
  <c r="AV11" i="94"/>
  <c r="AV12" i="94"/>
  <c r="AV13" i="94"/>
  <c r="AV14" i="94"/>
  <c r="AV15" i="94"/>
  <c r="AV16" i="94"/>
  <c r="AV17" i="94"/>
  <c r="AV18" i="94"/>
  <c r="AV19" i="94"/>
  <c r="AV20" i="94"/>
  <c r="AV21" i="94"/>
  <c r="AV22" i="94"/>
  <c r="AV23" i="94"/>
  <c r="AV24" i="94"/>
  <c r="AV25" i="94"/>
  <c r="AV26" i="94"/>
  <c r="AV27" i="94"/>
  <c r="AV28" i="94"/>
  <c r="AV29" i="94"/>
  <c r="AV30" i="94"/>
  <c r="AV31" i="94"/>
  <c r="AV32" i="94"/>
  <c r="AV33" i="94"/>
  <c r="AV34" i="94"/>
  <c r="AV35" i="94"/>
  <c r="AV36" i="94"/>
  <c r="AV37" i="94"/>
  <c r="AV38" i="94"/>
  <c r="AV39" i="94"/>
  <c r="AV40" i="94"/>
  <c r="AV41" i="94"/>
  <c r="AV42" i="94"/>
  <c r="AV43" i="94"/>
  <c r="AV44" i="94"/>
  <c r="AV45" i="94"/>
  <c r="AV46" i="94"/>
  <c r="AV47" i="94"/>
  <c r="AV48" i="94"/>
  <c r="AV49" i="94"/>
  <c r="AV50" i="94"/>
  <c r="AV51" i="94"/>
  <c r="AV52" i="94"/>
  <c r="AV53" i="94"/>
  <c r="AV8" i="94"/>
  <c r="E10" i="93" l="1"/>
  <c r="F10" i="93"/>
  <c r="G10" i="93"/>
  <c r="H10" i="93"/>
  <c r="I10" i="93"/>
  <c r="J10" i="93"/>
  <c r="K10" i="93"/>
  <c r="L10" i="93"/>
  <c r="M10" i="93"/>
  <c r="N10" i="93"/>
  <c r="P10" i="93"/>
  <c r="Q10" i="93"/>
  <c r="R10" i="93"/>
  <c r="S10" i="93"/>
  <c r="DF36" i="90" l="1"/>
  <c r="DE36" i="90"/>
  <c r="DD36" i="90"/>
  <c r="DC36" i="90"/>
  <c r="DB36" i="90"/>
  <c r="DA36" i="90"/>
  <c r="CZ36" i="90"/>
  <c r="CY36" i="90"/>
  <c r="AW36" i="90"/>
  <c r="AV36" i="90"/>
  <c r="AU36" i="90"/>
  <c r="AT36" i="90"/>
  <c r="AS36" i="90"/>
  <c r="AQ36" i="90"/>
  <c r="AP36" i="90"/>
  <c r="AO36" i="90"/>
  <c r="AN36" i="90"/>
  <c r="AM36" i="90"/>
  <c r="AL36" i="90"/>
  <c r="AK36" i="90"/>
  <c r="AJ36" i="90"/>
  <c r="AI36" i="90"/>
  <c r="AH36" i="90"/>
  <c r="AG36" i="90"/>
  <c r="AF36" i="90"/>
  <c r="AE36" i="90"/>
  <c r="AD36" i="90"/>
  <c r="AC36" i="90"/>
  <c r="AB36" i="90"/>
  <c r="Y36" i="90"/>
  <c r="X36" i="90"/>
  <c r="W36" i="90"/>
  <c r="V36" i="90"/>
  <c r="T36" i="90"/>
  <c r="S36" i="90"/>
  <c r="R36" i="90"/>
  <c r="Q36" i="90"/>
  <c r="P36" i="90"/>
  <c r="O36" i="90"/>
  <c r="N36" i="90"/>
  <c r="M36" i="90"/>
  <c r="L36" i="90"/>
  <c r="K36" i="90"/>
  <c r="J36" i="90"/>
  <c r="I36" i="90"/>
  <c r="H36" i="90"/>
  <c r="G36" i="90"/>
  <c r="F36" i="90"/>
  <c r="E36" i="90"/>
  <c r="CW35" i="90"/>
  <c r="BV35" i="90"/>
  <c r="BU35" i="90"/>
  <c r="BQ35" i="90"/>
  <c r="BP35" i="90"/>
  <c r="BO35" i="90"/>
  <c r="BN35" i="90"/>
  <c r="BM35" i="90"/>
  <c r="BL35" i="90"/>
  <c r="BF35" i="90"/>
  <c r="BE35" i="90"/>
  <c r="BD35" i="90"/>
  <c r="BC35" i="90"/>
  <c r="BB35" i="90"/>
  <c r="AZ35" i="90"/>
  <c r="AY35" i="90"/>
  <c r="AR35" i="90"/>
  <c r="AX35" i="90" s="1"/>
  <c r="U35" i="90"/>
  <c r="AA35" i="90" s="1"/>
  <c r="CW34" i="90"/>
  <c r="BV34" i="90"/>
  <c r="BU34" i="90"/>
  <c r="BQ34" i="90"/>
  <c r="BP34" i="90"/>
  <c r="BO34" i="90"/>
  <c r="BN34" i="90"/>
  <c r="BM34" i="90"/>
  <c r="BL34" i="90"/>
  <c r="BF34" i="90"/>
  <c r="BE34" i="90"/>
  <c r="BD34" i="90"/>
  <c r="BC34" i="90"/>
  <c r="BB34" i="90"/>
  <c r="AZ34" i="90"/>
  <c r="AY34" i="90"/>
  <c r="AR34" i="90"/>
  <c r="AX34" i="90" s="1"/>
  <c r="U34" i="90"/>
  <c r="AA34" i="90" s="1"/>
  <c r="CW33" i="90"/>
  <c r="BV33" i="90"/>
  <c r="BU33" i="90"/>
  <c r="BQ33" i="90"/>
  <c r="BP33" i="90"/>
  <c r="BO33" i="90"/>
  <c r="BN33" i="90"/>
  <c r="BM33" i="90"/>
  <c r="BL33" i="90"/>
  <c r="BF33" i="90"/>
  <c r="BE33" i="90"/>
  <c r="BD33" i="90"/>
  <c r="BC33" i="90"/>
  <c r="BB33" i="90"/>
  <c r="AZ33" i="90"/>
  <c r="AY33" i="90"/>
  <c r="AR33" i="90"/>
  <c r="AX33" i="90" s="1"/>
  <c r="U33" i="90"/>
  <c r="AA33" i="90" s="1"/>
  <c r="CW32" i="90"/>
  <c r="BV32" i="90"/>
  <c r="BU32" i="90"/>
  <c r="BQ32" i="90"/>
  <c r="BP32" i="90"/>
  <c r="BO32" i="90"/>
  <c r="BN32" i="90"/>
  <c r="BM32" i="90"/>
  <c r="BL32" i="90"/>
  <c r="BF32" i="90"/>
  <c r="BE32" i="90"/>
  <c r="BD32" i="90"/>
  <c r="BC32" i="90"/>
  <c r="BB32" i="90"/>
  <c r="AZ32" i="90"/>
  <c r="AY32" i="90"/>
  <c r="AR32" i="90"/>
  <c r="AX32" i="90" s="1"/>
  <c r="U32" i="90"/>
  <c r="AA32" i="90" s="1"/>
  <c r="CW31" i="90"/>
  <c r="BV31" i="90"/>
  <c r="BU31" i="90"/>
  <c r="BQ31" i="90"/>
  <c r="BP31" i="90"/>
  <c r="BO31" i="90"/>
  <c r="BN31" i="90"/>
  <c r="BM31" i="90"/>
  <c r="BL31" i="90"/>
  <c r="BF31" i="90"/>
  <c r="BE31" i="90"/>
  <c r="BD31" i="90"/>
  <c r="BC31" i="90"/>
  <c r="BB31" i="90"/>
  <c r="AZ31" i="90"/>
  <c r="AY31" i="90"/>
  <c r="AR31" i="90"/>
  <c r="AX31" i="90" s="1"/>
  <c r="U31" i="90"/>
  <c r="AA31" i="90" s="1"/>
  <c r="CW30" i="90"/>
  <c r="BV30" i="90"/>
  <c r="BU30" i="90"/>
  <c r="BQ30" i="90"/>
  <c r="BP30" i="90"/>
  <c r="BO30" i="90"/>
  <c r="BN30" i="90"/>
  <c r="BM30" i="90"/>
  <c r="BL30" i="90"/>
  <c r="BF30" i="90"/>
  <c r="BE30" i="90"/>
  <c r="BD30" i="90"/>
  <c r="BC30" i="90"/>
  <c r="BB30" i="90"/>
  <c r="AZ30" i="90"/>
  <c r="AY30" i="90"/>
  <c r="AR30" i="90"/>
  <c r="AX30" i="90" s="1"/>
  <c r="U30" i="90"/>
  <c r="AA30" i="90" s="1"/>
  <c r="CR29" i="90"/>
  <c r="BV29" i="90"/>
  <c r="BU29" i="90"/>
  <c r="BQ29" i="90"/>
  <c r="BP29" i="90"/>
  <c r="BO29" i="90"/>
  <c r="BN29" i="90"/>
  <c r="BM29" i="90"/>
  <c r="BL29" i="90"/>
  <c r="BF29" i="90"/>
  <c r="BE29" i="90"/>
  <c r="BD29" i="90"/>
  <c r="BC29" i="90"/>
  <c r="BB29" i="90"/>
  <c r="AZ29" i="90"/>
  <c r="AY29" i="90"/>
  <c r="AR29" i="90"/>
  <c r="AX29" i="90" s="1"/>
  <c r="U29" i="90"/>
  <c r="AA29" i="90" s="1"/>
  <c r="CW28" i="90"/>
  <c r="BV28" i="90"/>
  <c r="BU28" i="90"/>
  <c r="BQ28" i="90"/>
  <c r="BP28" i="90"/>
  <c r="BO28" i="90"/>
  <c r="BN28" i="90"/>
  <c r="BM28" i="90"/>
  <c r="BL28" i="90"/>
  <c r="BF28" i="90"/>
  <c r="BE28" i="90"/>
  <c r="BD28" i="90"/>
  <c r="BC28" i="90"/>
  <c r="BB28" i="90"/>
  <c r="AZ28" i="90"/>
  <c r="AY28" i="90"/>
  <c r="AR28" i="90"/>
  <c r="AX28" i="90" s="1"/>
  <c r="U28" i="90"/>
  <c r="AA28" i="90" s="1"/>
  <c r="CW27" i="90"/>
  <c r="BV27" i="90"/>
  <c r="BU27" i="90"/>
  <c r="BQ27" i="90"/>
  <c r="BP27" i="90"/>
  <c r="BO27" i="90"/>
  <c r="BN27" i="90"/>
  <c r="BM27" i="90"/>
  <c r="BL27" i="90"/>
  <c r="BF27" i="90"/>
  <c r="BE27" i="90"/>
  <c r="BD27" i="90"/>
  <c r="BC27" i="90"/>
  <c r="BB27" i="90"/>
  <c r="AZ27" i="90"/>
  <c r="AY27" i="90"/>
  <c r="AR27" i="90"/>
  <c r="AX27" i="90" s="1"/>
  <c r="U27" i="90"/>
  <c r="AA27" i="90" s="1"/>
  <c r="CW26" i="90"/>
  <c r="BV26" i="90"/>
  <c r="BU26" i="90"/>
  <c r="BQ26" i="90"/>
  <c r="BP26" i="90"/>
  <c r="BO26" i="90"/>
  <c r="BN26" i="90"/>
  <c r="BM26" i="90"/>
  <c r="BL26" i="90"/>
  <c r="BF26" i="90"/>
  <c r="BE26" i="90"/>
  <c r="BD26" i="90"/>
  <c r="BC26" i="90"/>
  <c r="BB26" i="90"/>
  <c r="AZ26" i="90"/>
  <c r="AY26" i="90"/>
  <c r="AR26" i="90"/>
  <c r="AX26" i="90" s="1"/>
  <c r="U26" i="90"/>
  <c r="AA26" i="90" s="1"/>
  <c r="CW25" i="90"/>
  <c r="CS25" i="90"/>
  <c r="CS36" i="90" s="1"/>
  <c r="BV25" i="90"/>
  <c r="BU25" i="90"/>
  <c r="BQ25" i="90"/>
  <c r="BP25" i="90"/>
  <c r="BO25" i="90"/>
  <c r="BN25" i="90"/>
  <c r="BM25" i="90"/>
  <c r="BL25" i="90"/>
  <c r="BF25" i="90"/>
  <c r="BE25" i="90"/>
  <c r="BD25" i="90"/>
  <c r="BC25" i="90"/>
  <c r="BB25" i="90"/>
  <c r="AZ25" i="90"/>
  <c r="AY25" i="90"/>
  <c r="AR25" i="90"/>
  <c r="AX25" i="90" s="1"/>
  <c r="U25" i="90"/>
  <c r="AA25" i="90" s="1"/>
  <c r="CW24" i="90"/>
  <c r="BV24" i="90"/>
  <c r="BU24" i="90"/>
  <c r="BQ24" i="90"/>
  <c r="BP24" i="90"/>
  <c r="BO24" i="90"/>
  <c r="BN24" i="90"/>
  <c r="BM24" i="90"/>
  <c r="BL24" i="90"/>
  <c r="BF24" i="90"/>
  <c r="BE24" i="90"/>
  <c r="BD24" i="90"/>
  <c r="BC24" i="90"/>
  <c r="BB24" i="90"/>
  <c r="AZ24" i="90"/>
  <c r="AY24" i="90"/>
  <c r="AR24" i="90"/>
  <c r="AX24" i="90" s="1"/>
  <c r="U24" i="90"/>
  <c r="BI33" i="90" l="1"/>
  <c r="BA27" i="90"/>
  <c r="BA29" i="90"/>
  <c r="BI29" i="90"/>
  <c r="BG33" i="90"/>
  <c r="BH33" i="90" s="1"/>
  <c r="BO36" i="90"/>
  <c r="BI25" i="90"/>
  <c r="BI30" i="90"/>
  <c r="BG27" i="90"/>
  <c r="BJ27" i="90" s="1"/>
  <c r="BI31" i="90"/>
  <c r="BI34" i="90"/>
  <c r="BG34" i="90"/>
  <c r="BJ34" i="90" s="1"/>
  <c r="BI35" i="90"/>
  <c r="BI27" i="90"/>
  <c r="BI26" i="90"/>
  <c r="BG28" i="90"/>
  <c r="BH28" i="90" s="1"/>
  <c r="BG31" i="90"/>
  <c r="BJ31" i="90" s="1"/>
  <c r="BL36" i="90"/>
  <c r="BG29" i="90"/>
  <c r="BH29" i="90" s="1"/>
  <c r="AZ36" i="90"/>
  <c r="BN36" i="90"/>
  <c r="BA26" i="90"/>
  <c r="BI32" i="90"/>
  <c r="BC36" i="90"/>
  <c r="BM36" i="90"/>
  <c r="BP36" i="90"/>
  <c r="BA25" i="90"/>
  <c r="BD36" i="90"/>
  <c r="BQ36" i="90"/>
  <c r="BG25" i="90"/>
  <c r="BH25" i="90" s="1"/>
  <c r="BK25" i="90" s="1"/>
  <c r="BG26" i="90"/>
  <c r="BJ26" i="90" s="1"/>
  <c r="BA30" i="90"/>
  <c r="BA32" i="90"/>
  <c r="BG35" i="90"/>
  <c r="BH35" i="90" s="1"/>
  <c r="AY36" i="90"/>
  <c r="U36" i="90"/>
  <c r="BG32" i="90"/>
  <c r="BH32" i="90" s="1"/>
  <c r="BB36" i="90"/>
  <c r="BE36" i="90"/>
  <c r="BG30" i="90"/>
  <c r="BJ30" i="90" s="1"/>
  <c r="AR36" i="90"/>
  <c r="BI24" i="90"/>
  <c r="AX36" i="90"/>
  <c r="AA24" i="90"/>
  <c r="AA36" i="90" s="1"/>
  <c r="BA24" i="90"/>
  <c r="BA35" i="90"/>
  <c r="BA33" i="90"/>
  <c r="BA28" i="90"/>
  <c r="BI28" i="90"/>
  <c r="BA31" i="90"/>
  <c r="BG24" i="90"/>
  <c r="BH24" i="90" s="1"/>
  <c r="BA34" i="90"/>
  <c r="BK33" i="90" l="1"/>
  <c r="BJ33" i="90"/>
  <c r="BJ28" i="90"/>
  <c r="BH27" i="90"/>
  <c r="BK27" i="90" s="1"/>
  <c r="BK29" i="90"/>
  <c r="BK28" i="90"/>
  <c r="BJ25" i="90"/>
  <c r="BH31" i="90"/>
  <c r="BK31" i="90" s="1"/>
  <c r="BH34" i="90"/>
  <c r="BK34" i="90" s="1"/>
  <c r="BH30" i="90"/>
  <c r="BK30" i="90" s="1"/>
  <c r="BJ29" i="90"/>
  <c r="BH26" i="90"/>
  <c r="BK26" i="90" s="1"/>
  <c r="BK32" i="90"/>
  <c r="BJ35" i="90"/>
  <c r="BK35" i="90"/>
  <c r="BJ32" i="90"/>
  <c r="BA36" i="90"/>
  <c r="BK24" i="90"/>
  <c r="BJ24" i="90"/>
  <c r="BF17" i="93" l="1"/>
  <c r="BC17" i="93"/>
  <c r="F14" i="79"/>
  <c r="D36" i="142"/>
  <c r="D35" i="142"/>
  <c r="D26" i="142"/>
  <c r="D25" i="142"/>
  <c r="D4" i="83" l="1"/>
  <c r="I7" i="82"/>
  <c r="I9" i="82"/>
  <c r="I10" i="82"/>
  <c r="I13" i="82"/>
  <c r="E6" i="60"/>
  <c r="BU7" i="90"/>
  <c r="BU8" i="90"/>
  <c r="BU9" i="90"/>
  <c r="BU10" i="90"/>
  <c r="BU11" i="90"/>
  <c r="BU12" i="90"/>
  <c r="BU13" i="90"/>
  <c r="BU14" i="90"/>
  <c r="BU18" i="90"/>
  <c r="BU15" i="90"/>
  <c r="BU16" i="90"/>
  <c r="BU17" i="90"/>
  <c r="BT7" i="90"/>
  <c r="BT8" i="90"/>
  <c r="BT9" i="90"/>
  <c r="BT10" i="90"/>
  <c r="BT11" i="90"/>
  <c r="BT12" i="90"/>
  <c r="BT13" i="90"/>
  <c r="BT14" i="90"/>
  <c r="BT18" i="90"/>
  <c r="BT15" i="90"/>
  <c r="BT16" i="90"/>
  <c r="BT17" i="90"/>
  <c r="BS7" i="90"/>
  <c r="BS8" i="90"/>
  <c r="BS9" i="90"/>
  <c r="BS10" i="90"/>
  <c r="BS11" i="90"/>
  <c r="BS12" i="90"/>
  <c r="BS13" i="90"/>
  <c r="BS14" i="90"/>
  <c r="BS18" i="90"/>
  <c r="BS15" i="90"/>
  <c r="BS16" i="90"/>
  <c r="BS17" i="90"/>
  <c r="BR7" i="90"/>
  <c r="BR8" i="90"/>
  <c r="BR9" i="90"/>
  <c r="BR10" i="90"/>
  <c r="BR11" i="90"/>
  <c r="BR12" i="90"/>
  <c r="BR13" i="90"/>
  <c r="BR14" i="90"/>
  <c r="BR18" i="90"/>
  <c r="BR15" i="90"/>
  <c r="BR16" i="90"/>
  <c r="BR17" i="90"/>
  <c r="BQ7" i="90"/>
  <c r="BQ8" i="90"/>
  <c r="BQ9" i="90"/>
  <c r="BQ10" i="90"/>
  <c r="BQ11" i="90"/>
  <c r="BQ12" i="90"/>
  <c r="BQ13" i="90"/>
  <c r="BQ14" i="90"/>
  <c r="BQ18" i="90"/>
  <c r="BQ15" i="90"/>
  <c r="BQ16" i="90"/>
  <c r="BQ17" i="90"/>
  <c r="I12" i="82" l="1"/>
  <c r="BT19" i="90"/>
  <c r="BQ19" i="90"/>
  <c r="BS19" i="90"/>
  <c r="BU19" i="90"/>
  <c r="BR19" i="90"/>
  <c r="BP19" i="90"/>
  <c r="K35" i="142" l="1"/>
  <c r="D45" i="142"/>
  <c r="D53" i="142" s="1"/>
  <c r="J12" i="124" l="1"/>
  <c r="J13" i="124"/>
  <c r="J14" i="124"/>
  <c r="J15" i="124"/>
  <c r="J16" i="124"/>
  <c r="J17" i="124"/>
  <c r="J18" i="124"/>
  <c r="J19" i="124"/>
  <c r="J20" i="124"/>
  <c r="J21" i="124"/>
  <c r="J22" i="124"/>
  <c r="J23" i="124"/>
  <c r="J24" i="124"/>
  <c r="J25" i="124"/>
  <c r="J26" i="124"/>
  <c r="J27" i="124"/>
  <c r="J28" i="124"/>
  <c r="J29" i="124"/>
  <c r="J30" i="124"/>
  <c r="J31" i="124"/>
  <c r="J32" i="124"/>
  <c r="J33" i="124"/>
  <c r="J34" i="124"/>
  <c r="J35" i="124"/>
  <c r="J36" i="124"/>
  <c r="J37" i="124"/>
  <c r="I12" i="124"/>
  <c r="I13" i="124"/>
  <c r="I14" i="124"/>
  <c r="I15" i="124"/>
  <c r="I16" i="124"/>
  <c r="I17" i="124"/>
  <c r="I18" i="124"/>
  <c r="I19" i="124"/>
  <c r="I20" i="124"/>
  <c r="I21" i="124"/>
  <c r="I22" i="124"/>
  <c r="I23" i="124"/>
  <c r="I24" i="124"/>
  <c r="I25" i="124"/>
  <c r="I26" i="124"/>
  <c r="I27" i="124"/>
  <c r="I28" i="124"/>
  <c r="I29" i="124"/>
  <c r="I30" i="124"/>
  <c r="I31" i="124"/>
  <c r="I32" i="124"/>
  <c r="I33" i="124"/>
  <c r="I34" i="124"/>
  <c r="I35" i="124"/>
  <c r="I36" i="124"/>
  <c r="I37" i="124"/>
  <c r="X6" i="110"/>
  <c r="AL6" i="110"/>
  <c r="AF8" i="110"/>
  <c r="BH17" i="93"/>
  <c r="C8" i="133"/>
  <c r="C9" i="133"/>
  <c r="C10" i="133"/>
  <c r="C11" i="133"/>
  <c r="C12" i="133"/>
  <c r="C13" i="133"/>
  <c r="C14" i="133"/>
  <c r="C15" i="133"/>
  <c r="C16" i="133"/>
  <c r="C17" i="133"/>
  <c r="C18" i="133"/>
  <c r="C19" i="133"/>
  <c r="C20" i="133"/>
  <c r="C21" i="133"/>
  <c r="C22" i="133"/>
  <c r="C23" i="133"/>
  <c r="C24" i="133"/>
  <c r="C25" i="133"/>
  <c r="C26" i="133"/>
  <c r="C27" i="133"/>
  <c r="C28" i="133"/>
  <c r="C29" i="133"/>
  <c r="C30" i="133"/>
  <c r="C31" i="133"/>
  <c r="C32" i="133"/>
  <c r="C33" i="133"/>
  <c r="C34" i="133"/>
  <c r="C35" i="133"/>
  <c r="C36" i="133"/>
  <c r="C37" i="133"/>
  <c r="C38" i="133"/>
  <c r="C39" i="133"/>
  <c r="C40" i="133"/>
  <c r="C41" i="133"/>
  <c r="C42" i="133"/>
  <c r="C7" i="133"/>
  <c r="L8" i="133"/>
  <c r="L9" i="133"/>
  <c r="L10" i="133"/>
  <c r="L11" i="133"/>
  <c r="L12" i="133"/>
  <c r="L13" i="133"/>
  <c r="L14" i="133"/>
  <c r="L15" i="133"/>
  <c r="L16" i="133"/>
  <c r="L17" i="133"/>
  <c r="L18" i="133"/>
  <c r="L19" i="133"/>
  <c r="L20" i="133"/>
  <c r="L21" i="133"/>
  <c r="L22" i="133"/>
  <c r="L23" i="133"/>
  <c r="L24" i="133"/>
  <c r="L25" i="133"/>
  <c r="L26" i="133"/>
  <c r="L27" i="133"/>
  <c r="L28" i="133"/>
  <c r="L29" i="133"/>
  <c r="L30" i="133"/>
  <c r="L31" i="133"/>
  <c r="L32" i="133"/>
  <c r="L33" i="133"/>
  <c r="L34" i="133"/>
  <c r="L35" i="133"/>
  <c r="L36" i="133"/>
  <c r="L37" i="133"/>
  <c r="L38" i="133"/>
  <c r="L39" i="133"/>
  <c r="L40" i="133"/>
  <c r="L41" i="133"/>
  <c r="L42" i="133"/>
  <c r="J8" i="133"/>
  <c r="J9" i="133"/>
  <c r="J10" i="133"/>
  <c r="J11" i="133"/>
  <c r="J12" i="133"/>
  <c r="J13" i="133"/>
  <c r="J14" i="133"/>
  <c r="J15" i="133"/>
  <c r="J16" i="133"/>
  <c r="J17" i="133"/>
  <c r="J18" i="133"/>
  <c r="J19" i="133"/>
  <c r="J20" i="133"/>
  <c r="J21" i="133"/>
  <c r="J22" i="133"/>
  <c r="J23" i="133"/>
  <c r="J24" i="133"/>
  <c r="J25" i="133"/>
  <c r="J26" i="133"/>
  <c r="J27" i="133"/>
  <c r="J28" i="133"/>
  <c r="J29" i="133"/>
  <c r="J30" i="133"/>
  <c r="J31" i="133"/>
  <c r="J32" i="133"/>
  <c r="J33" i="133"/>
  <c r="J34" i="133"/>
  <c r="J35" i="133"/>
  <c r="J36" i="133"/>
  <c r="J37" i="133"/>
  <c r="J38" i="133"/>
  <c r="J39" i="133"/>
  <c r="J40" i="133"/>
  <c r="J41" i="133"/>
  <c r="J42" i="133"/>
  <c r="J7" i="133"/>
  <c r="I8" i="133"/>
  <c r="I9" i="133"/>
  <c r="I10" i="133"/>
  <c r="I11" i="133"/>
  <c r="I12" i="133"/>
  <c r="I13" i="133"/>
  <c r="I14" i="133"/>
  <c r="I15" i="133"/>
  <c r="I16" i="133"/>
  <c r="I17" i="133"/>
  <c r="I18" i="133"/>
  <c r="I19" i="133"/>
  <c r="I20" i="133"/>
  <c r="I21" i="133"/>
  <c r="I22" i="133"/>
  <c r="I23" i="133"/>
  <c r="I24" i="133"/>
  <c r="I25" i="133"/>
  <c r="I26" i="133"/>
  <c r="I27" i="133"/>
  <c r="I28" i="133"/>
  <c r="I29" i="133"/>
  <c r="I30" i="133"/>
  <c r="I31" i="133"/>
  <c r="I32" i="133"/>
  <c r="I33" i="133"/>
  <c r="I34" i="133"/>
  <c r="I35" i="133"/>
  <c r="I36" i="133"/>
  <c r="I37" i="133"/>
  <c r="I38" i="133"/>
  <c r="I39" i="133"/>
  <c r="I40" i="133"/>
  <c r="I41" i="133"/>
  <c r="I42" i="133"/>
  <c r="I7" i="133"/>
  <c r="H8" i="133"/>
  <c r="H9" i="133"/>
  <c r="H10" i="133"/>
  <c r="H11" i="133"/>
  <c r="H12" i="133"/>
  <c r="H13" i="133"/>
  <c r="H14" i="133"/>
  <c r="H15" i="133"/>
  <c r="H16" i="133"/>
  <c r="H17" i="133"/>
  <c r="H18" i="133"/>
  <c r="H19" i="133"/>
  <c r="H20" i="133"/>
  <c r="H21" i="133"/>
  <c r="H22" i="133"/>
  <c r="H23" i="133"/>
  <c r="H24" i="133"/>
  <c r="H25" i="133"/>
  <c r="H26" i="133"/>
  <c r="H27" i="133"/>
  <c r="H28" i="133"/>
  <c r="H29" i="133"/>
  <c r="H30" i="133"/>
  <c r="H31" i="133"/>
  <c r="H32" i="133"/>
  <c r="H33" i="133"/>
  <c r="H34" i="133"/>
  <c r="H35" i="133"/>
  <c r="H36" i="133"/>
  <c r="H37" i="133"/>
  <c r="H38" i="133"/>
  <c r="H39" i="133"/>
  <c r="H40" i="133"/>
  <c r="H41" i="133"/>
  <c r="H42" i="133"/>
  <c r="H7" i="133"/>
  <c r="F8" i="133"/>
  <c r="F9" i="133"/>
  <c r="F10" i="133"/>
  <c r="F11" i="133"/>
  <c r="F12" i="133"/>
  <c r="F13" i="133"/>
  <c r="F14" i="133"/>
  <c r="F15" i="133"/>
  <c r="F16" i="133"/>
  <c r="F17" i="133"/>
  <c r="F18" i="133"/>
  <c r="F19" i="133"/>
  <c r="F20" i="133"/>
  <c r="F21" i="133"/>
  <c r="F22" i="133"/>
  <c r="F23" i="133"/>
  <c r="F24" i="133"/>
  <c r="F25" i="133"/>
  <c r="F26" i="133"/>
  <c r="F27" i="133"/>
  <c r="F28" i="133"/>
  <c r="F29" i="133"/>
  <c r="F30" i="133"/>
  <c r="F31" i="133"/>
  <c r="F32" i="133"/>
  <c r="F33" i="133"/>
  <c r="F34" i="133"/>
  <c r="F35" i="133"/>
  <c r="F36" i="133"/>
  <c r="F37" i="133"/>
  <c r="F38" i="133"/>
  <c r="F39" i="133"/>
  <c r="F40" i="133"/>
  <c r="F41" i="133"/>
  <c r="F42" i="133"/>
  <c r="F7" i="133"/>
  <c r="E8" i="133"/>
  <c r="E9" i="133"/>
  <c r="E10" i="133"/>
  <c r="E11" i="133"/>
  <c r="E12" i="133"/>
  <c r="E13" i="133"/>
  <c r="E14" i="133"/>
  <c r="E15" i="133"/>
  <c r="E16" i="133"/>
  <c r="E17" i="133"/>
  <c r="E18" i="133"/>
  <c r="E19" i="133"/>
  <c r="E20" i="133"/>
  <c r="E21" i="133"/>
  <c r="E22" i="133"/>
  <c r="E23" i="133"/>
  <c r="E24" i="133"/>
  <c r="E25" i="133"/>
  <c r="E26" i="133"/>
  <c r="E27" i="133"/>
  <c r="E28" i="133"/>
  <c r="E29" i="133"/>
  <c r="E30" i="133"/>
  <c r="E31" i="133"/>
  <c r="E32" i="133"/>
  <c r="E33" i="133"/>
  <c r="E34" i="133"/>
  <c r="E35" i="133"/>
  <c r="E36" i="133"/>
  <c r="E37" i="133"/>
  <c r="E38" i="133"/>
  <c r="E39" i="133"/>
  <c r="E40" i="133"/>
  <c r="E41" i="133"/>
  <c r="E42" i="133"/>
  <c r="E7" i="133"/>
  <c r="D8" i="133"/>
  <c r="D9" i="133"/>
  <c r="D10" i="133"/>
  <c r="D11" i="133"/>
  <c r="D12" i="133"/>
  <c r="D13" i="133"/>
  <c r="D14" i="133"/>
  <c r="D15" i="133"/>
  <c r="D16" i="133"/>
  <c r="D17" i="133"/>
  <c r="D18" i="133"/>
  <c r="D19" i="133"/>
  <c r="D20" i="133"/>
  <c r="D21" i="133"/>
  <c r="D22" i="133"/>
  <c r="D23" i="133"/>
  <c r="D24" i="133"/>
  <c r="D25" i="133"/>
  <c r="D26" i="133"/>
  <c r="D27" i="133"/>
  <c r="D28" i="133"/>
  <c r="D29" i="133"/>
  <c r="D30" i="133"/>
  <c r="D31" i="133"/>
  <c r="D32" i="133"/>
  <c r="D33" i="133"/>
  <c r="D34" i="133"/>
  <c r="D35" i="133"/>
  <c r="D36" i="133"/>
  <c r="D37" i="133"/>
  <c r="D38" i="133"/>
  <c r="D39" i="133"/>
  <c r="D40" i="133"/>
  <c r="D41" i="133"/>
  <c r="D42" i="133"/>
  <c r="D7" i="133"/>
  <c r="G55" i="94"/>
  <c r="J55" i="94"/>
  <c r="K55" i="94"/>
  <c r="L55" i="94"/>
  <c r="M55" i="94"/>
  <c r="N55" i="94"/>
  <c r="O55" i="94"/>
  <c r="P55" i="94"/>
  <c r="Q55" i="94"/>
  <c r="R55" i="94"/>
  <c r="S55" i="94"/>
  <c r="T55" i="94"/>
  <c r="U55" i="94"/>
  <c r="V55" i="94"/>
  <c r="W55" i="94"/>
  <c r="X55" i="94"/>
  <c r="Z55" i="94"/>
  <c r="AC55" i="94"/>
  <c r="AD55" i="94"/>
  <c r="AE55" i="94"/>
  <c r="AF55" i="94"/>
  <c r="AG55" i="94"/>
  <c r="AH55" i="94"/>
  <c r="AI55" i="94"/>
  <c r="AJ55" i="94"/>
  <c r="AK55" i="94"/>
  <c r="AL55" i="94"/>
  <c r="AM55" i="94"/>
  <c r="AN55" i="94"/>
  <c r="AO55" i="94"/>
  <c r="AQ55" i="94"/>
  <c r="AP55" i="94"/>
  <c r="AR18" i="94"/>
  <c r="D7" i="97" l="1"/>
  <c r="T6" i="75"/>
  <c r="T4" i="75"/>
  <c r="D12" i="75"/>
  <c r="D13" i="75"/>
  <c r="D14" i="75"/>
  <c r="D15" i="75"/>
  <c r="D16" i="75"/>
  <c r="D17" i="75"/>
  <c r="D18" i="75"/>
  <c r="D19" i="75"/>
  <c r="D20" i="75"/>
  <c r="D21" i="75"/>
  <c r="D22" i="75"/>
  <c r="C12" i="75"/>
  <c r="C13" i="75"/>
  <c r="C14" i="75"/>
  <c r="C15" i="75"/>
  <c r="C16" i="75"/>
  <c r="C17" i="75"/>
  <c r="C18" i="75"/>
  <c r="C19" i="75"/>
  <c r="C20" i="75"/>
  <c r="C21" i="75"/>
  <c r="C22" i="75"/>
  <c r="B12" i="75"/>
  <c r="B13" i="75"/>
  <c r="B14" i="75"/>
  <c r="B15" i="75"/>
  <c r="B16" i="75"/>
  <c r="B17" i="75"/>
  <c r="B18" i="75"/>
  <c r="B19" i="75"/>
  <c r="B20" i="75"/>
  <c r="B21" i="75"/>
  <c r="B22" i="75"/>
  <c r="A12" i="75"/>
  <c r="A13" i="75"/>
  <c r="A14" i="75"/>
  <c r="A15" i="75"/>
  <c r="A16" i="75"/>
  <c r="A17" i="75"/>
  <c r="A18" i="75"/>
  <c r="A19" i="75"/>
  <c r="A20" i="75"/>
  <c r="A21" i="75"/>
  <c r="A22" i="75"/>
  <c r="K59" i="97" l="1"/>
  <c r="E20" i="75"/>
  <c r="E16" i="75"/>
  <c r="E12" i="75"/>
  <c r="E19" i="75"/>
  <c r="E15" i="75"/>
  <c r="E22" i="75"/>
  <c r="E18" i="75"/>
  <c r="E14" i="75"/>
  <c r="E21" i="75"/>
  <c r="E17" i="75"/>
  <c r="E13" i="75"/>
  <c r="BO7" i="93" l="1"/>
  <c r="BO8" i="93"/>
  <c r="BO9" i="93"/>
  <c r="BO10" i="93"/>
  <c r="BO11" i="93"/>
  <c r="BO12" i="93"/>
  <c r="BO13" i="93"/>
  <c r="BO14" i="93"/>
  <c r="BO15" i="93"/>
  <c r="BO16" i="93"/>
  <c r="BO17" i="93"/>
  <c r="BN7" i="93"/>
  <c r="BN8" i="93"/>
  <c r="BN9" i="93"/>
  <c r="BN10" i="93"/>
  <c r="BN11" i="93"/>
  <c r="BN12" i="93"/>
  <c r="BN13" i="93"/>
  <c r="BN14" i="93"/>
  <c r="BN15" i="93"/>
  <c r="BN16" i="93"/>
  <c r="BN17" i="93"/>
  <c r="BM7" i="93"/>
  <c r="BM8" i="93"/>
  <c r="BM9" i="93"/>
  <c r="BM10" i="93"/>
  <c r="BM11" i="93"/>
  <c r="BM12" i="93"/>
  <c r="BM13" i="93"/>
  <c r="BM14" i="93"/>
  <c r="BM15" i="93"/>
  <c r="BM16" i="93"/>
  <c r="BM17" i="93"/>
  <c r="BL7" i="93"/>
  <c r="BL8" i="93"/>
  <c r="BL9" i="93"/>
  <c r="BL10" i="93"/>
  <c r="BL11" i="93"/>
  <c r="BL12" i="93"/>
  <c r="BL13" i="93"/>
  <c r="BL14" i="93"/>
  <c r="BL15" i="93"/>
  <c r="BL16" i="93"/>
  <c r="BL17" i="93"/>
  <c r="BK7" i="93"/>
  <c r="BK8" i="93"/>
  <c r="BK9" i="93"/>
  <c r="BK10" i="93"/>
  <c r="BK11" i="93"/>
  <c r="BK12" i="93"/>
  <c r="BK13" i="93"/>
  <c r="BK14" i="93"/>
  <c r="BK15" i="93"/>
  <c r="BK16" i="93"/>
  <c r="BK17" i="93"/>
  <c r="BJ7" i="93"/>
  <c r="BJ8" i="93"/>
  <c r="BJ9" i="93"/>
  <c r="BJ10" i="93"/>
  <c r="BJ11" i="93"/>
  <c r="BJ12" i="93"/>
  <c r="BJ13" i="93"/>
  <c r="BJ14" i="93"/>
  <c r="BJ15" i="93"/>
  <c r="BJ16" i="93"/>
  <c r="BJ17" i="93"/>
  <c r="BI7" i="93"/>
  <c r="BI8" i="93"/>
  <c r="BI9" i="93"/>
  <c r="BI10" i="93"/>
  <c r="BI11" i="93"/>
  <c r="BI12" i="93"/>
  <c r="BI13" i="93"/>
  <c r="BI14" i="93"/>
  <c r="BI15" i="93"/>
  <c r="BI16" i="93"/>
  <c r="BI17" i="93"/>
  <c r="BH7" i="93"/>
  <c r="BH8" i="93"/>
  <c r="BH9" i="93"/>
  <c r="BH10" i="93"/>
  <c r="BH11" i="93"/>
  <c r="BH12" i="93"/>
  <c r="BH13" i="93"/>
  <c r="BH14" i="93"/>
  <c r="BH15" i="93"/>
  <c r="BH16" i="93"/>
  <c r="BF14" i="93"/>
  <c r="F22" i="73"/>
  <c r="F17" i="73"/>
  <c r="E11" i="76" l="1"/>
  <c r="E11" i="158"/>
  <c r="BP16" i="93"/>
  <c r="BP17" i="93"/>
  <c r="BP15" i="93"/>
  <c r="F11" i="158" l="1"/>
  <c r="G11" i="158" s="1"/>
  <c r="U10" i="81" l="1"/>
  <c r="U11" i="81"/>
  <c r="U12" i="81"/>
  <c r="U13" i="81"/>
  <c r="U14" i="81"/>
  <c r="U15" i="81"/>
  <c r="U6" i="81"/>
  <c r="U7" i="81"/>
  <c r="U8" i="81"/>
  <c r="U9" i="81"/>
  <c r="U5" i="81" l="1"/>
  <c r="N54" i="100" l="1"/>
  <c r="O54" i="100" s="1"/>
  <c r="A16" i="82"/>
  <c r="B16" i="82"/>
  <c r="C16" i="82"/>
  <c r="D16" i="82"/>
  <c r="A17" i="82"/>
  <c r="B17" i="82"/>
  <c r="C17" i="82"/>
  <c r="D17" i="82"/>
  <c r="A18" i="82"/>
  <c r="B18" i="82"/>
  <c r="C18" i="82"/>
  <c r="D18" i="82"/>
  <c r="A19" i="82"/>
  <c r="B19" i="82"/>
  <c r="C19" i="82"/>
  <c r="D19" i="82"/>
  <c r="A20" i="82"/>
  <c r="B20" i="82"/>
  <c r="C20" i="82"/>
  <c r="D20" i="82"/>
  <c r="A21" i="82"/>
  <c r="B21" i="82"/>
  <c r="C21" i="82"/>
  <c r="D21" i="82"/>
  <c r="A22" i="82"/>
  <c r="B22" i="82"/>
  <c r="C22" i="82"/>
  <c r="D22" i="82"/>
  <c r="A16" i="81"/>
  <c r="B16" i="81"/>
  <c r="C16" i="81"/>
  <c r="D16" i="81"/>
  <c r="A17" i="81"/>
  <c r="B17" i="81"/>
  <c r="C17" i="81"/>
  <c r="D17" i="81"/>
  <c r="A18" i="81"/>
  <c r="B18" i="81"/>
  <c r="C18" i="81"/>
  <c r="D18" i="81"/>
  <c r="A19" i="81"/>
  <c r="B19" i="81"/>
  <c r="C19" i="81"/>
  <c r="D19" i="81"/>
  <c r="A20" i="81"/>
  <c r="B20" i="81"/>
  <c r="C20" i="81"/>
  <c r="D20" i="81"/>
  <c r="A21" i="81"/>
  <c r="B21" i="81"/>
  <c r="C21" i="81"/>
  <c r="F21" i="81" s="1"/>
  <c r="D21" i="81"/>
  <c r="A22" i="81"/>
  <c r="B22" i="81"/>
  <c r="C22" i="81"/>
  <c r="D22" i="81"/>
  <c r="A16" i="80"/>
  <c r="B16" i="80"/>
  <c r="C16" i="80"/>
  <c r="D16" i="80"/>
  <c r="A17" i="80"/>
  <c r="B17" i="80"/>
  <c r="C17" i="80"/>
  <c r="D17" i="80"/>
  <c r="A18" i="80"/>
  <c r="B18" i="80"/>
  <c r="C18" i="80"/>
  <c r="D18" i="80"/>
  <c r="A19" i="80"/>
  <c r="B19" i="80"/>
  <c r="C19" i="80"/>
  <c r="D19" i="80"/>
  <c r="A20" i="80"/>
  <c r="B20" i="80"/>
  <c r="C20" i="80"/>
  <c r="D20" i="80"/>
  <c r="A21" i="80"/>
  <c r="B21" i="80"/>
  <c r="C21" i="80"/>
  <c r="D21" i="80"/>
  <c r="A22" i="80"/>
  <c r="B22" i="80"/>
  <c r="C22" i="80"/>
  <c r="D22" i="80"/>
  <c r="A17" i="141"/>
  <c r="B17" i="141"/>
  <c r="C17" i="141"/>
  <c r="D17" i="141"/>
  <c r="A18" i="141"/>
  <c r="B18" i="141"/>
  <c r="C18" i="141"/>
  <c r="D18" i="141"/>
  <c r="A19" i="141"/>
  <c r="B19" i="141"/>
  <c r="C19" i="141"/>
  <c r="D19" i="141"/>
  <c r="A20" i="141"/>
  <c r="B20" i="141"/>
  <c r="C20" i="141"/>
  <c r="D20" i="141"/>
  <c r="A21" i="141"/>
  <c r="B21" i="141"/>
  <c r="C21" i="141"/>
  <c r="D21" i="141"/>
  <c r="A22" i="141"/>
  <c r="B22" i="141"/>
  <c r="C22" i="141"/>
  <c r="D22" i="141"/>
  <c r="A23" i="141"/>
  <c r="B23" i="141"/>
  <c r="C23" i="141"/>
  <c r="D23" i="141"/>
  <c r="A17" i="140"/>
  <c r="B17" i="140"/>
  <c r="C17" i="140"/>
  <c r="D17" i="140"/>
  <c r="A18" i="140"/>
  <c r="B18" i="140"/>
  <c r="C18" i="140"/>
  <c r="D18" i="140"/>
  <c r="A19" i="140"/>
  <c r="B19" i="140"/>
  <c r="C19" i="140"/>
  <c r="D19" i="140"/>
  <c r="A20" i="140"/>
  <c r="B20" i="140"/>
  <c r="C20" i="140"/>
  <c r="D20" i="140"/>
  <c r="A21" i="140"/>
  <c r="B21" i="140"/>
  <c r="C21" i="140"/>
  <c r="D21" i="140"/>
  <c r="A22" i="140"/>
  <c r="B22" i="140"/>
  <c r="C22" i="140"/>
  <c r="D22" i="140"/>
  <c r="A23" i="140"/>
  <c r="B23" i="140"/>
  <c r="C23" i="140"/>
  <c r="D23" i="140"/>
  <c r="A16" i="79"/>
  <c r="B16" i="79"/>
  <c r="C16" i="79"/>
  <c r="E16" i="79" s="1"/>
  <c r="D16" i="79"/>
  <c r="A17" i="79"/>
  <c r="B17" i="79"/>
  <c r="C17" i="79"/>
  <c r="E17" i="79" s="1"/>
  <c r="D17" i="79"/>
  <c r="A18" i="79"/>
  <c r="B18" i="79"/>
  <c r="C18" i="79"/>
  <c r="E18" i="79" s="1"/>
  <c r="D18" i="79"/>
  <c r="A19" i="79"/>
  <c r="B19" i="79"/>
  <c r="C19" i="79"/>
  <c r="E19" i="79" s="1"/>
  <c r="D19" i="79"/>
  <c r="A20" i="79"/>
  <c r="B20" i="79"/>
  <c r="C20" i="79"/>
  <c r="E20" i="79" s="1"/>
  <c r="D20" i="79"/>
  <c r="A21" i="79"/>
  <c r="B21" i="79"/>
  <c r="C21" i="79"/>
  <c r="E21" i="79" s="1"/>
  <c r="D21" i="79"/>
  <c r="A22" i="79"/>
  <c r="B22" i="79"/>
  <c r="C22" i="79"/>
  <c r="E22" i="79" s="1"/>
  <c r="D22" i="79"/>
  <c r="F22" i="79"/>
  <c r="A16" i="78"/>
  <c r="H16" i="78" s="1"/>
  <c r="B16" i="78"/>
  <c r="C16" i="78"/>
  <c r="D16" i="78"/>
  <c r="A17" i="78"/>
  <c r="H17" i="78" s="1"/>
  <c r="B17" i="78"/>
  <c r="C17" i="78"/>
  <c r="D17" i="78"/>
  <c r="A18" i="78"/>
  <c r="B18" i="78"/>
  <c r="C18" i="78"/>
  <c r="D18" i="78"/>
  <c r="A19" i="78"/>
  <c r="B19" i="78"/>
  <c r="C19" i="78"/>
  <c r="D19" i="78"/>
  <c r="A20" i="78"/>
  <c r="B20" i="78"/>
  <c r="C20" i="78"/>
  <c r="D20" i="78"/>
  <c r="A21" i="78"/>
  <c r="B21" i="78"/>
  <c r="C21" i="78"/>
  <c r="D21" i="78"/>
  <c r="A22" i="78"/>
  <c r="B22" i="78"/>
  <c r="C22" i="78"/>
  <c r="D22" i="78"/>
  <c r="A16" i="77"/>
  <c r="B16" i="77"/>
  <c r="C16" i="77"/>
  <c r="D16" i="77"/>
  <c r="A17" i="77"/>
  <c r="B17" i="77"/>
  <c r="C17" i="77"/>
  <c r="D17" i="77"/>
  <c r="A18" i="77"/>
  <c r="B18" i="77"/>
  <c r="C18" i="77"/>
  <c r="D18" i="77"/>
  <c r="A19" i="77"/>
  <c r="B19" i="77"/>
  <c r="C19" i="77"/>
  <c r="D19" i="77"/>
  <c r="A20" i="77"/>
  <c r="B20" i="77"/>
  <c r="C20" i="77"/>
  <c r="D20" i="77"/>
  <c r="A21" i="77"/>
  <c r="B21" i="77"/>
  <c r="C21" i="77"/>
  <c r="D21" i="77"/>
  <c r="A22" i="77"/>
  <c r="B22" i="77"/>
  <c r="C22" i="77"/>
  <c r="D22" i="77"/>
  <c r="A16" i="74"/>
  <c r="B16" i="74"/>
  <c r="C16" i="74"/>
  <c r="D16" i="74"/>
  <c r="A17" i="74"/>
  <c r="B17" i="74"/>
  <c r="C17" i="74"/>
  <c r="D17" i="74"/>
  <c r="A18" i="74"/>
  <c r="B18" i="74"/>
  <c r="C18" i="74"/>
  <c r="D18" i="74"/>
  <c r="A19" i="74"/>
  <c r="B19" i="74"/>
  <c r="C19" i="74"/>
  <c r="D19" i="74"/>
  <c r="A20" i="74"/>
  <c r="B20" i="74"/>
  <c r="C20" i="74"/>
  <c r="D20" i="74"/>
  <c r="A21" i="74"/>
  <c r="B21" i="74"/>
  <c r="C21" i="74"/>
  <c r="D21" i="74"/>
  <c r="A22" i="74"/>
  <c r="B22" i="74"/>
  <c r="C22" i="74"/>
  <c r="D22" i="74"/>
  <c r="I16" i="73"/>
  <c r="D16" i="73"/>
  <c r="C16" i="73"/>
  <c r="B16" i="73"/>
  <c r="A16" i="73"/>
  <c r="A17" i="73"/>
  <c r="B17" i="73"/>
  <c r="C17" i="73"/>
  <c r="D17" i="73"/>
  <c r="I17" i="73"/>
  <c r="A18" i="73"/>
  <c r="B18" i="73"/>
  <c r="C18" i="73"/>
  <c r="D18" i="73"/>
  <c r="I18" i="73"/>
  <c r="A19" i="73"/>
  <c r="B19" i="73"/>
  <c r="C19" i="73"/>
  <c r="D19" i="73"/>
  <c r="I19" i="73"/>
  <c r="A20" i="73"/>
  <c r="B20" i="73"/>
  <c r="C20" i="73"/>
  <c r="D20" i="73"/>
  <c r="I20" i="73"/>
  <c r="A21" i="73"/>
  <c r="B21" i="73"/>
  <c r="C21" i="73"/>
  <c r="D21" i="73"/>
  <c r="I21" i="73"/>
  <c r="A22" i="73"/>
  <c r="B22" i="73"/>
  <c r="C22" i="73"/>
  <c r="D22" i="73"/>
  <c r="I22" i="73"/>
  <c r="A16" i="72"/>
  <c r="B16" i="72"/>
  <c r="C16" i="72"/>
  <c r="D16" i="72"/>
  <c r="A17" i="72"/>
  <c r="B17" i="72"/>
  <c r="C17" i="72"/>
  <c r="D17" i="72"/>
  <c r="A18" i="72"/>
  <c r="B18" i="72"/>
  <c r="C18" i="72"/>
  <c r="D18" i="72"/>
  <c r="A19" i="72"/>
  <c r="B19" i="72"/>
  <c r="C19" i="72"/>
  <c r="D19" i="72"/>
  <c r="A20" i="72"/>
  <c r="B20" i="72"/>
  <c r="C20" i="72"/>
  <c r="D20" i="72"/>
  <c r="A21" i="72"/>
  <c r="B21" i="72"/>
  <c r="C21" i="72"/>
  <c r="D21" i="72"/>
  <c r="A22" i="72"/>
  <c r="B22" i="72"/>
  <c r="C22" i="72"/>
  <c r="D22" i="72"/>
  <c r="A16" i="71"/>
  <c r="B16" i="71"/>
  <c r="C16" i="71"/>
  <c r="E16" i="71" s="1"/>
  <c r="D16" i="71"/>
  <c r="A17" i="71"/>
  <c r="B17" i="71"/>
  <c r="C17" i="71"/>
  <c r="E17" i="71" s="1"/>
  <c r="D17" i="71"/>
  <c r="A18" i="71"/>
  <c r="B18" i="71"/>
  <c r="C18" i="71"/>
  <c r="E18" i="71" s="1"/>
  <c r="D18" i="71"/>
  <c r="A19" i="71"/>
  <c r="B19" i="71"/>
  <c r="C19" i="71"/>
  <c r="E19" i="71" s="1"/>
  <c r="D19" i="71"/>
  <c r="A20" i="71"/>
  <c r="B20" i="71"/>
  <c r="C20" i="71"/>
  <c r="E20" i="71" s="1"/>
  <c r="D20" i="71"/>
  <c r="A21" i="71"/>
  <c r="B21" i="71"/>
  <c r="C21" i="71"/>
  <c r="E21" i="71" s="1"/>
  <c r="D21" i="71"/>
  <c r="A22" i="71"/>
  <c r="B22" i="71"/>
  <c r="C22" i="71"/>
  <c r="E22" i="71" s="1"/>
  <c r="D22" i="71"/>
  <c r="A12" i="70"/>
  <c r="B12" i="70"/>
  <c r="C12" i="70"/>
  <c r="E12" i="70" s="1"/>
  <c r="D12" i="70"/>
  <c r="A13" i="70"/>
  <c r="B13" i="70"/>
  <c r="C13" i="70"/>
  <c r="E13" i="70" s="1"/>
  <c r="D13" i="70"/>
  <c r="A14" i="70"/>
  <c r="B14" i="70"/>
  <c r="C14" i="70"/>
  <c r="E14" i="70" s="1"/>
  <c r="D14" i="70"/>
  <c r="A15" i="70"/>
  <c r="B15" i="70"/>
  <c r="C15" i="70"/>
  <c r="E15" i="70" s="1"/>
  <c r="D15" i="70"/>
  <c r="A16" i="70"/>
  <c r="B16" i="70"/>
  <c r="C16" i="70"/>
  <c r="E16" i="70" s="1"/>
  <c r="D16" i="70"/>
  <c r="A17" i="70"/>
  <c r="B17" i="70"/>
  <c r="C17" i="70"/>
  <c r="E17" i="70" s="1"/>
  <c r="D17" i="70"/>
  <c r="A18" i="70"/>
  <c r="B18" i="70"/>
  <c r="C18" i="70"/>
  <c r="E18" i="70" s="1"/>
  <c r="D18" i="70"/>
  <c r="A19" i="70"/>
  <c r="B19" i="70"/>
  <c r="C19" i="70"/>
  <c r="E19" i="70" s="1"/>
  <c r="D19" i="70"/>
  <c r="A20" i="70"/>
  <c r="B20" i="70"/>
  <c r="C20" i="70"/>
  <c r="E20" i="70" s="1"/>
  <c r="D20" i="70"/>
  <c r="A21" i="70"/>
  <c r="B21" i="70"/>
  <c r="C21" i="70"/>
  <c r="E21" i="70" s="1"/>
  <c r="D21" i="70"/>
  <c r="A22" i="70"/>
  <c r="B22" i="70"/>
  <c r="C22" i="70"/>
  <c r="E22" i="70" s="1"/>
  <c r="D22" i="70"/>
  <c r="A35" i="69"/>
  <c r="B35" i="69"/>
  <c r="C35" i="69"/>
  <c r="D35" i="69"/>
  <c r="A36" i="69"/>
  <c r="B36" i="69"/>
  <c r="C36" i="69"/>
  <c r="D36" i="69"/>
  <c r="A37" i="69"/>
  <c r="B37" i="69"/>
  <c r="C37" i="69"/>
  <c r="D37" i="69"/>
  <c r="A38" i="69"/>
  <c r="B38" i="69"/>
  <c r="C38" i="69"/>
  <c r="D38" i="69"/>
  <c r="A39" i="69"/>
  <c r="B39" i="69"/>
  <c r="C39" i="69"/>
  <c r="D39" i="69"/>
  <c r="A40" i="69"/>
  <c r="B40" i="69"/>
  <c r="C40" i="69"/>
  <c r="D40" i="69"/>
  <c r="A41" i="69"/>
  <c r="B41" i="69"/>
  <c r="C41" i="69"/>
  <c r="D41" i="69"/>
  <c r="D15" i="68"/>
  <c r="A17" i="68"/>
  <c r="B17" i="68"/>
  <c r="C17" i="68"/>
  <c r="D17" i="68"/>
  <c r="E17" i="68"/>
  <c r="F17" i="68"/>
  <c r="G17" i="68"/>
  <c r="A18" i="68"/>
  <c r="B18" i="68"/>
  <c r="C18" i="68"/>
  <c r="D18" i="68"/>
  <c r="E18" i="68"/>
  <c r="F18" i="68"/>
  <c r="G18" i="68"/>
  <c r="A19" i="68"/>
  <c r="B19" i="68"/>
  <c r="C19" i="68"/>
  <c r="D19" i="68"/>
  <c r="E19" i="68"/>
  <c r="F19" i="68"/>
  <c r="G19" i="68"/>
  <c r="A20" i="68"/>
  <c r="B20" i="68"/>
  <c r="C20" i="68"/>
  <c r="D20" i="68"/>
  <c r="E20" i="68"/>
  <c r="F20" i="68"/>
  <c r="G20" i="68"/>
  <c r="A21" i="68"/>
  <c r="B21" i="68"/>
  <c r="C21" i="68"/>
  <c r="D21" i="68"/>
  <c r="E21" i="68"/>
  <c r="F21" i="68"/>
  <c r="G21" i="68"/>
  <c r="A22" i="68"/>
  <c r="B22" i="68"/>
  <c r="C22" i="68"/>
  <c r="D22" i="68"/>
  <c r="E22" i="68"/>
  <c r="F22" i="68"/>
  <c r="G22" i="68"/>
  <c r="A23" i="68"/>
  <c r="B23" i="68"/>
  <c r="C23" i="68"/>
  <c r="D23" i="68"/>
  <c r="E23" i="68"/>
  <c r="F23" i="68"/>
  <c r="G23" i="68"/>
  <c r="A30" i="66"/>
  <c r="B30" i="66"/>
  <c r="C30" i="66"/>
  <c r="D30" i="66"/>
  <c r="A31" i="66"/>
  <c r="B31" i="66"/>
  <c r="C31" i="66"/>
  <c r="I31" i="66" s="1"/>
  <c r="D31" i="66"/>
  <c r="A32" i="66"/>
  <c r="B32" i="66"/>
  <c r="C32" i="66"/>
  <c r="D32" i="66"/>
  <c r="A33" i="66"/>
  <c r="B33" i="66"/>
  <c r="C33" i="66"/>
  <c r="D33" i="66"/>
  <c r="A34" i="66"/>
  <c r="B34" i="66"/>
  <c r="C34" i="66"/>
  <c r="I34" i="66" s="1"/>
  <c r="D34" i="66"/>
  <c r="A35" i="66"/>
  <c r="B35" i="66"/>
  <c r="C35" i="66"/>
  <c r="D35" i="66"/>
  <c r="A36" i="66"/>
  <c r="B36" i="66"/>
  <c r="C36" i="66"/>
  <c r="I36" i="66" s="1"/>
  <c r="D36" i="66"/>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16" i="64"/>
  <c r="B16" i="64"/>
  <c r="C16" i="64"/>
  <c r="D16" i="64"/>
  <c r="A17" i="64"/>
  <c r="B17" i="64"/>
  <c r="C17" i="64"/>
  <c r="D17" i="64"/>
  <c r="A18" i="64"/>
  <c r="B18" i="64"/>
  <c r="C18" i="64"/>
  <c r="D18" i="64"/>
  <c r="A19" i="64"/>
  <c r="B19" i="64"/>
  <c r="C19" i="64"/>
  <c r="D19" i="64"/>
  <c r="A20" i="64"/>
  <c r="B20" i="64"/>
  <c r="C20" i="64"/>
  <c r="D20" i="64"/>
  <c r="A21" i="64"/>
  <c r="B21" i="64"/>
  <c r="C21" i="64"/>
  <c r="D21" i="64"/>
  <c r="A22" i="64"/>
  <c r="B22" i="64"/>
  <c r="C22" i="64"/>
  <c r="D22" i="64"/>
  <c r="A16" i="61"/>
  <c r="B16" i="61"/>
  <c r="C16" i="61"/>
  <c r="D16" i="61"/>
  <c r="A17" i="61"/>
  <c r="B17" i="61"/>
  <c r="C17" i="61"/>
  <c r="D17" i="61"/>
  <c r="A18" i="61"/>
  <c r="B18" i="61"/>
  <c r="C18" i="61"/>
  <c r="D18" i="61"/>
  <c r="A19" i="61"/>
  <c r="B19" i="61"/>
  <c r="C19" i="61"/>
  <c r="D19" i="61"/>
  <c r="A20" i="61"/>
  <c r="B20" i="61"/>
  <c r="C20" i="61"/>
  <c r="D20" i="61"/>
  <c r="A21" i="61"/>
  <c r="B21" i="61"/>
  <c r="C21" i="61"/>
  <c r="D21" i="61"/>
  <c r="A22" i="61"/>
  <c r="B22" i="61"/>
  <c r="C22" i="61"/>
  <c r="D22" i="61"/>
  <c r="A22" i="60"/>
  <c r="B22" i="60"/>
  <c r="C22" i="60"/>
  <c r="D22" i="60"/>
  <c r="A16" i="60"/>
  <c r="B16" i="60"/>
  <c r="C16" i="60"/>
  <c r="D16" i="60"/>
  <c r="A17" i="60"/>
  <c r="B17" i="60"/>
  <c r="C17" i="60"/>
  <c r="D17" i="60"/>
  <c r="A18" i="60"/>
  <c r="B18" i="60"/>
  <c r="C18" i="60"/>
  <c r="D18" i="60"/>
  <c r="A19" i="60"/>
  <c r="B19" i="60"/>
  <c r="C19" i="60"/>
  <c r="D19" i="60"/>
  <c r="A20" i="60"/>
  <c r="B20" i="60"/>
  <c r="C20" i="60"/>
  <c r="D20" i="60"/>
  <c r="A21" i="60"/>
  <c r="B21" i="60"/>
  <c r="C21" i="60"/>
  <c r="D21" i="60"/>
  <c r="A22" i="59"/>
  <c r="B22" i="59"/>
  <c r="C22" i="59"/>
  <c r="D22" i="59"/>
  <c r="A16" i="59"/>
  <c r="B16" i="59"/>
  <c r="C16" i="59"/>
  <c r="D16" i="59"/>
  <c r="A17" i="59"/>
  <c r="B17" i="59"/>
  <c r="C17" i="59"/>
  <c r="D17" i="59"/>
  <c r="A18" i="59"/>
  <c r="B18" i="59"/>
  <c r="C18" i="59"/>
  <c r="D18" i="59"/>
  <c r="A19" i="59"/>
  <c r="B19" i="59"/>
  <c r="C19" i="59"/>
  <c r="D19" i="59"/>
  <c r="A20" i="59"/>
  <c r="B20" i="59"/>
  <c r="C20" i="59"/>
  <c r="D20" i="59"/>
  <c r="A21" i="59"/>
  <c r="B21" i="59"/>
  <c r="C21" i="59"/>
  <c r="D21" i="59"/>
  <c r="A16" i="58"/>
  <c r="B16" i="58"/>
  <c r="C16" i="58"/>
  <c r="D16" i="58"/>
  <c r="A17" i="58"/>
  <c r="B17" i="58"/>
  <c r="C17" i="58"/>
  <c r="D17" i="58"/>
  <c r="A18" i="58"/>
  <c r="B18" i="58"/>
  <c r="C18" i="58"/>
  <c r="D18" i="58"/>
  <c r="A19" i="58"/>
  <c r="B19" i="58"/>
  <c r="C19" i="58"/>
  <c r="D19" i="58"/>
  <c r="A20" i="58"/>
  <c r="B20" i="58"/>
  <c r="C20" i="58"/>
  <c r="D20" i="58"/>
  <c r="A21" i="58"/>
  <c r="B21" i="58"/>
  <c r="C21" i="58"/>
  <c r="D21" i="58"/>
  <c r="A22" i="58"/>
  <c r="B22" i="58"/>
  <c r="C22" i="58"/>
  <c r="D22" i="58"/>
  <c r="A16" i="57"/>
  <c r="B16" i="57"/>
  <c r="C16" i="57"/>
  <c r="D16" i="57"/>
  <c r="A17" i="57"/>
  <c r="B17" i="57"/>
  <c r="C17" i="57"/>
  <c r="D17" i="57"/>
  <c r="A18" i="57"/>
  <c r="B18" i="57"/>
  <c r="C18" i="57"/>
  <c r="D18" i="57"/>
  <c r="A19" i="57"/>
  <c r="B19" i="57"/>
  <c r="C19" i="57"/>
  <c r="D19" i="57"/>
  <c r="A20" i="57"/>
  <c r="B20" i="57"/>
  <c r="C20" i="57"/>
  <c r="D20" i="57"/>
  <c r="A21" i="57"/>
  <c r="B21" i="57"/>
  <c r="C21" i="57"/>
  <c r="D21" i="57"/>
  <c r="A22" i="57"/>
  <c r="B22" i="57"/>
  <c r="C22" i="57"/>
  <c r="D22" i="57"/>
  <c r="A22" i="56"/>
  <c r="B22" i="56"/>
  <c r="C22" i="56"/>
  <c r="D22" i="56"/>
  <c r="E22" i="56"/>
  <c r="A16" i="56"/>
  <c r="B16" i="56"/>
  <c r="C16" i="56"/>
  <c r="D16" i="56"/>
  <c r="E16" i="56"/>
  <c r="A17" i="56"/>
  <c r="B17" i="56"/>
  <c r="C17" i="56"/>
  <c r="D17" i="56"/>
  <c r="E17" i="56"/>
  <c r="A18" i="56"/>
  <c r="B18" i="56"/>
  <c r="C18" i="56"/>
  <c r="D18" i="56"/>
  <c r="E18" i="56"/>
  <c r="A19" i="56"/>
  <c r="B19" i="56"/>
  <c r="C19" i="56"/>
  <c r="D19" i="56"/>
  <c r="E19" i="56"/>
  <c r="A20" i="56"/>
  <c r="B20" i="56"/>
  <c r="C20" i="56"/>
  <c r="D20" i="56"/>
  <c r="E20" i="56"/>
  <c r="A21" i="56"/>
  <c r="B21" i="56"/>
  <c r="C21" i="56"/>
  <c r="D21" i="56"/>
  <c r="E21" i="56"/>
  <c r="A16" i="55"/>
  <c r="B16" i="55"/>
  <c r="C16" i="55"/>
  <c r="D16" i="55"/>
  <c r="A17" i="55"/>
  <c r="B17" i="55"/>
  <c r="C17" i="55"/>
  <c r="D17" i="55"/>
  <c r="A18" i="55"/>
  <c r="B18" i="55"/>
  <c r="C18" i="55"/>
  <c r="D18" i="55"/>
  <c r="A19" i="55"/>
  <c r="B19" i="55"/>
  <c r="C19" i="55"/>
  <c r="D19" i="55"/>
  <c r="A20" i="55"/>
  <c r="B20" i="55"/>
  <c r="C20" i="55"/>
  <c r="D20" i="55"/>
  <c r="A21" i="55"/>
  <c r="B21" i="55"/>
  <c r="C21" i="55"/>
  <c r="D21" i="55"/>
  <c r="A22" i="55"/>
  <c r="B22" i="55"/>
  <c r="C22" i="55"/>
  <c r="D22" i="55"/>
  <c r="B16" i="54"/>
  <c r="C16" i="54"/>
  <c r="D16" i="54"/>
  <c r="B17" i="54"/>
  <c r="C17" i="54"/>
  <c r="D17" i="54"/>
  <c r="B18" i="54"/>
  <c r="C18" i="54"/>
  <c r="D18" i="54"/>
  <c r="B19" i="54"/>
  <c r="C19" i="54"/>
  <c r="D19" i="54"/>
  <c r="B20" i="54"/>
  <c r="C20" i="54"/>
  <c r="D20" i="54"/>
  <c r="B21" i="54"/>
  <c r="C21" i="54"/>
  <c r="D21" i="54"/>
  <c r="B22" i="54"/>
  <c r="C22" i="54"/>
  <c r="D22" i="54"/>
  <c r="A16" i="54"/>
  <c r="A17" i="54"/>
  <c r="A18" i="54"/>
  <c r="A19" i="54"/>
  <c r="A20" i="54"/>
  <c r="A21" i="54"/>
  <c r="A22" i="54"/>
  <c r="AH7" i="119"/>
  <c r="AU8" i="94"/>
  <c r="AT8" i="94"/>
  <c r="DA13" i="90"/>
  <c r="DA14" i="90"/>
  <c r="DA18" i="90"/>
  <c r="DA15" i="90"/>
  <c r="DA16" i="90"/>
  <c r="DA17" i="90"/>
  <c r="CV12" i="90"/>
  <c r="BZ12" i="90"/>
  <c r="BZ13" i="90"/>
  <c r="BZ14" i="90"/>
  <c r="BZ18" i="90"/>
  <c r="BZ15" i="90"/>
  <c r="BZ16" i="90"/>
  <c r="BZ17" i="90"/>
  <c r="BY12" i="90"/>
  <c r="BY13" i="90"/>
  <c r="BY14" i="90"/>
  <c r="BY18" i="90"/>
  <c r="BY15" i="90"/>
  <c r="BY16" i="90"/>
  <c r="BY17" i="90"/>
  <c r="BJ8" i="90"/>
  <c r="BJ9" i="90"/>
  <c r="BJ10" i="90"/>
  <c r="BJ11" i="90"/>
  <c r="BJ12" i="90"/>
  <c r="BJ13" i="90"/>
  <c r="BJ18" i="90"/>
  <c r="BJ15" i="90"/>
  <c r="BJ16" i="90"/>
  <c r="BJ17" i="90"/>
  <c r="BI8" i="90"/>
  <c r="BI9" i="90"/>
  <c r="BI10" i="90"/>
  <c r="BI11" i="90"/>
  <c r="BI12" i="90"/>
  <c r="BI13" i="90"/>
  <c r="BI14" i="90"/>
  <c r="BI18" i="90"/>
  <c r="BI15" i="90"/>
  <c r="BI16" i="90"/>
  <c r="BI17" i="90"/>
  <c r="BH8" i="90"/>
  <c r="BH9" i="90"/>
  <c r="BH10" i="90"/>
  <c r="BH11" i="90"/>
  <c r="BH12" i="90"/>
  <c r="BH13" i="90"/>
  <c r="BH14" i="90"/>
  <c r="BH18" i="90"/>
  <c r="BH15" i="90"/>
  <c r="BH16" i="90"/>
  <c r="BH17" i="90"/>
  <c r="BG8" i="90"/>
  <c r="BG9" i="90"/>
  <c r="BG10" i="90"/>
  <c r="BG11" i="90"/>
  <c r="BG12" i="90"/>
  <c r="BG13" i="90"/>
  <c r="BG14" i="90"/>
  <c r="BG18" i="90"/>
  <c r="BG15" i="90"/>
  <c r="BG16" i="90"/>
  <c r="BG17" i="90"/>
  <c r="BF8" i="90"/>
  <c r="BF9" i="90"/>
  <c r="BF10" i="90"/>
  <c r="BF11" i="90"/>
  <c r="BF12" i="90"/>
  <c r="BF13" i="90"/>
  <c r="BF14" i="90"/>
  <c r="BF18" i="90"/>
  <c r="BF15" i="90"/>
  <c r="BF16" i="90"/>
  <c r="BF17" i="90"/>
  <c r="AV8" i="90"/>
  <c r="BB8" i="90" s="1"/>
  <c r="AV9" i="90"/>
  <c r="BB9" i="90" s="1"/>
  <c r="AV10" i="90"/>
  <c r="BB10" i="90" s="1"/>
  <c r="AV11" i="90"/>
  <c r="BB11" i="90" s="1"/>
  <c r="AV12" i="90"/>
  <c r="BB12" i="90" s="1"/>
  <c r="AV13" i="90"/>
  <c r="BB13" i="90" s="1"/>
  <c r="AV14" i="90"/>
  <c r="BB14" i="90" s="1"/>
  <c r="AV18" i="90"/>
  <c r="BB18" i="90" s="1"/>
  <c r="AV15" i="90"/>
  <c r="BB15" i="90" s="1"/>
  <c r="AV16" i="90"/>
  <c r="BB16" i="90" s="1"/>
  <c r="AV17" i="90"/>
  <c r="BB17" i="90" s="1"/>
  <c r="W8" i="90"/>
  <c r="AC8" i="90" s="1"/>
  <c r="W9" i="90"/>
  <c r="AC9" i="90" s="1"/>
  <c r="W10" i="90"/>
  <c r="AC10" i="90" s="1"/>
  <c r="W11" i="90"/>
  <c r="AC11" i="90" s="1"/>
  <c r="W12" i="90"/>
  <c r="AC12" i="90" s="1"/>
  <c r="W13" i="90"/>
  <c r="AC13" i="90" s="1"/>
  <c r="W14" i="90"/>
  <c r="AC14" i="90" s="1"/>
  <c r="W18" i="90"/>
  <c r="AC18" i="90" s="1"/>
  <c r="W15" i="90"/>
  <c r="AC15" i="90" s="1"/>
  <c r="W16" i="90"/>
  <c r="AC16" i="90" s="1"/>
  <c r="W17" i="90"/>
  <c r="AC17" i="90" s="1"/>
  <c r="F16" i="75"/>
  <c r="BD12" i="90"/>
  <c r="G16" i="75" s="1"/>
  <c r="E15" i="93"/>
  <c r="F15" i="93"/>
  <c r="G15" i="93"/>
  <c r="H15" i="93"/>
  <c r="I15" i="93"/>
  <c r="J15" i="93"/>
  <c r="K15" i="93"/>
  <c r="L15" i="93"/>
  <c r="M15" i="93"/>
  <c r="N15" i="93"/>
  <c r="O15" i="93"/>
  <c r="P15" i="93"/>
  <c r="Q15" i="93"/>
  <c r="R15" i="93"/>
  <c r="S15" i="93"/>
  <c r="V15" i="93"/>
  <c r="W15" i="93"/>
  <c r="X15" i="93"/>
  <c r="Y15" i="93"/>
  <c r="Z15" i="93"/>
  <c r="BK14" i="90" l="1"/>
  <c r="BL14" i="90" s="1"/>
  <c r="E22" i="80"/>
  <c r="H22" i="80" s="1"/>
  <c r="G22" i="80"/>
  <c r="F22" i="80"/>
  <c r="E20" i="80"/>
  <c r="H20" i="80" s="1"/>
  <c r="G20" i="80"/>
  <c r="F20" i="80"/>
  <c r="E18" i="80"/>
  <c r="H18" i="80" s="1"/>
  <c r="G18" i="80"/>
  <c r="F18" i="80"/>
  <c r="E16" i="80"/>
  <c r="H16" i="80" s="1"/>
  <c r="F16" i="80"/>
  <c r="G16" i="80"/>
  <c r="E21" i="80"/>
  <c r="H21" i="80" s="1"/>
  <c r="F21" i="80"/>
  <c r="G21" i="80"/>
  <c r="E19" i="80"/>
  <c r="H19" i="80" s="1"/>
  <c r="G19" i="80"/>
  <c r="F19" i="80"/>
  <c r="E17" i="80"/>
  <c r="H17" i="80" s="1"/>
  <c r="G17" i="80"/>
  <c r="F17" i="80"/>
  <c r="E21" i="74"/>
  <c r="H21" i="74"/>
  <c r="F21" i="74"/>
  <c r="G21" i="74"/>
  <c r="E22" i="74"/>
  <c r="G22" i="74"/>
  <c r="H22" i="74"/>
  <c r="F22" i="74"/>
  <c r="E20" i="74"/>
  <c r="H20" i="74"/>
  <c r="F20" i="74"/>
  <c r="G20" i="74"/>
  <c r="E18" i="74"/>
  <c r="F18" i="74"/>
  <c r="G18" i="74"/>
  <c r="H18" i="74"/>
  <c r="E16" i="74"/>
  <c r="G16" i="74"/>
  <c r="H16" i="74"/>
  <c r="F16" i="74"/>
  <c r="E17" i="74"/>
  <c r="G17" i="74"/>
  <c r="H17" i="74"/>
  <c r="F17" i="74"/>
  <c r="E19" i="74"/>
  <c r="H19" i="74"/>
  <c r="F19" i="74"/>
  <c r="G19" i="74"/>
  <c r="AA15" i="93"/>
  <c r="E22" i="81"/>
  <c r="E21" i="81"/>
  <c r="G21" i="81" s="1"/>
  <c r="E20" i="81"/>
  <c r="E19" i="81"/>
  <c r="E18" i="81"/>
  <c r="E17" i="81"/>
  <c r="E16" i="81"/>
  <c r="E22" i="77"/>
  <c r="I22" i="77" s="1"/>
  <c r="L22" i="77" s="1"/>
  <c r="E21" i="77"/>
  <c r="E20" i="77"/>
  <c r="E19" i="77"/>
  <c r="E18" i="77"/>
  <c r="E17" i="77"/>
  <c r="E16" i="77"/>
  <c r="E22" i="55"/>
  <c r="E20" i="55"/>
  <c r="E17" i="55"/>
  <c r="H18" i="56"/>
  <c r="F36" i="66"/>
  <c r="E34" i="66"/>
  <c r="F34" i="66"/>
  <c r="E32" i="66"/>
  <c r="F32" i="66"/>
  <c r="E30" i="66"/>
  <c r="F30" i="66"/>
  <c r="F19" i="81"/>
  <c r="F18" i="81"/>
  <c r="F17" i="81"/>
  <c r="F16" i="81"/>
  <c r="H21" i="56"/>
  <c r="H17" i="56"/>
  <c r="H20" i="56"/>
  <c r="I16" i="56"/>
  <c r="H16" i="56"/>
  <c r="E36" i="66"/>
  <c r="E41" i="69"/>
  <c r="E40" i="69"/>
  <c r="E39" i="69"/>
  <c r="E38" i="69"/>
  <c r="E37" i="69"/>
  <c r="E36" i="69"/>
  <c r="E35" i="69"/>
  <c r="F22" i="71"/>
  <c r="G22" i="71"/>
  <c r="H22" i="71"/>
  <c r="H21" i="71"/>
  <c r="G21" i="71"/>
  <c r="F21" i="71"/>
  <c r="H20" i="71"/>
  <c r="G20" i="71"/>
  <c r="F20" i="71"/>
  <c r="G19" i="71"/>
  <c r="F19" i="71"/>
  <c r="H19" i="71"/>
  <c r="G18" i="71"/>
  <c r="H18" i="71"/>
  <c r="F18" i="71"/>
  <c r="H17" i="71"/>
  <c r="G17" i="71"/>
  <c r="F17" i="71"/>
  <c r="H16" i="71"/>
  <c r="G16" i="71"/>
  <c r="F16" i="71"/>
  <c r="E21" i="55"/>
  <c r="E19" i="55"/>
  <c r="E18" i="55"/>
  <c r="E16" i="55"/>
  <c r="E35" i="66"/>
  <c r="F35" i="66"/>
  <c r="E33" i="66"/>
  <c r="F33" i="66"/>
  <c r="E31" i="66"/>
  <c r="F31" i="66"/>
  <c r="F22" i="81"/>
  <c r="F20" i="81"/>
  <c r="H19" i="56"/>
  <c r="H22" i="56"/>
  <c r="F22" i="64"/>
  <c r="F21" i="64"/>
  <c r="F20" i="64"/>
  <c r="F19" i="64"/>
  <c r="F18" i="64"/>
  <c r="F17" i="64"/>
  <c r="F16" i="64"/>
  <c r="E22" i="65"/>
  <c r="F22" i="65" s="1"/>
  <c r="G22" i="65" s="1"/>
  <c r="E21" i="65"/>
  <c r="E20" i="65"/>
  <c r="E19" i="65"/>
  <c r="E18" i="65"/>
  <c r="E17" i="65"/>
  <c r="E16" i="65"/>
  <c r="BK17" i="90"/>
  <c r="BL17" i="90" s="1"/>
  <c r="BK10" i="90"/>
  <c r="BL10" i="90" s="1"/>
  <c r="BK16" i="90"/>
  <c r="BL16" i="90" s="1"/>
  <c r="BK9" i="90"/>
  <c r="BL9" i="90" s="1"/>
  <c r="BK12" i="90"/>
  <c r="BN12" i="90" s="1"/>
  <c r="I16" i="75" s="1"/>
  <c r="T16" i="75" s="1"/>
  <c r="BK18" i="90"/>
  <c r="BL18" i="90" s="1"/>
  <c r="BK11" i="90"/>
  <c r="BL11" i="90" s="1"/>
  <c r="BK13" i="90"/>
  <c r="BL13" i="90" s="1"/>
  <c r="BK15" i="90"/>
  <c r="BL15" i="90" s="1"/>
  <c r="BK8" i="90"/>
  <c r="BL8" i="90" s="1"/>
  <c r="U15" i="93"/>
  <c r="BE12" i="90"/>
  <c r="BM12" i="90"/>
  <c r="H16" i="75" s="1"/>
  <c r="G18" i="81" l="1"/>
  <c r="G19" i="81"/>
  <c r="G20" i="81"/>
  <c r="G22" i="81"/>
  <c r="G16" i="81"/>
  <c r="G17" i="81"/>
  <c r="F16" i="77"/>
  <c r="E16" i="158"/>
  <c r="F16" i="158" s="1"/>
  <c r="G16" i="158" s="1"/>
  <c r="J16" i="75"/>
  <c r="K16" i="75"/>
  <c r="L16" i="75"/>
  <c r="M16" i="75"/>
  <c r="I20" i="74"/>
  <c r="J20" i="74" s="1"/>
  <c r="I18" i="74"/>
  <c r="J18" i="74" s="1"/>
  <c r="I18" i="81"/>
  <c r="I22" i="81"/>
  <c r="S16" i="75"/>
  <c r="E16" i="78"/>
  <c r="K16" i="78" s="1"/>
  <c r="I19" i="81"/>
  <c r="Q16" i="75"/>
  <c r="E16" i="72"/>
  <c r="E16" i="76"/>
  <c r="I16" i="81"/>
  <c r="I20" i="81"/>
  <c r="I17" i="81"/>
  <c r="I21" i="81"/>
  <c r="E16" i="60"/>
  <c r="F16" i="56"/>
  <c r="H16" i="73"/>
  <c r="J16" i="73" s="1"/>
  <c r="K16" i="73" s="1"/>
  <c r="E16" i="82"/>
  <c r="E16" i="59"/>
  <c r="K19" i="71"/>
  <c r="K21" i="71"/>
  <c r="BL12" i="90"/>
  <c r="BO12" i="90" s="1"/>
  <c r="G16" i="56" s="1"/>
  <c r="E17" i="141"/>
  <c r="F17" i="141" s="1"/>
  <c r="E16" i="57"/>
  <c r="K22" i="71"/>
  <c r="E17" i="140"/>
  <c r="F17" i="140" s="1"/>
  <c r="E16" i="64"/>
  <c r="I16" i="64" s="1"/>
  <c r="E16" i="61"/>
  <c r="F16" i="55"/>
  <c r="K20" i="71"/>
  <c r="F35" i="69"/>
  <c r="E16" i="54"/>
  <c r="E16" i="58"/>
  <c r="G16" i="64" l="1"/>
  <c r="H16" i="64" s="1"/>
  <c r="T8" i="75"/>
  <c r="T7" i="75"/>
  <c r="T5" i="75"/>
  <c r="R16" i="75" s="1"/>
  <c r="G5" i="72"/>
  <c r="I5" i="71"/>
  <c r="E7" i="60"/>
  <c r="CP46" i="146"/>
  <c r="F5" i="70" s="1"/>
  <c r="DJ44" i="146"/>
  <c r="I4" i="71" s="1"/>
  <c r="BU14" i="146"/>
  <c r="G6" i="80" s="1"/>
  <c r="BT14" i="146"/>
  <c r="G5" i="80" s="1"/>
  <c r="I21" i="80" l="1"/>
  <c r="I20" i="80"/>
  <c r="I19" i="80"/>
  <c r="I18" i="80"/>
  <c r="I17" i="80"/>
  <c r="I16" i="80"/>
  <c r="I22" i="80"/>
  <c r="J20" i="80"/>
  <c r="J19" i="80"/>
  <c r="J18" i="80"/>
  <c r="J17" i="80"/>
  <c r="J16" i="80"/>
  <c r="J22" i="80"/>
  <c r="J21" i="80"/>
  <c r="G34" i="66"/>
  <c r="G36" i="66"/>
  <c r="G35" i="66" l="1"/>
  <c r="H35" i="66" s="1"/>
  <c r="G33" i="66"/>
  <c r="G32" i="66"/>
  <c r="G31" i="66"/>
  <c r="G30" i="66"/>
  <c r="N49" i="100"/>
  <c r="O49" i="100" s="1"/>
  <c r="N50" i="100"/>
  <c r="O50" i="100" s="1"/>
  <c r="N51" i="100"/>
  <c r="O51" i="100" s="1"/>
  <c r="N52" i="100"/>
  <c r="O52" i="100" s="1"/>
  <c r="N53" i="100"/>
  <c r="O53" i="100" s="1"/>
  <c r="N48" i="100"/>
  <c r="O48" i="100" s="1"/>
  <c r="I16" i="100" l="1"/>
  <c r="C6" i="99" s="1"/>
  <c r="C6" i="124" s="1"/>
  <c r="D5" i="83"/>
  <c r="G4" i="72"/>
  <c r="G6" i="72" s="1"/>
  <c r="F16" i="72" l="1"/>
  <c r="F5" i="68"/>
  <c r="F6" i="70" l="1"/>
  <c r="F22" i="70" s="1"/>
  <c r="G22" i="70" s="1"/>
  <c r="J36" i="66" l="1"/>
  <c r="L36" i="66" s="1"/>
  <c r="E8" i="60"/>
  <c r="V9" i="144"/>
  <c r="U7" i="144"/>
  <c r="J17" i="144"/>
  <c r="I17" i="144"/>
  <c r="N17" i="144"/>
  <c r="M17" i="144"/>
  <c r="O41" i="144"/>
  <c r="J31" i="144"/>
  <c r="B9" i="144" s="1"/>
  <c r="C9" i="144" s="1"/>
  <c r="B23" i="144"/>
  <c r="I23" i="144"/>
  <c r="B6" i="144" s="1"/>
  <c r="C6" i="144" s="1"/>
  <c r="Y16" i="144"/>
  <c r="AF7" i="110" s="1"/>
  <c r="Y15" i="144"/>
  <c r="AF6" i="110" s="1"/>
  <c r="X9" i="144"/>
  <c r="W9" i="144"/>
  <c r="U8" i="144"/>
  <c r="B7" i="144"/>
  <c r="C7" i="144" s="1"/>
  <c r="U29" i="144" l="1"/>
  <c r="AB8" i="110"/>
  <c r="AL8" i="110" s="1"/>
  <c r="U9" i="144"/>
  <c r="Y9" i="144" s="1"/>
  <c r="B8" i="144" s="1"/>
  <c r="C8" i="144" s="1"/>
  <c r="I18" i="144"/>
  <c r="N18" i="144"/>
  <c r="B5" i="144" s="1"/>
  <c r="C5" i="144" s="1"/>
  <c r="B21" i="83"/>
  <c r="B20" i="83"/>
  <c r="B19" i="83"/>
  <c r="A21" i="83"/>
  <c r="A20" i="83"/>
  <c r="A19" i="83"/>
  <c r="C10" i="144" l="1"/>
  <c r="B25" i="144" s="1"/>
  <c r="AB7" i="110" s="1"/>
  <c r="AB20" i="110" s="1"/>
  <c r="AB12" i="110" l="1"/>
  <c r="AB14" i="110"/>
  <c r="AB18" i="110"/>
  <c r="AB17" i="110"/>
  <c r="AB19" i="110"/>
  <c r="AB15" i="110"/>
  <c r="AB13" i="110"/>
  <c r="AB11" i="110"/>
  <c r="AB16" i="110"/>
  <c r="AB21" i="110"/>
  <c r="R113" i="126" l="1"/>
  <c r="B12" i="108" l="1"/>
  <c r="B13" i="108"/>
  <c r="B14" i="108"/>
  <c r="B15" i="108"/>
  <c r="B16" i="108"/>
  <c r="B17" i="108"/>
  <c r="B18" i="108"/>
  <c r="B19" i="108"/>
  <c r="B20" i="108"/>
  <c r="B21" i="108"/>
  <c r="A12" i="108"/>
  <c r="A13" i="108"/>
  <c r="A14" i="108"/>
  <c r="A15" i="108"/>
  <c r="A16" i="108"/>
  <c r="A17" i="108"/>
  <c r="A18" i="108"/>
  <c r="A19" i="108"/>
  <c r="A20" i="108"/>
  <c r="A21" i="108"/>
  <c r="A19" i="101" l="1"/>
  <c r="AX19" i="101" s="1"/>
  <c r="B19" i="101"/>
  <c r="BQ7" i="93"/>
  <c r="BQ8" i="93"/>
  <c r="BQ9" i="93"/>
  <c r="BQ10" i="93"/>
  <c r="BQ11" i="93"/>
  <c r="BQ12" i="93"/>
  <c r="BQ13" i="93"/>
  <c r="BQ14" i="93"/>
  <c r="BQ15" i="93"/>
  <c r="C19" i="110" s="1"/>
  <c r="BQ16" i="93"/>
  <c r="BQ17" i="93"/>
  <c r="BS7" i="93"/>
  <c r="BS8" i="93"/>
  <c r="BS9" i="93"/>
  <c r="BS10" i="93"/>
  <c r="BS11" i="93"/>
  <c r="BS12" i="93"/>
  <c r="BS13" i="93"/>
  <c r="BS14" i="93"/>
  <c r="BS15" i="93"/>
  <c r="E19" i="110" s="1"/>
  <c r="BS16" i="93"/>
  <c r="BS17" i="93"/>
  <c r="D12" i="110"/>
  <c r="F12" i="110"/>
  <c r="D13" i="110"/>
  <c r="F13" i="110"/>
  <c r="D14" i="110"/>
  <c r="F14" i="110"/>
  <c r="D15" i="110"/>
  <c r="F15" i="110"/>
  <c r="D16" i="110"/>
  <c r="F16" i="110"/>
  <c r="D17" i="110"/>
  <c r="F17" i="110"/>
  <c r="D18" i="110"/>
  <c r="F18" i="110"/>
  <c r="D19" i="110"/>
  <c r="F19" i="110"/>
  <c r="I19" i="110"/>
  <c r="K19" i="110"/>
  <c r="D20" i="110"/>
  <c r="F20" i="110"/>
  <c r="D21" i="110"/>
  <c r="F21" i="110"/>
  <c r="B12" i="110"/>
  <c r="B13" i="110"/>
  <c r="B14" i="110"/>
  <c r="B15" i="110"/>
  <c r="B16" i="110"/>
  <c r="B17" i="110"/>
  <c r="B18" i="110"/>
  <c r="B19" i="110"/>
  <c r="B20" i="110"/>
  <c r="B21" i="110"/>
  <c r="A12" i="110"/>
  <c r="A13" i="110"/>
  <c r="A14" i="110"/>
  <c r="A15" i="110"/>
  <c r="A16" i="110"/>
  <c r="A17" i="110"/>
  <c r="A18" i="110"/>
  <c r="A19" i="110"/>
  <c r="A20" i="110"/>
  <c r="A21" i="110"/>
  <c r="AB15" i="93"/>
  <c r="H19" i="110" s="1"/>
  <c r="AC15" i="93"/>
  <c r="J19" i="110" s="1"/>
  <c r="AD15" i="93"/>
  <c r="AE15" i="93"/>
  <c r="AF15" i="93"/>
  <c r="AG15" i="93"/>
  <c r="AH15" i="93"/>
  <c r="AI15" i="93"/>
  <c r="AJ15" i="93"/>
  <c r="AK15" i="93"/>
  <c r="AL15" i="93"/>
  <c r="AM15" i="93"/>
  <c r="AN15" i="93"/>
  <c r="AO15" i="93"/>
  <c r="AP15" i="93"/>
  <c r="AQ15" i="93"/>
  <c r="AR15" i="93"/>
  <c r="AS15" i="93"/>
  <c r="AT15" i="93"/>
  <c r="AU15" i="93"/>
  <c r="AV15" i="93"/>
  <c r="AW15" i="93"/>
  <c r="AX15" i="93"/>
  <c r="BA15" i="93"/>
  <c r="BF15" i="93"/>
  <c r="W15" i="110" l="1"/>
  <c r="W19" i="101"/>
  <c r="AS19" i="101"/>
  <c r="AT19" i="101"/>
  <c r="L19" i="110"/>
  <c r="AQ19" i="110" s="1"/>
  <c r="W19" i="110"/>
  <c r="AD19" i="110" s="1"/>
  <c r="B67" i="126" l="1"/>
  <c r="E53" i="126" l="1"/>
  <c r="E54" i="126"/>
  <c r="M12" i="124" l="1"/>
  <c r="F13" i="99"/>
  <c r="L13" i="99" s="1"/>
  <c r="F14" i="99"/>
  <c r="L14" i="99" s="1"/>
  <c r="F15" i="99"/>
  <c r="L15" i="99" s="1"/>
  <c r="F16" i="99"/>
  <c r="L16" i="99" s="1"/>
  <c r="F17" i="99"/>
  <c r="L17" i="99" s="1"/>
  <c r="F18" i="99"/>
  <c r="L18" i="99" s="1"/>
  <c r="F19" i="99"/>
  <c r="L19" i="99" s="1"/>
  <c r="R124" i="126"/>
  <c r="R115" i="126"/>
  <c r="R126" i="126"/>
  <c r="F12" i="124"/>
  <c r="L12" i="124" s="1"/>
  <c r="F13" i="124"/>
  <c r="L13" i="124" s="1"/>
  <c r="F14" i="124"/>
  <c r="L14" i="124" s="1"/>
  <c r="F15" i="124"/>
  <c r="L15" i="124" s="1"/>
  <c r="F16" i="124"/>
  <c r="L16" i="124" s="1"/>
  <c r="F17" i="124"/>
  <c r="L17" i="124" s="1"/>
  <c r="F18" i="124"/>
  <c r="L18" i="124" s="1"/>
  <c r="F19" i="124"/>
  <c r="L19" i="124" s="1"/>
  <c r="F20" i="124"/>
  <c r="L20" i="124" s="1"/>
  <c r="F21" i="124"/>
  <c r="L21" i="124" s="1"/>
  <c r="F22" i="124"/>
  <c r="L22" i="124" s="1"/>
  <c r="F23" i="124"/>
  <c r="L23" i="124" s="1"/>
  <c r="F24" i="124"/>
  <c r="L24" i="124" s="1"/>
  <c r="F25" i="124"/>
  <c r="L25" i="124" s="1"/>
  <c r="F26" i="124"/>
  <c r="L26" i="124" s="1"/>
  <c r="F27" i="124"/>
  <c r="L27" i="124" s="1"/>
  <c r="F28" i="124"/>
  <c r="L28" i="124" s="1"/>
  <c r="F29" i="124"/>
  <c r="L29" i="124" s="1"/>
  <c r="F30" i="124"/>
  <c r="L30" i="124" s="1"/>
  <c r="F31" i="124"/>
  <c r="L31" i="124" s="1"/>
  <c r="F32" i="124"/>
  <c r="L32" i="124" s="1"/>
  <c r="F33" i="124"/>
  <c r="L33" i="124" s="1"/>
  <c r="F34" i="124"/>
  <c r="L34" i="124" s="1"/>
  <c r="F35" i="124"/>
  <c r="L35" i="124" s="1"/>
  <c r="F36" i="124"/>
  <c r="L36" i="124" s="1"/>
  <c r="F37" i="124"/>
  <c r="L37" i="124" s="1"/>
  <c r="N12" i="99"/>
  <c r="F20" i="99"/>
  <c r="L20" i="99" s="1"/>
  <c r="F21" i="99"/>
  <c r="L21" i="99" s="1"/>
  <c r="F22" i="99"/>
  <c r="L22" i="99" s="1"/>
  <c r="F23" i="99"/>
  <c r="L23" i="99" s="1"/>
  <c r="F24" i="99"/>
  <c r="L24" i="99" s="1"/>
  <c r="F25" i="99"/>
  <c r="L25" i="99" s="1"/>
  <c r="F26" i="99"/>
  <c r="L26" i="99" s="1"/>
  <c r="F27" i="99"/>
  <c r="L27" i="99" s="1"/>
  <c r="F28" i="99"/>
  <c r="L28" i="99" s="1"/>
  <c r="F29" i="99"/>
  <c r="L29" i="99" s="1"/>
  <c r="F30" i="99"/>
  <c r="L30" i="99" s="1"/>
  <c r="F31" i="99"/>
  <c r="L31" i="99" s="1"/>
  <c r="F32" i="99"/>
  <c r="L32" i="99" s="1"/>
  <c r="F33" i="99"/>
  <c r="L33" i="99" s="1"/>
  <c r="F34" i="99"/>
  <c r="L34" i="99" s="1"/>
  <c r="F35" i="99"/>
  <c r="L35" i="99" s="1"/>
  <c r="F36" i="99"/>
  <c r="L36" i="99" s="1"/>
  <c r="F37" i="99"/>
  <c r="L37" i="99" s="1"/>
  <c r="F38" i="99"/>
  <c r="L38" i="99" s="1"/>
  <c r="F39" i="99"/>
  <c r="L39" i="99" s="1"/>
  <c r="F40" i="99"/>
  <c r="L40" i="99" s="1"/>
  <c r="F41" i="99"/>
  <c r="L41" i="99" s="1"/>
  <c r="N15" i="111"/>
  <c r="AY7" i="93"/>
  <c r="BY9" i="90"/>
  <c r="AY8" i="93" s="1"/>
  <c r="I12" i="110" s="1"/>
  <c r="BY11" i="90"/>
  <c r="AY9" i="93" s="1"/>
  <c r="I13" i="110" s="1"/>
  <c r="BY7" i="90"/>
  <c r="AY10" i="93" s="1"/>
  <c r="I14" i="110" s="1"/>
  <c r="AY11" i="93"/>
  <c r="I15" i="110" s="1"/>
  <c r="BY8" i="90"/>
  <c r="AY12" i="93" s="1"/>
  <c r="I16" i="110" s="1"/>
  <c r="AY13" i="93"/>
  <c r="I17" i="110" s="1"/>
  <c r="BY10" i="90"/>
  <c r="AY16" i="93" s="1"/>
  <c r="I20" i="110" s="1"/>
  <c r="AY17" i="93"/>
  <c r="I21" i="110" s="1"/>
  <c r="BZ9" i="90"/>
  <c r="BZ11" i="90"/>
  <c r="BZ7" i="90"/>
  <c r="BZ8" i="90"/>
  <c r="BZ10" i="90"/>
  <c r="AY14" i="93"/>
  <c r="I18" i="110" s="1"/>
  <c r="E8" i="93"/>
  <c r="T819" i="94"/>
  <c r="T755" i="94"/>
  <c r="F12" i="99" l="1"/>
  <c r="L12" i="99" s="1"/>
  <c r="BP7" i="93"/>
  <c r="R121" i="126"/>
  <c r="R119" i="126"/>
  <c r="R117" i="126"/>
  <c r="R128" i="126"/>
  <c r="C12" i="77"/>
  <c r="C13" i="77"/>
  <c r="C14" i="77"/>
  <c r="C15" i="77"/>
  <c r="E12" i="77" l="1"/>
  <c r="E15" i="77"/>
  <c r="E14" i="77"/>
  <c r="E13" i="77"/>
  <c r="D16" i="141"/>
  <c r="C16" i="141"/>
  <c r="B16" i="141"/>
  <c r="A16" i="141"/>
  <c r="D15" i="141"/>
  <c r="C15" i="141"/>
  <c r="B15" i="141"/>
  <c r="A15" i="141"/>
  <c r="D14" i="141"/>
  <c r="C14" i="141"/>
  <c r="B14" i="141"/>
  <c r="A14" i="141"/>
  <c r="D13" i="141"/>
  <c r="C13" i="141"/>
  <c r="B13" i="141"/>
  <c r="A13" i="141"/>
  <c r="D12" i="141"/>
  <c r="C12" i="141"/>
  <c r="B12" i="141"/>
  <c r="A12" i="141"/>
  <c r="D12" i="140"/>
  <c r="D13" i="140"/>
  <c r="D14" i="140"/>
  <c r="D15" i="140"/>
  <c r="D16" i="140"/>
  <c r="C12" i="140"/>
  <c r="C13" i="140"/>
  <c r="C14" i="140"/>
  <c r="C15" i="140"/>
  <c r="C16" i="140"/>
  <c r="B12" i="140"/>
  <c r="B13" i="140"/>
  <c r="B14" i="140"/>
  <c r="B15" i="140"/>
  <c r="B16" i="140"/>
  <c r="A12" i="140"/>
  <c r="A13" i="140"/>
  <c r="A14" i="140"/>
  <c r="A15" i="140"/>
  <c r="A16" i="140"/>
  <c r="AG31" i="101" l="1"/>
  <c r="F51" i="77"/>
  <c r="E13" i="126"/>
  <c r="E26" i="126"/>
  <c r="D7" i="122" l="1"/>
  <c r="AT9" i="94" l="1"/>
  <c r="AT10" i="94"/>
  <c r="AT11" i="94"/>
  <c r="AT12" i="94"/>
  <c r="AT13" i="94"/>
  <c r="AT14" i="94"/>
  <c r="AT15" i="94"/>
  <c r="AT16" i="94"/>
  <c r="AT17" i="94"/>
  <c r="AT18" i="94"/>
  <c r="AT19" i="94"/>
  <c r="AT20" i="94"/>
  <c r="AT21" i="94"/>
  <c r="AT22" i="94"/>
  <c r="AT23" i="94"/>
  <c r="AT24" i="94"/>
  <c r="AT25" i="94"/>
  <c r="AT26" i="94"/>
  <c r="AT27" i="94"/>
  <c r="AT28" i="94"/>
  <c r="AT29" i="94"/>
  <c r="AT30" i="94"/>
  <c r="AT31" i="94"/>
  <c r="AT32" i="94"/>
  <c r="AT33" i="94"/>
  <c r="AT34" i="94"/>
  <c r="AT35" i="94"/>
  <c r="AT36" i="94"/>
  <c r="AT37" i="94"/>
  <c r="AT38" i="94"/>
  <c r="AT39" i="94"/>
  <c r="AT40" i="94"/>
  <c r="AT41" i="94"/>
  <c r="AT42" i="94"/>
  <c r="AT43" i="94"/>
  <c r="AT44" i="94"/>
  <c r="AT45" i="94"/>
  <c r="AT46" i="94"/>
  <c r="AT47" i="94"/>
  <c r="AT48" i="94"/>
  <c r="AT49" i="94"/>
  <c r="AT50" i="94"/>
  <c r="AT51" i="94"/>
  <c r="AT52" i="94"/>
  <c r="AT53" i="94"/>
  <c r="B13" i="97"/>
  <c r="B14" i="97"/>
  <c r="B15" i="97"/>
  <c r="B16" i="97"/>
  <c r="B17" i="97"/>
  <c r="B18" i="97"/>
  <c r="B19" i="97"/>
  <c r="B20" i="97"/>
  <c r="B21" i="97"/>
  <c r="B22" i="97"/>
  <c r="B23" i="97"/>
  <c r="B24" i="97"/>
  <c r="B25" i="97"/>
  <c r="B26" i="97"/>
  <c r="B27" i="97"/>
  <c r="B28" i="97"/>
  <c r="B29" i="97"/>
  <c r="B30" i="97"/>
  <c r="B31" i="97"/>
  <c r="B32" i="97"/>
  <c r="B33" i="97"/>
  <c r="B34" i="97"/>
  <c r="B35" i="97"/>
  <c r="B36" i="97"/>
  <c r="B37" i="97"/>
  <c r="B38" i="97"/>
  <c r="B39" i="97"/>
  <c r="B40" i="97"/>
  <c r="B41" i="97"/>
  <c r="B42" i="97"/>
  <c r="B43" i="97"/>
  <c r="B44" i="97"/>
  <c r="B45" i="97"/>
  <c r="B46" i="97"/>
  <c r="B47" i="97"/>
  <c r="B48" i="97"/>
  <c r="B49" i="97"/>
  <c r="B50" i="97"/>
  <c r="B51" i="97"/>
  <c r="B52" i="97"/>
  <c r="B53" i="97"/>
  <c r="B54" i="97"/>
  <c r="B55" i="97"/>
  <c r="B56" i="97"/>
  <c r="B57" i="97"/>
  <c r="B58" i="97"/>
  <c r="F13" i="97"/>
  <c r="AR13" i="94" l="1"/>
  <c r="AR14" i="94"/>
  <c r="AR15" i="94"/>
  <c r="AR16" i="94"/>
  <c r="AR17" i="94"/>
  <c r="AR19" i="94"/>
  <c r="AR20" i="94"/>
  <c r="AR21" i="94"/>
  <c r="AR22" i="94"/>
  <c r="AR23" i="94"/>
  <c r="AR24" i="94"/>
  <c r="AR25" i="94"/>
  <c r="AR26" i="94"/>
  <c r="AR27" i="94"/>
  <c r="AR28" i="94"/>
  <c r="AR29" i="94"/>
  <c r="AR30" i="94"/>
  <c r="AR31" i="94"/>
  <c r="AR32" i="94"/>
  <c r="AR33" i="94"/>
  <c r="AR34" i="94"/>
  <c r="AR35" i="94"/>
  <c r="AR36" i="94"/>
  <c r="AR37" i="94"/>
  <c r="AR38" i="94"/>
  <c r="AR39" i="94"/>
  <c r="AR40" i="94"/>
  <c r="AR41" i="94"/>
  <c r="AR42" i="94"/>
  <c r="AR43" i="94"/>
  <c r="AR44" i="94"/>
  <c r="AR45" i="94"/>
  <c r="AR46" i="94"/>
  <c r="AR47" i="94"/>
  <c r="AR48" i="94"/>
  <c r="AR49" i="94"/>
  <c r="AR50" i="94"/>
  <c r="AR51" i="94"/>
  <c r="AR52" i="94"/>
  <c r="AR53" i="94"/>
  <c r="AR8" i="94"/>
  <c r="AR9" i="94"/>
  <c r="AR10" i="94"/>
  <c r="AR11" i="94"/>
  <c r="AR12" i="94"/>
  <c r="AM557" i="94"/>
  <c r="AL557" i="94"/>
  <c r="AK557" i="94"/>
  <c r="AJ557" i="94"/>
  <c r="AI557" i="94"/>
  <c r="AH557" i="94"/>
  <c r="AG557" i="94"/>
  <c r="AF557" i="94"/>
  <c r="AE557" i="94"/>
  <c r="AD557" i="94"/>
  <c r="AC557" i="94"/>
  <c r="AB557" i="94"/>
  <c r="AA557" i="94"/>
  <c r="Z557" i="94"/>
  <c r="Y557" i="94"/>
  <c r="X557" i="94"/>
  <c r="V557" i="94"/>
  <c r="U557" i="94"/>
  <c r="T557" i="94"/>
  <c r="S557" i="94"/>
  <c r="R557" i="94"/>
  <c r="Q557" i="94"/>
  <c r="P557" i="94"/>
  <c r="O557" i="94"/>
  <c r="N557" i="94"/>
  <c r="M557" i="94"/>
  <c r="L557" i="94"/>
  <c r="K557" i="94"/>
  <c r="J557" i="94"/>
  <c r="I557" i="94"/>
  <c r="H557" i="94"/>
  <c r="G557" i="94"/>
  <c r="BC556" i="94" a="1"/>
  <c r="BC556" i="94" s="1"/>
  <c r="BB556" i="94" a="1"/>
  <c r="BB556" i="94" s="1"/>
  <c r="BA556" i="94" a="1"/>
  <c r="BA556" i="94" s="1"/>
  <c r="AZ556" i="94" a="1"/>
  <c r="AZ556" i="94" s="1"/>
  <c r="AY556" i="94" a="1"/>
  <c r="AY556" i="94" s="1"/>
  <c r="AX556" i="94" a="1"/>
  <c r="AX556" i="94" s="1"/>
  <c r="AW556" i="94" a="1"/>
  <c r="AW556" i="94" s="1"/>
  <c r="AV556" i="94" a="1"/>
  <c r="AV556" i="94" s="1"/>
  <c r="AU556" i="94"/>
  <c r="AT556" i="94"/>
  <c r="AQ556" i="94"/>
  <c r="AN556" i="94"/>
  <c r="AO556" i="94" s="1"/>
  <c r="W556" i="94"/>
  <c r="BC555" i="94" a="1"/>
  <c r="BC555" i="94" s="1"/>
  <c r="BB555" i="94" a="1"/>
  <c r="BB555" i="94" s="1"/>
  <c r="BA555" i="94" a="1"/>
  <c r="BA555" i="94" s="1"/>
  <c r="AZ555" i="94" a="1"/>
  <c r="AZ555" i="94" s="1"/>
  <c r="AY555" i="94" a="1"/>
  <c r="AY555" i="94" s="1"/>
  <c r="AX555" i="94" a="1"/>
  <c r="AX555" i="94" s="1"/>
  <c r="AW555" i="94" a="1"/>
  <c r="AW555" i="94" s="1"/>
  <c r="AV555" i="94" a="1"/>
  <c r="AV555" i="94" s="1"/>
  <c r="AU555" i="94"/>
  <c r="AT555" i="94"/>
  <c r="AQ555" i="94"/>
  <c r="AN555" i="94"/>
  <c r="AO555" i="94" s="1"/>
  <c r="W555" i="94"/>
  <c r="BC554" i="94" a="1"/>
  <c r="BC554" i="94" s="1"/>
  <c r="BB554" i="94" a="1"/>
  <c r="BB554" i="94" s="1"/>
  <c r="BA554" i="94" a="1"/>
  <c r="BA554" i="94" s="1"/>
  <c r="AZ554" i="94" a="1"/>
  <c r="AZ554" i="94" s="1"/>
  <c r="AY554" i="94" a="1"/>
  <c r="AY554" i="94" s="1"/>
  <c r="AX554" i="94" a="1"/>
  <c r="AX554" i="94" s="1"/>
  <c r="AW554" i="94" a="1"/>
  <c r="AW554" i="94" s="1"/>
  <c r="AV554" i="94" a="1"/>
  <c r="AV554" i="94" s="1"/>
  <c r="AU554" i="94"/>
  <c r="AT554" i="94"/>
  <c r="AQ554" i="94"/>
  <c r="AN554" i="94"/>
  <c r="AO554" i="94" s="1"/>
  <c r="W554" i="94"/>
  <c r="BC553" i="94" a="1"/>
  <c r="BC553" i="94" s="1"/>
  <c r="BB553" i="94" a="1"/>
  <c r="BB553" i="94" s="1"/>
  <c r="BA553" i="94" a="1"/>
  <c r="BA553" i="94" s="1"/>
  <c r="AZ553" i="94" a="1"/>
  <c r="AZ553" i="94" s="1"/>
  <c r="AY553" i="94" a="1"/>
  <c r="AY553" i="94" s="1"/>
  <c r="AX553" i="94" a="1"/>
  <c r="AX553" i="94" s="1"/>
  <c r="AW553" i="94" a="1"/>
  <c r="AW553" i="94" s="1"/>
  <c r="AV553" i="94" a="1"/>
  <c r="AV553" i="94" s="1"/>
  <c r="AU553" i="94"/>
  <c r="AT553" i="94"/>
  <c r="AQ553" i="94"/>
  <c r="AN553" i="94"/>
  <c r="AO553" i="94" s="1"/>
  <c r="W553" i="94"/>
  <c r="BC552" i="94" a="1"/>
  <c r="BC552" i="94" s="1"/>
  <c r="BB552" i="94" a="1"/>
  <c r="BB552" i="94" s="1"/>
  <c r="BA552" i="94" a="1"/>
  <c r="BA552" i="94" s="1"/>
  <c r="AZ552" i="94" a="1"/>
  <c r="AZ552" i="94" s="1"/>
  <c r="AY552" i="94" a="1"/>
  <c r="AY552" i="94" s="1"/>
  <c r="AX552" i="94" a="1"/>
  <c r="AX552" i="94" s="1"/>
  <c r="AW552" i="94" a="1"/>
  <c r="AW552" i="94" s="1"/>
  <c r="AV552" i="94" a="1"/>
  <c r="AV552" i="94" s="1"/>
  <c r="AU552" i="94"/>
  <c r="AT552" i="94"/>
  <c r="AQ552" i="94"/>
  <c r="AN552" i="94"/>
  <c r="AO552" i="94" s="1"/>
  <c r="W552" i="94"/>
  <c r="BC551" i="94" a="1"/>
  <c r="BC551" i="94" s="1"/>
  <c r="BB551" i="94" a="1"/>
  <c r="BB551" i="94" s="1"/>
  <c r="BA551" i="94" a="1"/>
  <c r="BA551" i="94" s="1"/>
  <c r="AZ551" i="94" a="1"/>
  <c r="AZ551" i="94" s="1"/>
  <c r="AY551" i="94" a="1"/>
  <c r="AY551" i="94" s="1"/>
  <c r="AX551" i="94" a="1"/>
  <c r="AX551" i="94" s="1"/>
  <c r="AW551" i="94" a="1"/>
  <c r="AW551" i="94" s="1"/>
  <c r="AV551" i="94" a="1"/>
  <c r="AV551" i="94" s="1"/>
  <c r="AU551" i="94"/>
  <c r="AT551" i="94"/>
  <c r="AQ551" i="94"/>
  <c r="AN551" i="94"/>
  <c r="AO551" i="94" s="1"/>
  <c r="W551" i="94"/>
  <c r="BC550" i="94" a="1"/>
  <c r="BC550" i="94" s="1"/>
  <c r="BB550" i="94" a="1"/>
  <c r="BB550" i="94" s="1"/>
  <c r="BA550" i="94" a="1"/>
  <c r="BA550" i="94" s="1"/>
  <c r="AZ550" i="94" a="1"/>
  <c r="AZ550" i="94" s="1"/>
  <c r="AY550" i="94" a="1"/>
  <c r="AY550" i="94" s="1"/>
  <c r="AX550" i="94" a="1"/>
  <c r="AX550" i="94" s="1"/>
  <c r="AW550" i="94" a="1"/>
  <c r="AW550" i="94" s="1"/>
  <c r="AV550" i="94" a="1"/>
  <c r="AV550" i="94" s="1"/>
  <c r="AU550" i="94"/>
  <c r="AT550" i="94"/>
  <c r="AQ550" i="94"/>
  <c r="AN550" i="94"/>
  <c r="AO550" i="94" s="1"/>
  <c r="W550" i="94"/>
  <c r="BC549" i="94" a="1"/>
  <c r="BC549" i="94" s="1"/>
  <c r="BB549" i="94" a="1"/>
  <c r="BB549" i="94" s="1"/>
  <c r="BA549" i="94" a="1"/>
  <c r="BA549" i="94" s="1"/>
  <c r="AZ549" i="94" a="1"/>
  <c r="AZ549" i="94" s="1"/>
  <c r="AY549" i="94" a="1"/>
  <c r="AY549" i="94" s="1"/>
  <c r="AX549" i="94" a="1"/>
  <c r="AX549" i="94" s="1"/>
  <c r="AW549" i="94" a="1"/>
  <c r="AW549" i="94" s="1"/>
  <c r="AV549" i="94" a="1"/>
  <c r="AV549" i="94" s="1"/>
  <c r="AU549" i="94"/>
  <c r="AT549" i="94"/>
  <c r="AQ549" i="94"/>
  <c r="AN549" i="94"/>
  <c r="AO549" i="94" s="1"/>
  <c r="W549" i="94"/>
  <c r="BC548" i="94" a="1"/>
  <c r="BC548" i="94" s="1"/>
  <c r="BB548" i="94" a="1"/>
  <c r="BB548" i="94" s="1"/>
  <c r="BA548" i="94" a="1"/>
  <c r="BA548" i="94" s="1"/>
  <c r="AZ548" i="94" a="1"/>
  <c r="AZ548" i="94" s="1"/>
  <c r="AY548" i="94" a="1"/>
  <c r="AY548" i="94" s="1"/>
  <c r="AX548" i="94" a="1"/>
  <c r="AX548" i="94" s="1"/>
  <c r="AW548" i="94" a="1"/>
  <c r="AW548" i="94" s="1"/>
  <c r="AV548" i="94" a="1"/>
  <c r="AV548" i="94" s="1"/>
  <c r="AU548" i="94"/>
  <c r="AT548" i="94"/>
  <c r="AQ548" i="94"/>
  <c r="AN548" i="94"/>
  <c r="W548" i="94"/>
  <c r="BC547" i="94" a="1"/>
  <c r="BC547" i="94" s="1"/>
  <c r="BB547" i="94" a="1"/>
  <c r="BB547" i="94" s="1"/>
  <c r="BA547" i="94" a="1"/>
  <c r="BA547" i="94" s="1"/>
  <c r="AZ547" i="94" a="1"/>
  <c r="AZ547" i="94" s="1"/>
  <c r="AY547" i="94" a="1"/>
  <c r="AY547" i="94" s="1"/>
  <c r="AX547" i="94" a="1"/>
  <c r="AX547" i="94" s="1"/>
  <c r="AW547" i="94" a="1"/>
  <c r="AW547" i="94" s="1"/>
  <c r="AV547" i="94" a="1"/>
  <c r="AV547" i="94" s="1"/>
  <c r="AU547" i="94"/>
  <c r="AT547" i="94"/>
  <c r="AQ547" i="94"/>
  <c r="AN547" i="94"/>
  <c r="W547" i="94"/>
  <c r="BC546" i="94" a="1"/>
  <c r="BC546" i="94" s="1"/>
  <c r="BB546" i="94" a="1"/>
  <c r="BB546" i="94" s="1"/>
  <c r="BA546" i="94" a="1"/>
  <c r="BA546" i="94" s="1"/>
  <c r="AZ546" i="94" a="1"/>
  <c r="AZ546" i="94" s="1"/>
  <c r="AY546" i="94" a="1"/>
  <c r="AY546" i="94" s="1"/>
  <c r="AX546" i="94" a="1"/>
  <c r="AX546" i="94" s="1"/>
  <c r="AW546" i="94" a="1"/>
  <c r="AW546" i="94" s="1"/>
  <c r="AV546" i="94" a="1"/>
  <c r="AV546" i="94" s="1"/>
  <c r="AU546" i="94"/>
  <c r="AT546" i="94"/>
  <c r="AQ546" i="94"/>
  <c r="AN546" i="94"/>
  <c r="W546" i="94"/>
  <c r="BC545" i="94" a="1"/>
  <c r="BC545" i="94" s="1"/>
  <c r="BB545" i="94" a="1"/>
  <c r="BB545" i="94" s="1"/>
  <c r="BA545" i="94" a="1"/>
  <c r="BA545" i="94" s="1"/>
  <c r="AZ545" i="94" a="1"/>
  <c r="AZ545" i="94" s="1"/>
  <c r="AY545" i="94" a="1"/>
  <c r="AY545" i="94" s="1"/>
  <c r="AX545" i="94" a="1"/>
  <c r="AX545" i="94" s="1"/>
  <c r="AW545" i="94" a="1"/>
  <c r="AW545" i="94" s="1"/>
  <c r="AV545" i="94" a="1"/>
  <c r="AV545" i="94" s="1"/>
  <c r="AU545" i="94"/>
  <c r="AT545" i="94"/>
  <c r="AQ545" i="94"/>
  <c r="AN545" i="94"/>
  <c r="W545" i="94"/>
  <c r="BC544" i="94" a="1"/>
  <c r="BC544" i="94" s="1"/>
  <c r="BB544" i="94" a="1"/>
  <c r="BB544" i="94" s="1"/>
  <c r="BA544" i="94" a="1"/>
  <c r="BA544" i="94" s="1"/>
  <c r="AZ544" i="94" a="1"/>
  <c r="AZ544" i="94" s="1"/>
  <c r="AY544" i="94" a="1"/>
  <c r="AY544" i="94" s="1"/>
  <c r="AX544" i="94" a="1"/>
  <c r="AX544" i="94" s="1"/>
  <c r="AW544" i="94" a="1"/>
  <c r="AW544" i="94" s="1"/>
  <c r="AV544" i="94" a="1"/>
  <c r="AV544" i="94" s="1"/>
  <c r="AU544" i="94"/>
  <c r="AT544" i="94"/>
  <c r="AQ544" i="94"/>
  <c r="AN544" i="94"/>
  <c r="W544" i="94"/>
  <c r="BC543" i="94" a="1"/>
  <c r="BC543" i="94" s="1"/>
  <c r="BB543" i="94" a="1"/>
  <c r="BB543" i="94" s="1"/>
  <c r="BA543" i="94" a="1"/>
  <c r="BA543" i="94" s="1"/>
  <c r="AZ543" i="94" a="1"/>
  <c r="AZ543" i="94" s="1"/>
  <c r="AY543" i="94" a="1"/>
  <c r="AY543" i="94" s="1"/>
  <c r="AX543" i="94" a="1"/>
  <c r="AX543" i="94" s="1"/>
  <c r="AW543" i="94" a="1"/>
  <c r="AW543" i="94" s="1"/>
  <c r="AV543" i="94" a="1"/>
  <c r="AV543" i="94" s="1"/>
  <c r="AU543" i="94"/>
  <c r="AT543" i="94"/>
  <c r="AQ543" i="94"/>
  <c r="AN543" i="94"/>
  <c r="W543" i="94"/>
  <c r="BC542" i="94" a="1"/>
  <c r="BC542" i="94" s="1"/>
  <c r="BB542" i="94" a="1"/>
  <c r="BB542" i="94" s="1"/>
  <c r="BA542" i="94" a="1"/>
  <c r="BA542" i="94" s="1"/>
  <c r="AZ542" i="94" a="1"/>
  <c r="AZ542" i="94" s="1"/>
  <c r="AY542" i="94" a="1"/>
  <c r="AY542" i="94" s="1"/>
  <c r="AX542" i="94" a="1"/>
  <c r="AX542" i="94" s="1"/>
  <c r="AW542" i="94" a="1"/>
  <c r="AW542" i="94" s="1"/>
  <c r="AV542" i="94" a="1"/>
  <c r="AV542" i="94" s="1"/>
  <c r="AU542" i="94"/>
  <c r="AT542" i="94"/>
  <c r="AQ542" i="94"/>
  <c r="AN542" i="94"/>
  <c r="W542" i="94"/>
  <c r="BC541" i="94" a="1"/>
  <c r="BC541" i="94" s="1"/>
  <c r="BB541" i="94" a="1"/>
  <c r="BB541" i="94" s="1"/>
  <c r="BA541" i="94" a="1"/>
  <c r="BA541" i="94" s="1"/>
  <c r="AZ541" i="94" a="1"/>
  <c r="AZ541" i="94" s="1"/>
  <c r="AY541" i="94" a="1"/>
  <c r="AY541" i="94" s="1"/>
  <c r="AX541" i="94" a="1"/>
  <c r="AX541" i="94" s="1"/>
  <c r="AW541" i="94" a="1"/>
  <c r="AW541" i="94" s="1"/>
  <c r="AV541" i="94" a="1"/>
  <c r="AV541" i="94" s="1"/>
  <c r="AU541" i="94"/>
  <c r="AT541" i="94"/>
  <c r="AQ541" i="94"/>
  <c r="AN541" i="94"/>
  <c r="W541" i="94"/>
  <c r="BC540" i="94" a="1"/>
  <c r="BC540" i="94" s="1"/>
  <c r="BB540" i="94" a="1"/>
  <c r="BB540" i="94" s="1"/>
  <c r="BA540" i="94" a="1"/>
  <c r="BA540" i="94" s="1"/>
  <c r="AZ540" i="94" a="1"/>
  <c r="AZ540" i="94" s="1"/>
  <c r="AY540" i="94" a="1"/>
  <c r="AY540" i="94" s="1"/>
  <c r="AX540" i="94" a="1"/>
  <c r="AX540" i="94" s="1"/>
  <c r="AW540" i="94" a="1"/>
  <c r="AW540" i="94" s="1"/>
  <c r="AV540" i="94" a="1"/>
  <c r="AV540" i="94" s="1"/>
  <c r="AU540" i="94"/>
  <c r="AT540" i="94"/>
  <c r="AQ540" i="94"/>
  <c r="AN540" i="94"/>
  <c r="W540" i="94"/>
  <c r="BC539" i="94" a="1"/>
  <c r="BC539" i="94" s="1"/>
  <c r="BB539" i="94" a="1"/>
  <c r="BB539" i="94" s="1"/>
  <c r="BA539" i="94" a="1"/>
  <c r="BA539" i="94" s="1"/>
  <c r="AZ539" i="94" a="1"/>
  <c r="AZ539" i="94" s="1"/>
  <c r="AY539" i="94" a="1"/>
  <c r="AY539" i="94" s="1"/>
  <c r="AX539" i="94" a="1"/>
  <c r="AX539" i="94" s="1"/>
  <c r="AW539" i="94" a="1"/>
  <c r="AW539" i="94" s="1"/>
  <c r="AV539" i="94" a="1"/>
  <c r="AV539" i="94" s="1"/>
  <c r="AU539" i="94"/>
  <c r="AT539" i="94"/>
  <c r="AQ539" i="94"/>
  <c r="AN539" i="94"/>
  <c r="W539" i="94"/>
  <c r="BC538" i="94" a="1"/>
  <c r="BC538" i="94" s="1"/>
  <c r="BB538" i="94" a="1"/>
  <c r="BB538" i="94" s="1"/>
  <c r="BA538" i="94" a="1"/>
  <c r="BA538" i="94" s="1"/>
  <c r="AZ538" i="94" a="1"/>
  <c r="AZ538" i="94" s="1"/>
  <c r="AY538" i="94" a="1"/>
  <c r="AY538" i="94" s="1"/>
  <c r="AX538" i="94" a="1"/>
  <c r="AX538" i="94" s="1"/>
  <c r="AW538" i="94" a="1"/>
  <c r="AW538" i="94" s="1"/>
  <c r="AV538" i="94" a="1"/>
  <c r="AV538" i="94" s="1"/>
  <c r="AU538" i="94"/>
  <c r="AT538" i="94"/>
  <c r="AQ538" i="94"/>
  <c r="AN538" i="94"/>
  <c r="W538" i="94"/>
  <c r="BC537" i="94" a="1"/>
  <c r="BC537" i="94" s="1"/>
  <c r="BB537" i="94" a="1"/>
  <c r="BB537" i="94" s="1"/>
  <c r="BA537" i="94" a="1"/>
  <c r="BA537" i="94" s="1"/>
  <c r="AZ537" i="94" a="1"/>
  <c r="AZ537" i="94" s="1"/>
  <c r="AY537" i="94" a="1"/>
  <c r="AY537" i="94" s="1"/>
  <c r="AX537" i="94" a="1"/>
  <c r="AX537" i="94" s="1"/>
  <c r="AW537" i="94" a="1"/>
  <c r="AW537" i="94" s="1"/>
  <c r="AV537" i="94" a="1"/>
  <c r="AV537" i="94" s="1"/>
  <c r="AU537" i="94"/>
  <c r="AT537" i="94"/>
  <c r="AQ537" i="94"/>
  <c r="AN537" i="94"/>
  <c r="W537" i="94"/>
  <c r="BC536" i="94" a="1"/>
  <c r="BC536" i="94" s="1"/>
  <c r="BB536" i="94" a="1"/>
  <c r="BB536" i="94" s="1"/>
  <c r="BA536" i="94" a="1"/>
  <c r="BA536" i="94" s="1"/>
  <c r="AZ536" i="94" a="1"/>
  <c r="AZ536" i="94" s="1"/>
  <c r="AY536" i="94" a="1"/>
  <c r="AY536" i="94" s="1"/>
  <c r="AX536" i="94" a="1"/>
  <c r="AX536" i="94" s="1"/>
  <c r="AW536" i="94" a="1"/>
  <c r="AW536" i="94" s="1"/>
  <c r="AV536" i="94" a="1"/>
  <c r="AV536" i="94" s="1"/>
  <c r="AU536" i="94"/>
  <c r="AT536" i="94"/>
  <c r="AQ536" i="94"/>
  <c r="AN536" i="94"/>
  <c r="W536" i="94"/>
  <c r="BC535" i="94" a="1"/>
  <c r="BC535" i="94" s="1"/>
  <c r="BB535" i="94" a="1"/>
  <c r="BB535" i="94" s="1"/>
  <c r="BA535" i="94" a="1"/>
  <c r="BA535" i="94" s="1"/>
  <c r="AZ535" i="94" a="1"/>
  <c r="AZ535" i="94" s="1"/>
  <c r="AY535" i="94" a="1"/>
  <c r="AY535" i="94" s="1"/>
  <c r="AX535" i="94" a="1"/>
  <c r="AX535" i="94" s="1"/>
  <c r="AW535" i="94" a="1"/>
  <c r="AW535" i="94" s="1"/>
  <c r="AV535" i="94" a="1"/>
  <c r="AV535" i="94" s="1"/>
  <c r="AU535" i="94"/>
  <c r="AT535" i="94"/>
  <c r="AQ535" i="94"/>
  <c r="AN535" i="94"/>
  <c r="W535" i="94"/>
  <c r="BC534" i="94" a="1"/>
  <c r="BC534" i="94" s="1"/>
  <c r="BB534" i="94" a="1"/>
  <c r="BB534" i="94" s="1"/>
  <c r="BA534" i="94" a="1"/>
  <c r="BA534" i="94" s="1"/>
  <c r="AZ534" i="94" a="1"/>
  <c r="AZ534" i="94" s="1"/>
  <c r="AY534" i="94" a="1"/>
  <c r="AY534" i="94" s="1"/>
  <c r="AX534" i="94" a="1"/>
  <c r="AX534" i="94" s="1"/>
  <c r="AW534" i="94" a="1"/>
  <c r="AW534" i="94" s="1"/>
  <c r="AV534" i="94" a="1"/>
  <c r="AV534" i="94" s="1"/>
  <c r="AU534" i="94"/>
  <c r="AT534" i="94"/>
  <c r="AQ534" i="94"/>
  <c r="AN534" i="94"/>
  <c r="W534" i="94"/>
  <c r="BC533" i="94" a="1"/>
  <c r="BC533" i="94" s="1"/>
  <c r="BB533" i="94" a="1"/>
  <c r="BB533" i="94" s="1"/>
  <c r="BA533" i="94" a="1"/>
  <c r="BA533" i="94" s="1"/>
  <c r="AZ533" i="94" a="1"/>
  <c r="AZ533" i="94" s="1"/>
  <c r="AY533" i="94" a="1"/>
  <c r="AY533" i="94" s="1"/>
  <c r="AX533" i="94" a="1"/>
  <c r="AX533" i="94" s="1"/>
  <c r="AW533" i="94" a="1"/>
  <c r="AW533" i="94" s="1"/>
  <c r="AV533" i="94" a="1"/>
  <c r="AV533" i="94" s="1"/>
  <c r="AU533" i="94"/>
  <c r="AT533" i="94"/>
  <c r="AQ533" i="94"/>
  <c r="AN533" i="94"/>
  <c r="W533" i="94"/>
  <c r="BC532" i="94" a="1"/>
  <c r="BC532" i="94" s="1"/>
  <c r="BB532" i="94" a="1"/>
  <c r="BB532" i="94" s="1"/>
  <c r="BA532" i="94" a="1"/>
  <c r="BA532" i="94" s="1"/>
  <c r="AZ532" i="94" a="1"/>
  <c r="AZ532" i="94" s="1"/>
  <c r="AY532" i="94" a="1"/>
  <c r="AY532" i="94" s="1"/>
  <c r="AX532" i="94" a="1"/>
  <c r="AX532" i="94" s="1"/>
  <c r="AW532" i="94" a="1"/>
  <c r="AW532" i="94" s="1"/>
  <c r="AV532" i="94" a="1"/>
  <c r="AV532" i="94" s="1"/>
  <c r="AU532" i="94"/>
  <c r="AT532" i="94"/>
  <c r="AQ532" i="94"/>
  <c r="AN532" i="94"/>
  <c r="W532" i="94"/>
  <c r="BC531" i="94" a="1"/>
  <c r="BC531" i="94" s="1"/>
  <c r="BB531" i="94" a="1"/>
  <c r="BB531" i="94" s="1"/>
  <c r="BA531" i="94" a="1"/>
  <c r="BA531" i="94" s="1"/>
  <c r="AZ531" i="94" a="1"/>
  <c r="AZ531" i="94" s="1"/>
  <c r="AY531" i="94" a="1"/>
  <c r="AY531" i="94" s="1"/>
  <c r="AX531" i="94" a="1"/>
  <c r="AX531" i="94" s="1"/>
  <c r="AW531" i="94" a="1"/>
  <c r="AW531" i="94" s="1"/>
  <c r="AV531" i="94" a="1"/>
  <c r="AV531" i="94" s="1"/>
  <c r="AU531" i="94"/>
  <c r="AT531" i="94"/>
  <c r="AQ531" i="94"/>
  <c r="AN531" i="94"/>
  <c r="W531" i="94"/>
  <c r="BC530" i="94" a="1"/>
  <c r="BC530" i="94" s="1"/>
  <c r="BB530" i="94" a="1"/>
  <c r="BB530" i="94" s="1"/>
  <c r="BA530" i="94" a="1"/>
  <c r="BA530" i="94" s="1"/>
  <c r="AZ530" i="94" a="1"/>
  <c r="AZ530" i="94" s="1"/>
  <c r="AY530" i="94" a="1"/>
  <c r="AY530" i="94" s="1"/>
  <c r="AX530" i="94" a="1"/>
  <c r="AX530" i="94" s="1"/>
  <c r="AW530" i="94" a="1"/>
  <c r="AW530" i="94" s="1"/>
  <c r="AV530" i="94" a="1"/>
  <c r="AV530" i="94" s="1"/>
  <c r="AU530" i="94"/>
  <c r="AT530" i="94"/>
  <c r="AQ530" i="94"/>
  <c r="AN530" i="94"/>
  <c r="W530" i="94"/>
  <c r="BC529" i="94" a="1"/>
  <c r="BC529" i="94" s="1"/>
  <c r="BB529" i="94" a="1"/>
  <c r="BB529" i="94" s="1"/>
  <c r="BA529" i="94" a="1"/>
  <c r="BA529" i="94" s="1"/>
  <c r="AZ529" i="94" a="1"/>
  <c r="AZ529" i="94" s="1"/>
  <c r="AY529" i="94" a="1"/>
  <c r="AY529" i="94" s="1"/>
  <c r="AX529" i="94" a="1"/>
  <c r="AX529" i="94" s="1"/>
  <c r="AW529" i="94" a="1"/>
  <c r="AW529" i="94" s="1"/>
  <c r="AV529" i="94" a="1"/>
  <c r="AV529" i="94" s="1"/>
  <c r="AU529" i="94"/>
  <c r="AT529" i="94"/>
  <c r="AQ529" i="94"/>
  <c r="AN529" i="94"/>
  <c r="W529" i="94"/>
  <c r="BC528" i="94" a="1"/>
  <c r="BC528" i="94" s="1"/>
  <c r="BB528" i="94" a="1"/>
  <c r="BB528" i="94" s="1"/>
  <c r="BA528" i="94" a="1"/>
  <c r="BA528" i="94" s="1"/>
  <c r="AZ528" i="94" a="1"/>
  <c r="AZ528" i="94" s="1"/>
  <c r="AY528" i="94" a="1"/>
  <c r="AY528" i="94" s="1"/>
  <c r="AX528" i="94" a="1"/>
  <c r="AX528" i="94" s="1"/>
  <c r="AW528" i="94" a="1"/>
  <c r="AW528" i="94" s="1"/>
  <c r="AV528" i="94" a="1"/>
  <c r="AV528" i="94" s="1"/>
  <c r="AU528" i="94"/>
  <c r="AT528" i="94"/>
  <c r="AQ528" i="94"/>
  <c r="AN528" i="94"/>
  <c r="W528" i="94"/>
  <c r="BC527" i="94" a="1"/>
  <c r="BC527" i="94" s="1"/>
  <c r="BB527" i="94" a="1"/>
  <c r="BB527" i="94" s="1"/>
  <c r="BA527" i="94" a="1"/>
  <c r="BA527" i="94" s="1"/>
  <c r="AZ527" i="94" a="1"/>
  <c r="AZ527" i="94" s="1"/>
  <c r="AY527" i="94" a="1"/>
  <c r="AY527" i="94" s="1"/>
  <c r="AX527" i="94" a="1"/>
  <c r="AX527" i="94" s="1"/>
  <c r="AW527" i="94" a="1"/>
  <c r="AW527" i="94" s="1"/>
  <c r="AV527" i="94" a="1"/>
  <c r="AV527" i="94" s="1"/>
  <c r="AU527" i="94"/>
  <c r="AT527" i="94"/>
  <c r="AQ527" i="94"/>
  <c r="AN527" i="94"/>
  <c r="W527" i="94"/>
  <c r="BC526" i="94" a="1"/>
  <c r="BC526" i="94" s="1"/>
  <c r="BB526" i="94" a="1"/>
  <c r="BB526" i="94" s="1"/>
  <c r="BA526" i="94" a="1"/>
  <c r="BA526" i="94" s="1"/>
  <c r="AZ526" i="94" a="1"/>
  <c r="AZ526" i="94" s="1"/>
  <c r="AY526" i="94" a="1"/>
  <c r="AY526" i="94" s="1"/>
  <c r="AX526" i="94" a="1"/>
  <c r="AX526" i="94" s="1"/>
  <c r="AW526" i="94" a="1"/>
  <c r="AW526" i="94" s="1"/>
  <c r="AV526" i="94" a="1"/>
  <c r="AV526" i="94" s="1"/>
  <c r="AU526" i="94"/>
  <c r="AT526" i="94"/>
  <c r="AQ526" i="94"/>
  <c r="AN526" i="94"/>
  <c r="W526" i="94"/>
  <c r="BC525" i="94" a="1"/>
  <c r="BC525" i="94" s="1"/>
  <c r="BB525" i="94" a="1"/>
  <c r="BB525" i="94" s="1"/>
  <c r="BA525" i="94" a="1"/>
  <c r="BA525" i="94" s="1"/>
  <c r="AZ525" i="94" a="1"/>
  <c r="AZ525" i="94" s="1"/>
  <c r="AY525" i="94" a="1"/>
  <c r="AY525" i="94" s="1"/>
  <c r="AX525" i="94" a="1"/>
  <c r="AX525" i="94" s="1"/>
  <c r="AW525" i="94" a="1"/>
  <c r="AW525" i="94" s="1"/>
  <c r="AV525" i="94" a="1"/>
  <c r="AV525" i="94" s="1"/>
  <c r="AU525" i="94"/>
  <c r="AT525" i="94"/>
  <c r="AQ525" i="94"/>
  <c r="AN525" i="94"/>
  <c r="W525" i="94"/>
  <c r="BC524" i="94" a="1"/>
  <c r="BC524" i="94" s="1"/>
  <c r="BB524" i="94" a="1"/>
  <c r="BB524" i="94" s="1"/>
  <c r="BA524" i="94" a="1"/>
  <c r="BA524" i="94" s="1"/>
  <c r="AZ524" i="94" a="1"/>
  <c r="AZ524" i="94" s="1"/>
  <c r="AY524" i="94" a="1"/>
  <c r="AY524" i="94" s="1"/>
  <c r="AX524" i="94" a="1"/>
  <c r="AX524" i="94" s="1"/>
  <c r="AW524" i="94" a="1"/>
  <c r="AW524" i="94" s="1"/>
  <c r="AV524" i="94" a="1"/>
  <c r="AV524" i="94" s="1"/>
  <c r="AU524" i="94"/>
  <c r="AT524" i="94"/>
  <c r="AQ524" i="94"/>
  <c r="AN524" i="94"/>
  <c r="W524" i="94"/>
  <c r="BC523" i="94" a="1"/>
  <c r="BC523" i="94" s="1"/>
  <c r="BB523" i="94" a="1"/>
  <c r="BB523" i="94" s="1"/>
  <c r="BA523" i="94" a="1"/>
  <c r="BA523" i="94" s="1"/>
  <c r="AZ523" i="94" a="1"/>
  <c r="AZ523" i="94" s="1"/>
  <c r="AY523" i="94" a="1"/>
  <c r="AY523" i="94" s="1"/>
  <c r="AX523" i="94" a="1"/>
  <c r="AX523" i="94" s="1"/>
  <c r="AW523" i="94" a="1"/>
  <c r="AW523" i="94" s="1"/>
  <c r="AV523" i="94" a="1"/>
  <c r="AV523" i="94" s="1"/>
  <c r="AU523" i="94"/>
  <c r="AT523" i="94"/>
  <c r="AQ523" i="94"/>
  <c r="AN523" i="94"/>
  <c r="W523" i="94"/>
  <c r="BC522" i="94" a="1"/>
  <c r="BC522" i="94" s="1"/>
  <c r="BB522" i="94" a="1"/>
  <c r="BB522" i="94" s="1"/>
  <c r="BA522" i="94" a="1"/>
  <c r="BA522" i="94" s="1"/>
  <c r="AZ522" i="94" a="1"/>
  <c r="AZ522" i="94" s="1"/>
  <c r="AY522" i="94" a="1"/>
  <c r="AY522" i="94" s="1"/>
  <c r="AX522" i="94" a="1"/>
  <c r="AX522" i="94" s="1"/>
  <c r="AW522" i="94" a="1"/>
  <c r="AW522" i="94" s="1"/>
  <c r="AV522" i="94" a="1"/>
  <c r="AV522" i="94" s="1"/>
  <c r="AU522" i="94"/>
  <c r="AT522" i="94"/>
  <c r="AQ522" i="94"/>
  <c r="AN522" i="94"/>
  <c r="W522" i="94"/>
  <c r="BC521" i="94" a="1"/>
  <c r="BC521" i="94" s="1"/>
  <c r="BB521" i="94" a="1"/>
  <c r="BB521" i="94" s="1"/>
  <c r="BA521" i="94" a="1"/>
  <c r="BA521" i="94" s="1"/>
  <c r="AZ521" i="94" a="1"/>
  <c r="AZ521" i="94" s="1"/>
  <c r="AY521" i="94" a="1"/>
  <c r="AY521" i="94" s="1"/>
  <c r="AX521" i="94" a="1"/>
  <c r="AX521" i="94" s="1"/>
  <c r="AW521" i="94" a="1"/>
  <c r="AW521" i="94" s="1"/>
  <c r="AV521" i="94" a="1"/>
  <c r="AV521" i="94" s="1"/>
  <c r="AU521" i="94"/>
  <c r="AT521" i="94"/>
  <c r="AQ521" i="94"/>
  <c r="AN521" i="94"/>
  <c r="W521" i="94"/>
  <c r="BC520" i="94" a="1"/>
  <c r="BC520" i="94" s="1"/>
  <c r="BB520" i="94" a="1"/>
  <c r="BB520" i="94" s="1"/>
  <c r="BA520" i="94" a="1"/>
  <c r="BA520" i="94" s="1"/>
  <c r="AZ520" i="94" a="1"/>
  <c r="AZ520" i="94" s="1"/>
  <c r="AY520" i="94" a="1"/>
  <c r="AY520" i="94" s="1"/>
  <c r="AX520" i="94" a="1"/>
  <c r="AX520" i="94" s="1"/>
  <c r="AW520" i="94" a="1"/>
  <c r="AW520" i="94" s="1"/>
  <c r="AV520" i="94" a="1"/>
  <c r="AV520" i="94" s="1"/>
  <c r="AU520" i="94"/>
  <c r="AT520" i="94"/>
  <c r="AQ520" i="94"/>
  <c r="AN520" i="94"/>
  <c r="W520" i="94"/>
  <c r="BC519" i="94" a="1"/>
  <c r="BC519" i="94" s="1"/>
  <c r="BB519" i="94" a="1"/>
  <c r="BB519" i="94" s="1"/>
  <c r="BA519" i="94" a="1"/>
  <c r="BA519" i="94" s="1"/>
  <c r="AZ519" i="94" a="1"/>
  <c r="AZ519" i="94" s="1"/>
  <c r="AY519" i="94" a="1"/>
  <c r="AY519" i="94" s="1"/>
  <c r="AX519" i="94" a="1"/>
  <c r="AX519" i="94" s="1"/>
  <c r="AW519" i="94" a="1"/>
  <c r="AW519" i="94" s="1"/>
  <c r="AV519" i="94" a="1"/>
  <c r="AV519" i="94" s="1"/>
  <c r="AU519" i="94"/>
  <c r="AT519" i="94"/>
  <c r="AQ519" i="94"/>
  <c r="AN519" i="94"/>
  <c r="W519" i="94"/>
  <c r="BC518" i="94" a="1"/>
  <c r="BC518" i="94" s="1"/>
  <c r="BB518" i="94" a="1"/>
  <c r="BB518" i="94" s="1"/>
  <c r="BA518" i="94" a="1"/>
  <c r="BA518" i="94" s="1"/>
  <c r="AZ518" i="94" a="1"/>
  <c r="AZ518" i="94" s="1"/>
  <c r="AY518" i="94" a="1"/>
  <c r="AY518" i="94" s="1"/>
  <c r="AX518" i="94" a="1"/>
  <c r="AX518" i="94" s="1"/>
  <c r="AW518" i="94" a="1"/>
  <c r="AW518" i="94" s="1"/>
  <c r="AV518" i="94" a="1"/>
  <c r="AV518" i="94" s="1"/>
  <c r="AU518" i="94"/>
  <c r="AT518" i="94"/>
  <c r="AQ518" i="94"/>
  <c r="AN518" i="94"/>
  <c r="W518" i="94"/>
  <c r="BC517" i="94" a="1"/>
  <c r="BC517" i="94" s="1"/>
  <c r="BB517" i="94" a="1"/>
  <c r="BB517" i="94" s="1"/>
  <c r="BA517" i="94" a="1"/>
  <c r="BA517" i="94" s="1"/>
  <c r="AZ517" i="94" a="1"/>
  <c r="AZ517" i="94" s="1"/>
  <c r="AY517" i="94" a="1"/>
  <c r="AY517" i="94" s="1"/>
  <c r="AX517" i="94" a="1"/>
  <c r="AX517" i="94" s="1"/>
  <c r="AW517" i="94" a="1"/>
  <c r="AW517" i="94" s="1"/>
  <c r="AV517" i="94" a="1"/>
  <c r="AV517" i="94" s="1"/>
  <c r="AU517" i="94"/>
  <c r="AT517" i="94"/>
  <c r="AQ517" i="94"/>
  <c r="AN517" i="94"/>
  <c r="W517" i="94"/>
  <c r="BC516" i="94" a="1"/>
  <c r="BC516" i="94" s="1"/>
  <c r="BB516" i="94" a="1"/>
  <c r="BB516" i="94" s="1"/>
  <c r="BA516" i="94" a="1"/>
  <c r="BA516" i="94" s="1"/>
  <c r="AZ516" i="94" a="1"/>
  <c r="AZ516" i="94" s="1"/>
  <c r="AY516" i="94" a="1"/>
  <c r="AY516" i="94" s="1"/>
  <c r="AX516" i="94" a="1"/>
  <c r="AX516" i="94" s="1"/>
  <c r="AW516" i="94" a="1"/>
  <c r="AW516" i="94" s="1"/>
  <c r="AV516" i="94" a="1"/>
  <c r="AV516" i="94" s="1"/>
  <c r="AU516" i="94"/>
  <c r="AT516" i="94"/>
  <c r="AQ516" i="94"/>
  <c r="AN516" i="94"/>
  <c r="W516" i="94"/>
  <c r="BC515" i="94" a="1"/>
  <c r="BC515" i="94" s="1"/>
  <c r="BB515" i="94" a="1"/>
  <c r="BB515" i="94" s="1"/>
  <c r="BA515" i="94" a="1"/>
  <c r="BA515" i="94" s="1"/>
  <c r="AZ515" i="94" a="1"/>
  <c r="AZ515" i="94" s="1"/>
  <c r="AY515" i="94" a="1"/>
  <c r="AY515" i="94" s="1"/>
  <c r="AX515" i="94" a="1"/>
  <c r="AX515" i="94" s="1"/>
  <c r="AW515" i="94" a="1"/>
  <c r="AW515" i="94" s="1"/>
  <c r="AV515" i="94" a="1"/>
  <c r="AV515" i="94" s="1"/>
  <c r="AU515" i="94"/>
  <c r="AT515" i="94"/>
  <c r="AQ515" i="94"/>
  <c r="AN515" i="94"/>
  <c r="W515" i="94"/>
  <c r="BC514" i="94" a="1"/>
  <c r="BC514" i="94" s="1"/>
  <c r="BB514" i="94" a="1"/>
  <c r="BB514" i="94" s="1"/>
  <c r="BA514" i="94" a="1"/>
  <c r="BA514" i="94" s="1"/>
  <c r="AZ514" i="94" a="1"/>
  <c r="AZ514" i="94" s="1"/>
  <c r="AY514" i="94" a="1"/>
  <c r="AY514" i="94" s="1"/>
  <c r="AX514" i="94" a="1"/>
  <c r="AX514" i="94" s="1"/>
  <c r="AW514" i="94" a="1"/>
  <c r="AW514" i="94" s="1"/>
  <c r="AV514" i="94" a="1"/>
  <c r="AV514" i="94" s="1"/>
  <c r="AU514" i="94"/>
  <c r="AT514" i="94"/>
  <c r="AQ514" i="94"/>
  <c r="AN514" i="94"/>
  <c r="W514" i="94"/>
  <c r="BC513" i="94" a="1"/>
  <c r="BC513" i="94" s="1"/>
  <c r="BB513" i="94" a="1"/>
  <c r="BB513" i="94" s="1"/>
  <c r="BA513" i="94" a="1"/>
  <c r="BA513" i="94" s="1"/>
  <c r="AZ513" i="94" a="1"/>
  <c r="AZ513" i="94" s="1"/>
  <c r="AY513" i="94" a="1"/>
  <c r="AY513" i="94" s="1"/>
  <c r="AX513" i="94" a="1"/>
  <c r="AX513" i="94" s="1"/>
  <c r="AW513" i="94" a="1"/>
  <c r="AW513" i="94" s="1"/>
  <c r="AV513" i="94" a="1"/>
  <c r="AV513" i="94" s="1"/>
  <c r="AU513" i="94"/>
  <c r="AT513" i="94"/>
  <c r="AQ513" i="94"/>
  <c r="AN513" i="94"/>
  <c r="W513" i="94"/>
  <c r="BC512" i="94" a="1"/>
  <c r="BC512" i="94" s="1"/>
  <c r="BB512" i="94" a="1"/>
  <c r="BB512" i="94" s="1"/>
  <c r="BA512" i="94" a="1"/>
  <c r="BA512" i="94" s="1"/>
  <c r="AZ512" i="94" a="1"/>
  <c r="AZ512" i="94" s="1"/>
  <c r="AY512" i="94" a="1"/>
  <c r="AY512" i="94" s="1"/>
  <c r="AX512" i="94" a="1"/>
  <c r="AX512" i="94" s="1"/>
  <c r="AW512" i="94" a="1"/>
  <c r="AW512" i="94" s="1"/>
  <c r="AV512" i="94" a="1"/>
  <c r="AV512" i="94" s="1"/>
  <c r="AU512" i="94"/>
  <c r="AT512" i="94"/>
  <c r="AQ512" i="94"/>
  <c r="AN512" i="94"/>
  <c r="W512" i="94"/>
  <c r="BC511" i="94" a="1"/>
  <c r="BC511" i="94" s="1"/>
  <c r="BB511" i="94" a="1"/>
  <c r="BB511" i="94" s="1"/>
  <c r="BA511" i="94" a="1"/>
  <c r="BA511" i="94" s="1"/>
  <c r="AZ511" i="94" a="1"/>
  <c r="AZ511" i="94" s="1"/>
  <c r="AY511" i="94" a="1"/>
  <c r="AY511" i="94" s="1"/>
  <c r="AX511" i="94" a="1"/>
  <c r="AX511" i="94" s="1"/>
  <c r="AW511" i="94" a="1"/>
  <c r="AW511" i="94" s="1"/>
  <c r="AV511" i="94" a="1"/>
  <c r="AV511" i="94" s="1"/>
  <c r="AU511" i="94"/>
  <c r="AT511" i="94"/>
  <c r="AQ511" i="94"/>
  <c r="AN511" i="94"/>
  <c r="W511" i="94"/>
  <c r="BC510" i="94" a="1"/>
  <c r="BC510" i="94" s="1"/>
  <c r="BB510" i="94" a="1"/>
  <c r="BB510" i="94" s="1"/>
  <c r="BA510" i="94" a="1"/>
  <c r="BA510" i="94" s="1"/>
  <c r="AZ510" i="94" a="1"/>
  <c r="AZ510" i="94" s="1"/>
  <c r="AY510" i="94" a="1"/>
  <c r="AY510" i="94" s="1"/>
  <c r="AX510" i="94" a="1"/>
  <c r="AX510" i="94" s="1"/>
  <c r="AW510" i="94" a="1"/>
  <c r="AW510" i="94" s="1"/>
  <c r="AV510" i="94" a="1"/>
  <c r="AV510" i="94" s="1"/>
  <c r="AU510" i="94"/>
  <c r="AT510" i="94"/>
  <c r="AQ510" i="94"/>
  <c r="AN510" i="94"/>
  <c r="W510" i="94"/>
  <c r="BC509" i="94" a="1"/>
  <c r="BC509" i="94" s="1"/>
  <c r="BB509" i="94" a="1"/>
  <c r="BB509" i="94" s="1"/>
  <c r="BA509" i="94" a="1"/>
  <c r="BA509" i="94" s="1"/>
  <c r="AZ509" i="94" a="1"/>
  <c r="AZ509" i="94" s="1"/>
  <c r="AY509" i="94" a="1"/>
  <c r="AY509" i="94" s="1"/>
  <c r="AX509" i="94" a="1"/>
  <c r="AX509" i="94" s="1"/>
  <c r="AW509" i="94" a="1"/>
  <c r="AW509" i="94" s="1"/>
  <c r="AV509" i="94" a="1"/>
  <c r="AV509" i="94" s="1"/>
  <c r="AU509" i="94"/>
  <c r="AT509" i="94"/>
  <c r="AQ509" i="94"/>
  <c r="AN509" i="94"/>
  <c r="W509" i="94"/>
  <c r="BC508" i="94" a="1"/>
  <c r="BC508" i="94" s="1"/>
  <c r="BB508" i="94" a="1"/>
  <c r="BB508" i="94" s="1"/>
  <c r="BA508" i="94" a="1"/>
  <c r="BA508" i="94" s="1"/>
  <c r="AZ508" i="94" a="1"/>
  <c r="AZ508" i="94" s="1"/>
  <c r="AY508" i="94" a="1"/>
  <c r="AY508" i="94" s="1"/>
  <c r="AX508" i="94" a="1"/>
  <c r="AX508" i="94" s="1"/>
  <c r="AW508" i="94" a="1"/>
  <c r="AW508" i="94" s="1"/>
  <c r="AV508" i="94" a="1"/>
  <c r="AV508" i="94" s="1"/>
  <c r="AU508" i="94"/>
  <c r="AT508" i="94"/>
  <c r="AQ508" i="94"/>
  <c r="AN508" i="94"/>
  <c r="W508" i="94"/>
  <c r="BC507" i="94" a="1"/>
  <c r="BC507" i="94" s="1"/>
  <c r="BB507" i="94" a="1"/>
  <c r="BB507" i="94" s="1"/>
  <c r="BA507" i="94" a="1"/>
  <c r="BA507" i="94" s="1"/>
  <c r="AZ507" i="94" a="1"/>
  <c r="AZ507" i="94" s="1"/>
  <c r="AY507" i="94" a="1"/>
  <c r="AY507" i="94" s="1"/>
  <c r="AX507" i="94" a="1"/>
  <c r="AX507" i="94" s="1"/>
  <c r="AW507" i="94" a="1"/>
  <c r="AW507" i="94" s="1"/>
  <c r="AV507" i="94" a="1"/>
  <c r="AV507" i="94" s="1"/>
  <c r="AU507" i="94"/>
  <c r="AT507" i="94"/>
  <c r="AQ507" i="94"/>
  <c r="AN507" i="94"/>
  <c r="W507" i="94"/>
  <c r="BC506" i="94" a="1"/>
  <c r="BC506" i="94" s="1"/>
  <c r="BB506" i="94" a="1"/>
  <c r="BB506" i="94" s="1"/>
  <c r="BA506" i="94" a="1"/>
  <c r="BA506" i="94" s="1"/>
  <c r="AZ506" i="94" a="1"/>
  <c r="AZ506" i="94" s="1"/>
  <c r="AY506" i="94" a="1"/>
  <c r="AY506" i="94" s="1"/>
  <c r="AX506" i="94" a="1"/>
  <c r="AX506" i="94" s="1"/>
  <c r="AW506" i="94" a="1"/>
  <c r="AW506" i="94" s="1"/>
  <c r="AV506" i="94" a="1"/>
  <c r="AV506" i="94" s="1"/>
  <c r="AU506" i="94"/>
  <c r="AT506" i="94"/>
  <c r="AQ506" i="94"/>
  <c r="AN506" i="94"/>
  <c r="W506" i="94"/>
  <c r="BC505" i="94" a="1"/>
  <c r="BC505" i="94" s="1"/>
  <c r="BB505" i="94" a="1"/>
  <c r="BB505" i="94" s="1"/>
  <c r="BA505" i="94" a="1"/>
  <c r="BA505" i="94" s="1"/>
  <c r="AZ505" i="94" a="1"/>
  <c r="AZ505" i="94" s="1"/>
  <c r="AY505" i="94" a="1"/>
  <c r="AY505" i="94" s="1"/>
  <c r="AX505" i="94" a="1"/>
  <c r="AX505" i="94" s="1"/>
  <c r="AW505" i="94" a="1"/>
  <c r="AW505" i="94" s="1"/>
  <c r="AV505" i="94" a="1"/>
  <c r="AV505" i="94" s="1"/>
  <c r="AU505" i="94"/>
  <c r="AT505" i="94"/>
  <c r="AQ505" i="94"/>
  <c r="AN505" i="94"/>
  <c r="W505" i="94"/>
  <c r="BC504" i="94" a="1"/>
  <c r="BC504" i="94" s="1"/>
  <c r="BB504" i="94" a="1"/>
  <c r="BB504" i="94" s="1"/>
  <c r="BA504" i="94" a="1"/>
  <c r="BA504" i="94" s="1"/>
  <c r="AZ504" i="94" a="1"/>
  <c r="AZ504" i="94" s="1"/>
  <c r="AY504" i="94" a="1"/>
  <c r="AY504" i="94" s="1"/>
  <c r="AX504" i="94" a="1"/>
  <c r="AX504" i="94" s="1"/>
  <c r="AW504" i="94" a="1"/>
  <c r="AW504" i="94" s="1"/>
  <c r="AV504" i="94" a="1"/>
  <c r="AV504" i="94" s="1"/>
  <c r="AU504" i="94"/>
  <c r="AT504" i="94"/>
  <c r="AQ504" i="94"/>
  <c r="AN504" i="94"/>
  <c r="W504" i="94"/>
  <c r="BC503" i="94" a="1"/>
  <c r="BC503" i="94" s="1"/>
  <c r="BB503" i="94" a="1"/>
  <c r="BB503" i="94" s="1"/>
  <c r="BA503" i="94" a="1"/>
  <c r="BA503" i="94" s="1"/>
  <c r="AZ503" i="94" a="1"/>
  <c r="AZ503" i="94" s="1"/>
  <c r="AY503" i="94" a="1"/>
  <c r="AY503" i="94" s="1"/>
  <c r="AX503" i="94" a="1"/>
  <c r="AX503" i="94" s="1"/>
  <c r="AW503" i="94" a="1"/>
  <c r="AW503" i="94" s="1"/>
  <c r="AV503" i="94" a="1"/>
  <c r="AV503" i="94" s="1"/>
  <c r="AU503" i="94"/>
  <c r="AT503" i="94"/>
  <c r="AQ503" i="94"/>
  <c r="AN503" i="94"/>
  <c r="W503" i="94"/>
  <c r="BC502" i="94" a="1"/>
  <c r="BC502" i="94" s="1"/>
  <c r="BB502" i="94" a="1"/>
  <c r="BB502" i="94" s="1"/>
  <c r="BA502" i="94" a="1"/>
  <c r="BA502" i="94" s="1"/>
  <c r="AZ502" i="94" a="1"/>
  <c r="AZ502" i="94" s="1"/>
  <c r="AY502" i="94" a="1"/>
  <c r="AY502" i="94" s="1"/>
  <c r="AX502" i="94" a="1"/>
  <c r="AX502" i="94" s="1"/>
  <c r="AW502" i="94" a="1"/>
  <c r="AW502" i="94" s="1"/>
  <c r="AV502" i="94" a="1"/>
  <c r="AV502" i="94" s="1"/>
  <c r="AU502" i="94"/>
  <c r="AT502" i="94"/>
  <c r="AQ502" i="94"/>
  <c r="AN502" i="94"/>
  <c r="W502" i="94"/>
  <c r="BC501" i="94" a="1"/>
  <c r="BC501" i="94" s="1"/>
  <c r="BB501" i="94" a="1"/>
  <c r="BB501" i="94" s="1"/>
  <c r="BA501" i="94" a="1"/>
  <c r="BA501" i="94" s="1"/>
  <c r="AZ501" i="94" a="1"/>
  <c r="AZ501" i="94" s="1"/>
  <c r="AY501" i="94" a="1"/>
  <c r="AY501" i="94" s="1"/>
  <c r="AX501" i="94" a="1"/>
  <c r="AX501" i="94" s="1"/>
  <c r="AW501" i="94" a="1"/>
  <c r="AW501" i="94" s="1"/>
  <c r="AV501" i="94" a="1"/>
  <c r="AV501" i="94" s="1"/>
  <c r="AU501" i="94"/>
  <c r="AT501" i="94"/>
  <c r="AQ501" i="94"/>
  <c r="AN501" i="94"/>
  <c r="W501" i="94"/>
  <c r="BC500" i="94" a="1"/>
  <c r="BC500" i="94" s="1"/>
  <c r="BB500" i="94" a="1"/>
  <c r="BB500" i="94" s="1"/>
  <c r="BA500" i="94" a="1"/>
  <c r="BA500" i="94" s="1"/>
  <c r="AZ500" i="94" a="1"/>
  <c r="AZ500" i="94" s="1"/>
  <c r="AY500" i="94" a="1"/>
  <c r="AY500" i="94" s="1"/>
  <c r="AX500" i="94" a="1"/>
  <c r="AX500" i="94" s="1"/>
  <c r="AW500" i="94" a="1"/>
  <c r="AW500" i="94" s="1"/>
  <c r="AV500" i="94" a="1"/>
  <c r="AV500" i="94" s="1"/>
  <c r="AU500" i="94"/>
  <c r="AT500" i="94"/>
  <c r="AQ500" i="94"/>
  <c r="AN500" i="94"/>
  <c r="W500" i="94"/>
  <c r="BC499" i="94" a="1"/>
  <c r="BC499" i="94" s="1"/>
  <c r="BB499" i="94" a="1"/>
  <c r="BB499" i="94" s="1"/>
  <c r="BA499" i="94" a="1"/>
  <c r="BA499" i="94" s="1"/>
  <c r="AZ499" i="94" a="1"/>
  <c r="AZ499" i="94" s="1"/>
  <c r="AY499" i="94" a="1"/>
  <c r="AY499" i="94" s="1"/>
  <c r="AX499" i="94" a="1"/>
  <c r="AX499" i="94" s="1"/>
  <c r="AW499" i="94" a="1"/>
  <c r="AW499" i="94" s="1"/>
  <c r="AV499" i="94" a="1"/>
  <c r="AV499" i="94" s="1"/>
  <c r="AU499" i="94"/>
  <c r="AT499" i="94"/>
  <c r="AQ499" i="94"/>
  <c r="AN499" i="94"/>
  <c r="W499" i="94"/>
  <c r="BC498" i="94" a="1"/>
  <c r="BC498" i="94" s="1"/>
  <c r="BB498" i="94" a="1"/>
  <c r="BB498" i="94" s="1"/>
  <c r="BA498" i="94" a="1"/>
  <c r="BA498" i="94" s="1"/>
  <c r="AZ498" i="94" a="1"/>
  <c r="AZ498" i="94" s="1"/>
  <c r="AY498" i="94" a="1"/>
  <c r="AY498" i="94" s="1"/>
  <c r="AX498" i="94" a="1"/>
  <c r="AX498" i="94" s="1"/>
  <c r="AW498" i="94" a="1"/>
  <c r="AW498" i="94" s="1"/>
  <c r="AV498" i="94" a="1"/>
  <c r="AV498" i="94" s="1"/>
  <c r="AU498" i="94"/>
  <c r="AT498" i="94"/>
  <c r="AQ498" i="94"/>
  <c r="AN498" i="94"/>
  <c r="W498" i="94"/>
  <c r="BC497" i="94" a="1"/>
  <c r="BC497" i="94" s="1"/>
  <c r="BB497" i="94" a="1"/>
  <c r="BB497" i="94" s="1"/>
  <c r="BA497" i="94" a="1"/>
  <c r="BA497" i="94" s="1"/>
  <c r="AZ497" i="94" a="1"/>
  <c r="AZ497" i="94" s="1"/>
  <c r="AY497" i="94" a="1"/>
  <c r="AY497" i="94" s="1"/>
  <c r="AX497" i="94" a="1"/>
  <c r="AX497" i="94" s="1"/>
  <c r="AW497" i="94" a="1"/>
  <c r="AW497" i="94" s="1"/>
  <c r="AV497" i="94" a="1"/>
  <c r="AV497" i="94" s="1"/>
  <c r="AU497" i="94"/>
  <c r="AT497" i="94"/>
  <c r="AQ497" i="94"/>
  <c r="AN497" i="94"/>
  <c r="W497" i="94"/>
  <c r="BC496" i="94" a="1"/>
  <c r="BC496" i="94" s="1"/>
  <c r="BB496" i="94" a="1"/>
  <c r="BB496" i="94" s="1"/>
  <c r="BA496" i="94" a="1"/>
  <c r="BA496" i="94" s="1"/>
  <c r="AZ496" i="94" a="1"/>
  <c r="AZ496" i="94" s="1"/>
  <c r="AY496" i="94" a="1"/>
  <c r="AY496" i="94" s="1"/>
  <c r="AX496" i="94" a="1"/>
  <c r="AX496" i="94" s="1"/>
  <c r="AW496" i="94" a="1"/>
  <c r="AW496" i="94" s="1"/>
  <c r="AV496" i="94" a="1"/>
  <c r="AV496" i="94" s="1"/>
  <c r="AU496" i="94"/>
  <c r="AT496" i="94"/>
  <c r="AQ496" i="94"/>
  <c r="AN496" i="94"/>
  <c r="W496" i="94"/>
  <c r="BC495" i="94" a="1"/>
  <c r="BC495" i="94" s="1"/>
  <c r="BB495" i="94" a="1"/>
  <c r="BB495" i="94" s="1"/>
  <c r="BA495" i="94" a="1"/>
  <c r="BA495" i="94" s="1"/>
  <c r="AZ495" i="94" a="1"/>
  <c r="AZ495" i="94" s="1"/>
  <c r="AY495" i="94" a="1"/>
  <c r="AY495" i="94" s="1"/>
  <c r="AX495" i="94" a="1"/>
  <c r="AX495" i="94" s="1"/>
  <c r="AW495" i="94" a="1"/>
  <c r="AW495" i="94" s="1"/>
  <c r="AV495" i="94" a="1"/>
  <c r="AV495" i="94" s="1"/>
  <c r="AU495" i="94"/>
  <c r="AT495" i="94"/>
  <c r="AQ495" i="94"/>
  <c r="AN495" i="94"/>
  <c r="W495" i="94"/>
  <c r="BC494" i="94" a="1"/>
  <c r="BC494" i="94" s="1"/>
  <c r="BB494" i="94" a="1"/>
  <c r="BB494" i="94" s="1"/>
  <c r="BA494" i="94" a="1"/>
  <c r="BA494" i="94" s="1"/>
  <c r="AZ494" i="94" a="1"/>
  <c r="AZ494" i="94" s="1"/>
  <c r="AY494" i="94"/>
  <c r="AX494" i="94" a="1"/>
  <c r="AX494" i="94" s="1"/>
  <c r="AW494" i="94" a="1"/>
  <c r="AW494" i="94" s="1"/>
  <c r="AV494" i="94" a="1"/>
  <c r="AV494" i="94" s="1"/>
  <c r="AU494" i="94"/>
  <c r="AT494" i="94"/>
  <c r="AQ494" i="94"/>
  <c r="AN494" i="94"/>
  <c r="W494" i="94"/>
  <c r="BC493" i="94" a="1"/>
  <c r="BC493" i="94" s="1"/>
  <c r="BB493" i="94" a="1"/>
  <c r="BB493" i="94" s="1"/>
  <c r="BA493" i="94" a="1"/>
  <c r="BA493" i="94" s="1"/>
  <c r="AZ493" i="94" a="1"/>
  <c r="AZ493" i="94" s="1"/>
  <c r="AY493" i="94" a="1"/>
  <c r="AY493" i="94" s="1"/>
  <c r="AX493" i="94" a="1"/>
  <c r="AX493" i="94" s="1"/>
  <c r="AW493" i="94" a="1"/>
  <c r="AW493" i="94" s="1"/>
  <c r="AV493" i="94" a="1"/>
  <c r="AV493" i="94" s="1"/>
  <c r="AU493" i="94"/>
  <c r="AT493" i="94"/>
  <c r="AQ493" i="94"/>
  <c r="AN493" i="94"/>
  <c r="W493" i="94"/>
  <c r="BC492" i="94" a="1"/>
  <c r="BC492" i="94" s="1"/>
  <c r="BB492" i="94" a="1"/>
  <c r="BB492" i="94" s="1"/>
  <c r="BA492" i="94" a="1"/>
  <c r="BA492" i="94" s="1"/>
  <c r="AZ492" i="94" a="1"/>
  <c r="AZ492" i="94" s="1"/>
  <c r="AY492" i="94" a="1"/>
  <c r="AY492" i="94" s="1"/>
  <c r="AX492" i="94" a="1"/>
  <c r="AX492" i="94" s="1"/>
  <c r="AW492" i="94" a="1"/>
  <c r="AW492" i="94" s="1"/>
  <c r="AV492" i="94" a="1"/>
  <c r="AV492" i="94" s="1"/>
  <c r="AU492" i="94"/>
  <c r="AT492" i="94"/>
  <c r="AQ492" i="94"/>
  <c r="AN492" i="94"/>
  <c r="W492" i="94"/>
  <c r="BC491" i="94" a="1"/>
  <c r="BC491" i="94" s="1"/>
  <c r="BB491" i="94" a="1"/>
  <c r="BB491" i="94" s="1"/>
  <c r="BA491" i="94" a="1"/>
  <c r="BA491" i="94" s="1"/>
  <c r="AZ491" i="94" a="1"/>
  <c r="AZ491" i="94" s="1"/>
  <c r="AY491" i="94" a="1"/>
  <c r="AY491" i="94" s="1"/>
  <c r="AX491" i="94" a="1"/>
  <c r="AX491" i="94" s="1"/>
  <c r="AW491" i="94" a="1"/>
  <c r="AW491" i="94" s="1"/>
  <c r="AV491" i="94" a="1"/>
  <c r="AV491" i="94" s="1"/>
  <c r="AU491" i="94"/>
  <c r="AT491" i="94"/>
  <c r="AQ491" i="94"/>
  <c r="AN491" i="94"/>
  <c r="W491" i="94"/>
  <c r="BC490" i="94" a="1"/>
  <c r="BC490" i="94" s="1"/>
  <c r="BB490" i="94" a="1"/>
  <c r="BB490" i="94" s="1"/>
  <c r="BA490" i="94" a="1"/>
  <c r="BA490" i="94" s="1"/>
  <c r="AZ490" i="94" a="1"/>
  <c r="AZ490" i="94" s="1"/>
  <c r="AY490" i="94" a="1"/>
  <c r="AY490" i="94" s="1"/>
  <c r="AX490" i="94" a="1"/>
  <c r="AX490" i="94" s="1"/>
  <c r="AW490" i="94" a="1"/>
  <c r="AW490" i="94" s="1"/>
  <c r="AV490" i="94" a="1"/>
  <c r="AV490" i="94" s="1"/>
  <c r="AU490" i="94"/>
  <c r="AT490" i="94"/>
  <c r="AQ490" i="94"/>
  <c r="AN490" i="94"/>
  <c r="W490" i="94"/>
  <c r="BC489" i="94" a="1"/>
  <c r="BC489" i="94" s="1"/>
  <c r="BB489" i="94" a="1"/>
  <c r="BB489" i="94" s="1"/>
  <c r="BA489" i="94" a="1"/>
  <c r="BA489" i="94" s="1"/>
  <c r="AZ489" i="94" a="1"/>
  <c r="AZ489" i="94" s="1"/>
  <c r="AY489" i="94" a="1"/>
  <c r="AY489" i="94" s="1"/>
  <c r="AX489" i="94" a="1"/>
  <c r="AX489" i="94" s="1"/>
  <c r="AW489" i="94" a="1"/>
  <c r="AW489" i="94" s="1"/>
  <c r="AV489" i="94" a="1"/>
  <c r="AV489" i="94" s="1"/>
  <c r="AU489" i="94"/>
  <c r="AT489" i="94"/>
  <c r="AQ489" i="94"/>
  <c r="AN489" i="94"/>
  <c r="W489" i="94"/>
  <c r="BC488" i="94" a="1"/>
  <c r="BC488" i="94" s="1"/>
  <c r="BB488" i="94" a="1"/>
  <c r="BB488" i="94" s="1"/>
  <c r="BA488" i="94" a="1"/>
  <c r="BA488" i="94" s="1"/>
  <c r="AZ488" i="94" a="1"/>
  <c r="AZ488" i="94" s="1"/>
  <c r="AY488" i="94" a="1"/>
  <c r="AY488" i="94" s="1"/>
  <c r="AX488" i="94" a="1"/>
  <c r="AX488" i="94" s="1"/>
  <c r="AW488" i="94" a="1"/>
  <c r="AW488" i="94" s="1"/>
  <c r="AV488" i="94" a="1"/>
  <c r="AV488" i="94" s="1"/>
  <c r="AU488" i="94"/>
  <c r="AT488" i="94"/>
  <c r="AQ488" i="94"/>
  <c r="AN488" i="94"/>
  <c r="W488" i="94"/>
  <c r="BC487" i="94" a="1"/>
  <c r="BC487" i="94" s="1"/>
  <c r="BB487" i="94" a="1"/>
  <c r="BB487" i="94" s="1"/>
  <c r="BA487" i="94" a="1"/>
  <c r="BA487" i="94" s="1"/>
  <c r="AZ487" i="94" a="1"/>
  <c r="AZ487" i="94" s="1"/>
  <c r="AY487" i="94" a="1"/>
  <c r="AY487" i="94" s="1"/>
  <c r="AX487" i="94" a="1"/>
  <c r="AX487" i="94" s="1"/>
  <c r="AW487" i="94" a="1"/>
  <c r="AW487" i="94" s="1"/>
  <c r="AV487" i="94" a="1"/>
  <c r="AV487" i="94" s="1"/>
  <c r="AU487" i="94"/>
  <c r="AT487" i="94"/>
  <c r="AQ487" i="94"/>
  <c r="AN487" i="94"/>
  <c r="W487" i="94"/>
  <c r="BC486" i="94" a="1"/>
  <c r="BC486" i="94" s="1"/>
  <c r="BB486" i="94" a="1"/>
  <c r="BB486" i="94" s="1"/>
  <c r="BA486" i="94" a="1"/>
  <c r="BA486" i="94" s="1"/>
  <c r="AZ486" i="94" a="1"/>
  <c r="AZ486" i="94" s="1"/>
  <c r="AY486" i="94" a="1"/>
  <c r="AY486" i="94" s="1"/>
  <c r="AX486" i="94" a="1"/>
  <c r="AX486" i="94" s="1"/>
  <c r="AW486" i="94" a="1"/>
  <c r="AW486" i="94" s="1"/>
  <c r="AV486" i="94" a="1"/>
  <c r="AV486" i="94" s="1"/>
  <c r="AU486" i="94"/>
  <c r="AT486" i="94"/>
  <c r="AQ486" i="94"/>
  <c r="AN486" i="94"/>
  <c r="W486" i="94"/>
  <c r="BC485" i="94" a="1"/>
  <c r="BC485" i="94" s="1"/>
  <c r="BB485" i="94" a="1"/>
  <c r="BB485" i="94" s="1"/>
  <c r="BA485" i="94" a="1"/>
  <c r="BA485" i="94" s="1"/>
  <c r="AZ485" i="94" a="1"/>
  <c r="AZ485" i="94" s="1"/>
  <c r="AY485" i="94" a="1"/>
  <c r="AY485" i="94" s="1"/>
  <c r="AX485" i="94" a="1"/>
  <c r="AX485" i="94" s="1"/>
  <c r="AW485" i="94" a="1"/>
  <c r="AW485" i="94" s="1"/>
  <c r="AV485" i="94" a="1"/>
  <c r="AV485" i="94" s="1"/>
  <c r="AU485" i="94"/>
  <c r="AT485" i="94"/>
  <c r="AQ485" i="94"/>
  <c r="AN485" i="94"/>
  <c r="W485" i="94"/>
  <c r="BC484" i="94" a="1"/>
  <c r="BC484" i="94" s="1"/>
  <c r="BB484" i="94" a="1"/>
  <c r="BB484" i="94" s="1"/>
  <c r="BA484" i="94" a="1"/>
  <c r="BA484" i="94" s="1"/>
  <c r="AZ484" i="94" a="1"/>
  <c r="AZ484" i="94" s="1"/>
  <c r="AY484" i="94" a="1"/>
  <c r="AY484" i="94" s="1"/>
  <c r="AX484" i="94" a="1"/>
  <c r="AX484" i="94" s="1"/>
  <c r="AW484" i="94" a="1"/>
  <c r="AW484" i="94" s="1"/>
  <c r="AV484" i="94" a="1"/>
  <c r="AV484" i="94" s="1"/>
  <c r="AU484" i="94"/>
  <c r="AT484" i="94"/>
  <c r="AQ484" i="94"/>
  <c r="AN484" i="94"/>
  <c r="W484" i="94"/>
  <c r="BC483" i="94" a="1"/>
  <c r="BC483" i="94" s="1"/>
  <c r="BB483" i="94" a="1"/>
  <c r="BB483" i="94" s="1"/>
  <c r="BA483" i="94" a="1"/>
  <c r="BA483" i="94" s="1"/>
  <c r="AZ483" i="94" a="1"/>
  <c r="AZ483" i="94" s="1"/>
  <c r="AY483" i="94" a="1"/>
  <c r="AY483" i="94" s="1"/>
  <c r="AX483" i="94" a="1"/>
  <c r="AX483" i="94" s="1"/>
  <c r="AW483" i="94" a="1"/>
  <c r="AW483" i="94" s="1"/>
  <c r="AV483" i="94" a="1"/>
  <c r="AV483" i="94" s="1"/>
  <c r="AU483" i="94"/>
  <c r="AT483" i="94"/>
  <c r="AQ483" i="94"/>
  <c r="AN483" i="94"/>
  <c r="W483" i="94"/>
  <c r="BC482" i="94" a="1"/>
  <c r="BC482" i="94" s="1"/>
  <c r="BB482" i="94" a="1"/>
  <c r="BB482" i="94" s="1"/>
  <c r="BA482" i="94" a="1"/>
  <c r="BA482" i="94" s="1"/>
  <c r="AZ482" i="94"/>
  <c r="AY482" i="94" a="1"/>
  <c r="AY482" i="94" s="1"/>
  <c r="AX482" i="94" a="1"/>
  <c r="AX482" i="94" s="1"/>
  <c r="AW482" i="94" a="1"/>
  <c r="AW482" i="94" s="1"/>
  <c r="AV482" i="94" a="1"/>
  <c r="AV482" i="94" s="1"/>
  <c r="AU482" i="94"/>
  <c r="AT482" i="94"/>
  <c r="AQ482" i="94"/>
  <c r="AN482" i="94"/>
  <c r="W482" i="94"/>
  <c r="BC481" i="94" a="1"/>
  <c r="BC481" i="94" s="1"/>
  <c r="BB481" i="94" a="1"/>
  <c r="BB481" i="94" s="1"/>
  <c r="BA481" i="94" a="1"/>
  <c r="BA481" i="94" s="1"/>
  <c r="AZ481" i="94" a="1"/>
  <c r="AZ481" i="94" s="1"/>
  <c r="AY481" i="94" a="1"/>
  <c r="AY481" i="94" s="1"/>
  <c r="AX481" i="94" a="1"/>
  <c r="AX481" i="94" s="1"/>
  <c r="AW481" i="94" a="1"/>
  <c r="AW481" i="94" s="1"/>
  <c r="AV481" i="94" a="1"/>
  <c r="AV481" i="94" s="1"/>
  <c r="AU481" i="94"/>
  <c r="AT481" i="94"/>
  <c r="AQ481" i="94"/>
  <c r="AN481" i="94"/>
  <c r="W481" i="94"/>
  <c r="BC480" i="94" a="1"/>
  <c r="BC480" i="94" s="1"/>
  <c r="BB480" i="94" a="1"/>
  <c r="BB480" i="94" s="1"/>
  <c r="BA480" i="94" a="1"/>
  <c r="BA480" i="94" s="1"/>
  <c r="AZ480" i="94" a="1"/>
  <c r="AZ480" i="94" s="1"/>
  <c r="AY480" i="94" a="1"/>
  <c r="AY480" i="94" s="1"/>
  <c r="AX480" i="94" a="1"/>
  <c r="AX480" i="94" s="1"/>
  <c r="AW480" i="94" a="1"/>
  <c r="AW480" i="94" s="1"/>
  <c r="AV480" i="94" a="1"/>
  <c r="AV480" i="94" s="1"/>
  <c r="AU480" i="94"/>
  <c r="AT480" i="94"/>
  <c r="AQ480" i="94"/>
  <c r="AN480" i="94"/>
  <c r="W480" i="94"/>
  <c r="BC479" i="94" a="1"/>
  <c r="BC479" i="94" s="1"/>
  <c r="BB479" i="94" a="1"/>
  <c r="BB479" i="94" s="1"/>
  <c r="BA479" i="94" a="1"/>
  <c r="BA479" i="94" s="1"/>
  <c r="AZ479" i="94" a="1"/>
  <c r="AZ479" i="94" s="1"/>
  <c r="AY479" i="94" a="1"/>
  <c r="AY479" i="94" s="1"/>
  <c r="AX479" i="94" a="1"/>
  <c r="AX479" i="94" s="1"/>
  <c r="AW479" i="94" a="1"/>
  <c r="AW479" i="94" s="1"/>
  <c r="AV479" i="94" a="1"/>
  <c r="AV479" i="94" s="1"/>
  <c r="AU479" i="94"/>
  <c r="AT479" i="94"/>
  <c r="AQ479" i="94"/>
  <c r="AN479" i="94"/>
  <c r="W479" i="94"/>
  <c r="BC478" i="94" a="1"/>
  <c r="BC478" i="94" s="1"/>
  <c r="BB478" i="94" a="1"/>
  <c r="BB478" i="94" s="1"/>
  <c r="BA478" i="94" a="1"/>
  <c r="BA478" i="94" s="1"/>
  <c r="AZ478" i="94" a="1"/>
  <c r="AZ478" i="94" s="1"/>
  <c r="AY478" i="94" a="1"/>
  <c r="AY478" i="94" s="1"/>
  <c r="AX478" i="94" a="1"/>
  <c r="AX478" i="94" s="1"/>
  <c r="AW478" i="94" a="1"/>
  <c r="AW478" i="94" s="1"/>
  <c r="AV478" i="94" a="1"/>
  <c r="AV478" i="94" s="1"/>
  <c r="AU478" i="94"/>
  <c r="AT478" i="94"/>
  <c r="AQ478" i="94"/>
  <c r="AN478" i="94"/>
  <c r="W478" i="94"/>
  <c r="BC477" i="94" a="1"/>
  <c r="BC477" i="94" s="1"/>
  <c r="BB477" i="94" a="1"/>
  <c r="BB477" i="94" s="1"/>
  <c r="BA477" i="94" a="1"/>
  <c r="BA477" i="94" s="1"/>
  <c r="AZ477" i="94" a="1"/>
  <c r="AZ477" i="94" s="1"/>
  <c r="AY477" i="94" a="1"/>
  <c r="AY477" i="94" s="1"/>
  <c r="AX477" i="94" a="1"/>
  <c r="AX477" i="94" s="1"/>
  <c r="AW477" i="94" a="1"/>
  <c r="AW477" i="94" s="1"/>
  <c r="AV477" i="94" a="1"/>
  <c r="AV477" i="94" s="1"/>
  <c r="AU477" i="94"/>
  <c r="AT477" i="94"/>
  <c r="AQ477" i="94"/>
  <c r="AN477" i="94"/>
  <c r="W477" i="94"/>
  <c r="BC476" i="94" a="1"/>
  <c r="BC476" i="94" s="1"/>
  <c r="BB476" i="94" a="1"/>
  <c r="BB476" i="94" s="1"/>
  <c r="BA476" i="94" a="1"/>
  <c r="BA476" i="94" s="1"/>
  <c r="AZ476" i="94" a="1"/>
  <c r="AZ476" i="94" s="1"/>
  <c r="AY476" i="94" a="1"/>
  <c r="AY476" i="94" s="1"/>
  <c r="AX476" i="94" a="1"/>
  <c r="AX476" i="94" s="1"/>
  <c r="AW476" i="94" a="1"/>
  <c r="AW476" i="94" s="1"/>
  <c r="AV476" i="94" a="1"/>
  <c r="AV476" i="94" s="1"/>
  <c r="AU476" i="94"/>
  <c r="AT476" i="94"/>
  <c r="AQ476" i="94"/>
  <c r="AN476" i="94"/>
  <c r="W476" i="94"/>
  <c r="BC475" i="94" a="1"/>
  <c r="BC475" i="94" s="1"/>
  <c r="BB475" i="94" a="1"/>
  <c r="BB475" i="94" s="1"/>
  <c r="BA475" i="94" a="1"/>
  <c r="BA475" i="94" s="1"/>
  <c r="AZ475" i="94" a="1"/>
  <c r="AZ475" i="94" s="1"/>
  <c r="AY475" i="94" a="1"/>
  <c r="AY475" i="94" s="1"/>
  <c r="AX475" i="94" a="1"/>
  <c r="AX475" i="94" s="1"/>
  <c r="AW475" i="94" a="1"/>
  <c r="AW475" i="94" s="1"/>
  <c r="AV475" i="94" a="1"/>
  <c r="AV475" i="94" s="1"/>
  <c r="AU475" i="94"/>
  <c r="AT475" i="94"/>
  <c r="AQ475" i="94"/>
  <c r="AN475" i="94"/>
  <c r="W475" i="94"/>
  <c r="BC474" i="94" a="1"/>
  <c r="BC474" i="94" s="1"/>
  <c r="BB474" i="94" a="1"/>
  <c r="BB474" i="94" s="1"/>
  <c r="BA474" i="94" a="1"/>
  <c r="BA474" i="94" s="1"/>
  <c r="AZ474" i="94" a="1"/>
  <c r="AZ474" i="94" s="1"/>
  <c r="AY474" i="94" a="1"/>
  <c r="AY474" i="94" s="1"/>
  <c r="AX474" i="94" a="1"/>
  <c r="AX474" i="94" s="1"/>
  <c r="AW474" i="94" a="1"/>
  <c r="AW474" i="94" s="1"/>
  <c r="AV474" i="94" a="1"/>
  <c r="AV474" i="94" s="1"/>
  <c r="AU474" i="94"/>
  <c r="AT474" i="94"/>
  <c r="AQ474" i="94"/>
  <c r="AN474" i="94"/>
  <c r="W474" i="94"/>
  <c r="BC473" i="94" a="1"/>
  <c r="BC473" i="94" s="1"/>
  <c r="BB473" i="94" a="1"/>
  <c r="BB473" i="94" s="1"/>
  <c r="BA473" i="94" a="1"/>
  <c r="BA473" i="94" s="1"/>
  <c r="AZ473" i="94" a="1"/>
  <c r="AZ473" i="94" s="1"/>
  <c r="AY473" i="94" a="1"/>
  <c r="AY473" i="94" s="1"/>
  <c r="AX473" i="94" a="1"/>
  <c r="AX473" i="94" s="1"/>
  <c r="AW473" i="94" a="1"/>
  <c r="AW473" i="94" s="1"/>
  <c r="AV473" i="94" a="1"/>
  <c r="AV473" i="94" s="1"/>
  <c r="AU473" i="94"/>
  <c r="AT473" i="94"/>
  <c r="AQ473" i="94"/>
  <c r="AN473" i="94"/>
  <c r="W473" i="94"/>
  <c r="BC472" i="94" a="1"/>
  <c r="BC472" i="94" s="1"/>
  <c r="BB472" i="94" a="1"/>
  <c r="BB472" i="94" s="1"/>
  <c r="BA472" i="94" a="1"/>
  <c r="BA472" i="94" s="1"/>
  <c r="AZ472" i="94" a="1"/>
  <c r="AZ472" i="94" s="1"/>
  <c r="AY472" i="94" a="1"/>
  <c r="AY472" i="94" s="1"/>
  <c r="AX472" i="94" a="1"/>
  <c r="AX472" i="94" s="1"/>
  <c r="AW472" i="94" a="1"/>
  <c r="AW472" i="94" s="1"/>
  <c r="AV472" i="94" a="1"/>
  <c r="AV472" i="94" s="1"/>
  <c r="AU472" i="94"/>
  <c r="AT472" i="94"/>
  <c r="AQ472" i="94"/>
  <c r="AN472" i="94"/>
  <c r="W472" i="94"/>
  <c r="BC471" i="94" a="1"/>
  <c r="BC471" i="94" s="1"/>
  <c r="BB471" i="94" a="1"/>
  <c r="BB471" i="94" s="1"/>
  <c r="BA471" i="94" a="1"/>
  <c r="BA471" i="94" s="1"/>
  <c r="AZ471" i="94" a="1"/>
  <c r="AZ471" i="94" s="1"/>
  <c r="AY471" i="94" a="1"/>
  <c r="AY471" i="94" s="1"/>
  <c r="AX471" i="94" a="1"/>
  <c r="AX471" i="94" s="1"/>
  <c r="AW471" i="94" a="1"/>
  <c r="AW471" i="94" s="1"/>
  <c r="AV471" i="94" a="1"/>
  <c r="AV471" i="94" s="1"/>
  <c r="AU471" i="94"/>
  <c r="AT471" i="94"/>
  <c r="AQ471" i="94"/>
  <c r="AN471" i="94"/>
  <c r="W471" i="94"/>
  <c r="BC470" i="94" a="1"/>
  <c r="BC470" i="94" s="1"/>
  <c r="BB470" i="94" a="1"/>
  <c r="BB470" i="94" s="1"/>
  <c r="BA470" i="94" a="1"/>
  <c r="BA470" i="94" s="1"/>
  <c r="AZ470" i="94" a="1"/>
  <c r="AZ470" i="94" s="1"/>
  <c r="AY470" i="94" a="1"/>
  <c r="AY470" i="94" s="1"/>
  <c r="AX470" i="94" a="1"/>
  <c r="AX470" i="94" s="1"/>
  <c r="AW470" i="94" a="1"/>
  <c r="AW470" i="94" s="1"/>
  <c r="AV470" i="94" a="1"/>
  <c r="AV470" i="94" s="1"/>
  <c r="AU470" i="94"/>
  <c r="AT470" i="94"/>
  <c r="AQ470" i="94"/>
  <c r="AN470" i="94"/>
  <c r="W470" i="94"/>
  <c r="BC469" i="94" a="1"/>
  <c r="BC469" i="94" s="1"/>
  <c r="BB469" i="94" a="1"/>
  <c r="BB469" i="94" s="1"/>
  <c r="BA469" i="94" a="1"/>
  <c r="BA469" i="94" s="1"/>
  <c r="AZ469" i="94" a="1"/>
  <c r="AZ469" i="94" s="1"/>
  <c r="AY469" i="94" a="1"/>
  <c r="AY469" i="94" s="1"/>
  <c r="AX469" i="94" a="1"/>
  <c r="AX469" i="94" s="1"/>
  <c r="AW469" i="94" a="1"/>
  <c r="AW469" i="94" s="1"/>
  <c r="AV469" i="94" a="1"/>
  <c r="AV469" i="94" s="1"/>
  <c r="AU469" i="94"/>
  <c r="AT469" i="94"/>
  <c r="AQ469" i="94"/>
  <c r="AN469" i="94"/>
  <c r="W469" i="94"/>
  <c r="BU16" i="93" l="1"/>
  <c r="G20" i="110" s="1"/>
  <c r="BU17" i="93"/>
  <c r="BU13" i="93"/>
  <c r="BU14" i="93"/>
  <c r="BU10" i="93"/>
  <c r="BU7" i="93"/>
  <c r="AR55" i="94"/>
  <c r="BU11" i="93"/>
  <c r="BU9" i="93"/>
  <c r="BU8" i="93"/>
  <c r="BU15" i="93"/>
  <c r="G19" i="110" s="1"/>
  <c r="AP19" i="110" s="1"/>
  <c r="BU12" i="93"/>
  <c r="BE13" i="93"/>
  <c r="BE15" i="93"/>
  <c r="BG15" i="93" s="1"/>
  <c r="D15" i="93" s="1"/>
  <c r="BE8" i="93"/>
  <c r="BE17" i="93"/>
  <c r="BE14" i="93"/>
  <c r="BE12" i="93"/>
  <c r="BE16" i="93"/>
  <c r="BE11" i="93"/>
  <c r="BE9" i="93"/>
  <c r="BE10" i="93"/>
  <c r="BE7" i="93"/>
  <c r="AW557" i="94"/>
  <c r="BA557" i="94"/>
  <c r="BB557" i="94"/>
  <c r="AX557" i="94"/>
  <c r="AY557" i="94"/>
  <c r="BC557" i="94"/>
  <c r="AV557" i="94"/>
  <c r="AZ557" i="94"/>
  <c r="W557" i="94"/>
  <c r="AN557" i="94"/>
  <c r="AO557" i="94"/>
  <c r="BC15" i="93" l="1"/>
  <c r="BC16" i="93"/>
  <c r="H8" i="119" l="1"/>
  <c r="I8" i="119"/>
  <c r="J8" i="119"/>
  <c r="K8" i="119"/>
  <c r="L8" i="119"/>
  <c r="M8" i="119"/>
  <c r="N8" i="119"/>
  <c r="O8" i="119"/>
  <c r="P8" i="119"/>
  <c r="R8" i="119"/>
  <c r="S8" i="119"/>
  <c r="T8" i="119"/>
  <c r="U8" i="119"/>
  <c r="V8" i="119"/>
  <c r="W8" i="119"/>
  <c r="X8" i="119"/>
  <c r="Y8" i="119"/>
  <c r="Z8" i="119"/>
  <c r="AA8" i="119"/>
  <c r="AB8" i="119"/>
  <c r="AC8" i="119"/>
  <c r="AD8" i="119"/>
  <c r="AE8" i="119"/>
  <c r="AF8" i="119"/>
  <c r="AG8" i="119"/>
  <c r="AI7" i="119"/>
  <c r="Q7" i="119"/>
  <c r="Y53" i="94"/>
  <c r="Y52" i="94"/>
  <c r="Y51" i="94"/>
  <c r="Y50" i="94"/>
  <c r="Y49" i="94"/>
  <c r="Y48" i="94"/>
  <c r="Y47" i="94"/>
  <c r="Y46" i="94"/>
  <c r="Y45" i="94"/>
  <c r="Y44" i="94"/>
  <c r="Y43" i="94"/>
  <c r="Y42" i="94"/>
  <c r="Y41" i="94"/>
  <c r="Y40" i="94"/>
  <c r="Y39" i="94"/>
  <c r="Y38" i="94"/>
  <c r="Y37" i="94"/>
  <c r="Y36" i="94"/>
  <c r="Y35" i="94"/>
  <c r="Y34" i="94"/>
  <c r="Y33" i="94"/>
  <c r="Y32" i="94"/>
  <c r="Y31" i="94"/>
  <c r="Y30" i="94"/>
  <c r="Y29" i="94"/>
  <c r="Y28" i="94"/>
  <c r="Y27" i="94"/>
  <c r="Y26" i="94"/>
  <c r="Y25" i="94"/>
  <c r="Y24" i="94"/>
  <c r="Y23" i="94"/>
  <c r="Y22" i="94"/>
  <c r="Y21" i="94"/>
  <c r="Y20" i="94"/>
  <c r="Y19" i="94"/>
  <c r="Y18" i="94"/>
  <c r="Y17" i="94"/>
  <c r="Y16" i="94"/>
  <c r="Y15" i="94"/>
  <c r="Y14" i="94"/>
  <c r="Y13" i="94"/>
  <c r="Y12" i="94"/>
  <c r="Y11" i="94"/>
  <c r="Y10" i="94"/>
  <c r="Y9" i="94"/>
  <c r="Y8" i="94"/>
  <c r="AU19" i="101" l="1"/>
  <c r="BB17" i="93"/>
  <c r="BB14" i="93"/>
  <c r="Y55" i="94"/>
  <c r="BB7" i="93"/>
  <c r="BB16" i="93"/>
  <c r="BB15" i="93"/>
  <c r="BD15" i="93" s="1"/>
  <c r="BB12" i="93"/>
  <c r="BB13" i="93"/>
  <c r="BB9" i="93"/>
  <c r="BB8" i="93"/>
  <c r="BB10" i="93"/>
  <c r="BB11" i="93"/>
  <c r="Q8" i="119"/>
  <c r="AH8" i="119"/>
  <c r="C15" i="93" l="1"/>
  <c r="E19" i="90"/>
  <c r="AV34" i="101" l="1"/>
  <c r="O34" i="101"/>
  <c r="Q34" i="101"/>
  <c r="T34" i="101"/>
  <c r="U34" i="101"/>
  <c r="W34" i="101"/>
  <c r="Z34" i="101"/>
  <c r="AB34" i="101"/>
  <c r="AC34" i="101"/>
  <c r="AD34" i="101"/>
  <c r="AE34" i="101"/>
  <c r="AM34" i="101"/>
  <c r="AP34" i="101"/>
  <c r="AQ34" i="101"/>
  <c r="AT34" i="101"/>
  <c r="AU34" i="101"/>
  <c r="D34" i="101"/>
  <c r="E34" i="101"/>
  <c r="L34" i="101"/>
  <c r="I11" i="73" l="1"/>
  <c r="AU32" i="94" l="1"/>
  <c r="AU33" i="94"/>
  <c r="AU34" i="94"/>
  <c r="AU35" i="94"/>
  <c r="AU36" i="94"/>
  <c r="AU37" i="94"/>
  <c r="AU38" i="94"/>
  <c r="AU39" i="94"/>
  <c r="AU40" i="94"/>
  <c r="AU9" i="94"/>
  <c r="AU10" i="94"/>
  <c r="AU11" i="94"/>
  <c r="AU12" i="94"/>
  <c r="AU13" i="94"/>
  <c r="AU14" i="94"/>
  <c r="AU15" i="94"/>
  <c r="AU16" i="94"/>
  <c r="AU17" i="94"/>
  <c r="AU18" i="94"/>
  <c r="AU19" i="94"/>
  <c r="AU20" i="94"/>
  <c r="AU21" i="94"/>
  <c r="AU22" i="94"/>
  <c r="AU23" i="94"/>
  <c r="AU24" i="94"/>
  <c r="AU25" i="94"/>
  <c r="AU26" i="94"/>
  <c r="AU27" i="94"/>
  <c r="AU28" i="94"/>
  <c r="AU29" i="94"/>
  <c r="AU30" i="94"/>
  <c r="AU31" i="94"/>
  <c r="AU41" i="94"/>
  <c r="AU42" i="94"/>
  <c r="AU43" i="94"/>
  <c r="AU44" i="94"/>
  <c r="AU45" i="94"/>
  <c r="AU46" i="94"/>
  <c r="AU47" i="94"/>
  <c r="AU48" i="94"/>
  <c r="AU49" i="94"/>
  <c r="AU50" i="94"/>
  <c r="AU51" i="94"/>
  <c r="AU52" i="94"/>
  <c r="AU53" i="94"/>
  <c r="A12" i="82" l="1"/>
  <c r="B12" i="82"/>
  <c r="C12" i="82"/>
  <c r="D12" i="82"/>
  <c r="A12" i="81" l="1"/>
  <c r="B12" i="81"/>
  <c r="C12" i="81"/>
  <c r="E12" i="81" s="1"/>
  <c r="D12" i="81"/>
  <c r="A12" i="80"/>
  <c r="B12" i="80"/>
  <c r="C12" i="80"/>
  <c r="D12" i="80"/>
  <c r="A12" i="79"/>
  <c r="B12" i="79"/>
  <c r="C12" i="79"/>
  <c r="E12" i="79" s="1"/>
  <c r="D12" i="79"/>
  <c r="F12" i="79"/>
  <c r="A12" i="78"/>
  <c r="H12" i="78" s="1"/>
  <c r="B12" i="78"/>
  <c r="C12" i="78"/>
  <c r="D12" i="78"/>
  <c r="A12" i="77"/>
  <c r="B12" i="77"/>
  <c r="D12" i="77"/>
  <c r="I12" i="77"/>
  <c r="A12" i="74"/>
  <c r="B12" i="74"/>
  <c r="C12" i="74"/>
  <c r="D12" i="74"/>
  <c r="A12" i="73"/>
  <c r="B12" i="73"/>
  <c r="C12" i="73"/>
  <c r="D12" i="73"/>
  <c r="I12" i="73"/>
  <c r="A12" i="72"/>
  <c r="B12" i="72"/>
  <c r="C12" i="72"/>
  <c r="D12" i="72"/>
  <c r="A12" i="71"/>
  <c r="B12" i="71"/>
  <c r="C12" i="71"/>
  <c r="E12" i="71" s="1"/>
  <c r="D12" i="71"/>
  <c r="F12" i="70"/>
  <c r="G12" i="70" s="1"/>
  <c r="A31" i="69"/>
  <c r="B31" i="69"/>
  <c r="C31" i="69"/>
  <c r="D31" i="69"/>
  <c r="A13" i="68"/>
  <c r="B13" i="68"/>
  <c r="C13" i="68"/>
  <c r="D13" i="68"/>
  <c r="E13" i="68"/>
  <c r="F13" i="68"/>
  <c r="G13" i="68"/>
  <c r="A26" i="66"/>
  <c r="B26" i="66"/>
  <c r="C26" i="66"/>
  <c r="D26" i="66"/>
  <c r="A12" i="65"/>
  <c r="B12" i="65"/>
  <c r="C12" i="65"/>
  <c r="E12" i="65" s="1"/>
  <c r="D12" i="65"/>
  <c r="A12" i="64"/>
  <c r="B12" i="64"/>
  <c r="C12" i="64"/>
  <c r="D12" i="64"/>
  <c r="A12" i="61"/>
  <c r="B12" i="61"/>
  <c r="C12" i="61"/>
  <c r="D12" i="61"/>
  <c r="A12" i="60"/>
  <c r="B12" i="60"/>
  <c r="C12" i="60"/>
  <c r="D12" i="60"/>
  <c r="A12" i="59"/>
  <c r="B12" i="59"/>
  <c r="C12" i="59"/>
  <c r="D12" i="59"/>
  <c r="A12" i="58"/>
  <c r="B12" i="58"/>
  <c r="C12" i="58"/>
  <c r="D12" i="58"/>
  <c r="A12" i="57"/>
  <c r="B12" i="57"/>
  <c r="C12" i="57"/>
  <c r="D12" i="57"/>
  <c r="A12" i="56"/>
  <c r="B12" i="56"/>
  <c r="C12" i="56"/>
  <c r="D12" i="56"/>
  <c r="E12" i="56"/>
  <c r="A12" i="55"/>
  <c r="B12" i="55"/>
  <c r="C12" i="55"/>
  <c r="D12" i="55"/>
  <c r="D12" i="54"/>
  <c r="C12" i="54"/>
  <c r="B12" i="54"/>
  <c r="A12" i="54"/>
  <c r="BD18" i="90"/>
  <c r="AV7" i="90"/>
  <c r="BB7" i="90" s="1"/>
  <c r="W7" i="90"/>
  <c r="AC7" i="90" s="1"/>
  <c r="F26" i="66" l="1"/>
  <c r="I26" i="66"/>
  <c r="E12" i="80"/>
  <c r="H12" i="80" s="1"/>
  <c r="G12" i="80"/>
  <c r="J12" i="80" s="1"/>
  <c r="F12" i="80"/>
  <c r="I12" i="80" s="1"/>
  <c r="E12" i="74"/>
  <c r="H12" i="74"/>
  <c r="F12" i="74"/>
  <c r="G12" i="74"/>
  <c r="H12" i="56"/>
  <c r="F12" i="64"/>
  <c r="H12" i="71"/>
  <c r="G12" i="71"/>
  <c r="F12" i="71"/>
  <c r="E31" i="69"/>
  <c r="F12" i="81"/>
  <c r="I12" i="81" s="1"/>
  <c r="E12" i="55"/>
  <c r="BE18" i="90"/>
  <c r="L12" i="77"/>
  <c r="E26" i="66"/>
  <c r="G26" i="66" s="1"/>
  <c r="H26" i="66" s="1"/>
  <c r="G12" i="77"/>
  <c r="J12" i="77" s="1"/>
  <c r="AV19" i="90"/>
  <c r="W19" i="90"/>
  <c r="BM18" i="90"/>
  <c r="G12" i="81" l="1"/>
  <c r="I12" i="74"/>
  <c r="J12" i="74" s="1"/>
  <c r="K12" i="71"/>
  <c r="J26" i="66"/>
  <c r="K26" i="66" s="1"/>
  <c r="BN18" i="90"/>
  <c r="BO18" i="90"/>
  <c r="L26" i="66" l="1"/>
  <c r="AM648" i="94"/>
  <c r="AL648" i="94"/>
  <c r="AK648" i="94"/>
  <c r="AJ648" i="94"/>
  <c r="AI648" i="94"/>
  <c r="AH648" i="94"/>
  <c r="AG648" i="94"/>
  <c r="AF648" i="94"/>
  <c r="AE648" i="94"/>
  <c r="AD648" i="94"/>
  <c r="AC648" i="94"/>
  <c r="AB648" i="94"/>
  <c r="AA648" i="94"/>
  <c r="Z648" i="94"/>
  <c r="Y648" i="94"/>
  <c r="X648" i="94"/>
  <c r="W648" i="94"/>
  <c r="V648" i="94"/>
  <c r="U648" i="94"/>
  <c r="T648" i="94"/>
  <c r="S648" i="94"/>
  <c r="R648" i="94"/>
  <c r="Q648" i="94"/>
  <c r="P648" i="94"/>
  <c r="O648" i="94"/>
  <c r="N648" i="94"/>
  <c r="M648" i="94"/>
  <c r="L648" i="94"/>
  <c r="K648" i="94"/>
  <c r="J648" i="94"/>
  <c r="I648" i="94"/>
  <c r="H648" i="94"/>
  <c r="G648" i="94"/>
  <c r="F648" i="94"/>
  <c r="AZ648" i="94"/>
  <c r="AV648" i="94"/>
  <c r="AT648" i="94" l="1"/>
  <c r="AU648" i="94"/>
  <c r="AY648" i="94"/>
  <c r="AW648" i="94"/>
  <c r="BA648" i="94"/>
  <c r="AX648" i="94"/>
  <c r="AN648" i="94"/>
  <c r="BG7" i="90" l="1"/>
  <c r="T756" i="94" l="1"/>
  <c r="T757" i="94"/>
  <c r="T758" i="94"/>
  <c r="T759" i="94"/>
  <c r="T760" i="94"/>
  <c r="T761" i="94"/>
  <c r="T762" i="94"/>
  <c r="T763" i="94"/>
  <c r="T764" i="94"/>
  <c r="T765" i="94"/>
  <c r="T766" i="94"/>
  <c r="T767" i="94"/>
  <c r="T768" i="94"/>
  <c r="T769" i="94"/>
  <c r="T770" i="94"/>
  <c r="T771" i="94"/>
  <c r="T772" i="94"/>
  <c r="T773" i="94"/>
  <c r="T774" i="94"/>
  <c r="T775" i="94"/>
  <c r="T776" i="94"/>
  <c r="T777" i="94"/>
  <c r="T778" i="94"/>
  <c r="T779" i="94"/>
  <c r="T780" i="94"/>
  <c r="T781" i="94"/>
  <c r="T782" i="94"/>
  <c r="T783" i="94"/>
  <c r="T784" i="94"/>
  <c r="T785" i="94"/>
  <c r="T786" i="94"/>
  <c r="T787" i="94"/>
  <c r="T788" i="94"/>
  <c r="T789" i="94"/>
  <c r="T790" i="94"/>
  <c r="T791" i="94"/>
  <c r="T792" i="94"/>
  <c r="T793" i="94"/>
  <c r="T794" i="94"/>
  <c r="T795" i="94"/>
  <c r="T796" i="94"/>
  <c r="T797" i="94"/>
  <c r="T798" i="94"/>
  <c r="T799" i="94"/>
  <c r="T800" i="94"/>
  <c r="T801" i="94"/>
  <c r="T802" i="94"/>
  <c r="T803" i="94"/>
  <c r="T804" i="94"/>
  <c r="T805" i="94"/>
  <c r="T806" i="94"/>
  <c r="T807" i="94"/>
  <c r="T808" i="94"/>
  <c r="T809" i="94"/>
  <c r="T810" i="94"/>
  <c r="T811" i="94"/>
  <c r="T812" i="94"/>
  <c r="T813" i="94"/>
  <c r="T815" i="94"/>
  <c r="T816" i="94"/>
  <c r="T817" i="94"/>
  <c r="T818" i="94"/>
  <c r="T814" i="94"/>
  <c r="T837" i="94" l="1"/>
  <c r="AG21" i="119"/>
  <c r="AF21" i="119"/>
  <c r="AE21" i="119"/>
  <c r="AD21" i="119"/>
  <c r="AC21" i="119"/>
  <c r="AB21" i="119"/>
  <c r="AA21" i="119"/>
  <c r="Z21" i="119"/>
  <c r="Y21" i="119"/>
  <c r="X21" i="119"/>
  <c r="W21" i="119"/>
  <c r="V21" i="119"/>
  <c r="U21" i="119"/>
  <c r="T21" i="119"/>
  <c r="S21" i="119"/>
  <c r="R21" i="119"/>
  <c r="P21" i="119"/>
  <c r="O21" i="119"/>
  <c r="N21" i="119"/>
  <c r="M21" i="119"/>
  <c r="L21" i="119"/>
  <c r="K21" i="119"/>
  <c r="J21" i="119"/>
  <c r="I21" i="119"/>
  <c r="H21" i="119"/>
  <c r="AH20" i="119"/>
  <c r="Q20" i="119"/>
  <c r="AH19" i="119"/>
  <c r="Q19" i="119"/>
  <c r="AH18" i="119"/>
  <c r="Q18" i="119"/>
  <c r="AH17" i="119"/>
  <c r="Q17" i="119"/>
  <c r="AH16" i="119"/>
  <c r="Q16" i="119"/>
  <c r="AH15" i="119"/>
  <c r="Q15" i="119"/>
  <c r="AH14" i="119"/>
  <c r="Q14" i="119"/>
  <c r="AH13" i="119"/>
  <c r="Q13" i="119"/>
  <c r="M8" i="133"/>
  <c r="N8" i="133" s="1"/>
  <c r="M9" i="133"/>
  <c r="N9" i="133" s="1"/>
  <c r="M10" i="133"/>
  <c r="N10" i="133" s="1"/>
  <c r="M11" i="133"/>
  <c r="N11" i="133" s="1"/>
  <c r="M12" i="133"/>
  <c r="N12" i="133" s="1"/>
  <c r="M13" i="133"/>
  <c r="N13" i="133" s="1"/>
  <c r="M14" i="133"/>
  <c r="N14" i="133" s="1"/>
  <c r="M15" i="133"/>
  <c r="N15" i="133" s="1"/>
  <c r="M16" i="133"/>
  <c r="N16" i="133" s="1"/>
  <c r="M17" i="133"/>
  <c r="N17" i="133" s="1"/>
  <c r="M18" i="133"/>
  <c r="N18" i="133" s="1"/>
  <c r="M19" i="133"/>
  <c r="N19" i="133" s="1"/>
  <c r="M20" i="133"/>
  <c r="N20" i="133" s="1"/>
  <c r="M21" i="133"/>
  <c r="N21" i="133" s="1"/>
  <c r="M22" i="133"/>
  <c r="N22" i="133" s="1"/>
  <c r="M23" i="133"/>
  <c r="N23" i="133" s="1"/>
  <c r="M24" i="133"/>
  <c r="N24" i="133" s="1"/>
  <c r="M25" i="133"/>
  <c r="N25" i="133" s="1"/>
  <c r="M26" i="133"/>
  <c r="N26" i="133" s="1"/>
  <c r="M27" i="133"/>
  <c r="N27" i="133" s="1"/>
  <c r="M28" i="133"/>
  <c r="N28" i="133" s="1"/>
  <c r="M29" i="133"/>
  <c r="N29" i="133" s="1"/>
  <c r="M30" i="133"/>
  <c r="N30" i="133" s="1"/>
  <c r="M31" i="133"/>
  <c r="N31" i="133" s="1"/>
  <c r="M32" i="133"/>
  <c r="N32" i="133" s="1"/>
  <c r="M33" i="133"/>
  <c r="N33" i="133" s="1"/>
  <c r="M34" i="133"/>
  <c r="N34" i="133" s="1"/>
  <c r="M35" i="133"/>
  <c r="N35" i="133" s="1"/>
  <c r="M36" i="133"/>
  <c r="N36" i="133" s="1"/>
  <c r="M37" i="133"/>
  <c r="N37" i="133" s="1"/>
  <c r="M38" i="133"/>
  <c r="N38" i="133" s="1"/>
  <c r="M39" i="133"/>
  <c r="N39" i="133" s="1"/>
  <c r="M40" i="133"/>
  <c r="N40" i="133" s="1"/>
  <c r="M41" i="133"/>
  <c r="N41" i="133" s="1"/>
  <c r="M42" i="133"/>
  <c r="M7" i="133"/>
  <c r="N7" i="133" s="1"/>
  <c r="BD14" i="90"/>
  <c r="G18" i="75" s="1"/>
  <c r="CY49" i="90"/>
  <c r="CX49" i="90"/>
  <c r="CW49" i="90"/>
  <c r="CV49" i="90"/>
  <c r="CU49" i="90"/>
  <c r="CT49" i="90"/>
  <c r="CS49" i="90"/>
  <c r="CR49" i="90"/>
  <c r="CL49" i="90"/>
  <c r="AW49" i="90"/>
  <c r="AV49" i="90"/>
  <c r="AU49" i="90"/>
  <c r="AT49" i="90"/>
  <c r="AS49" i="90"/>
  <c r="AQ49" i="90"/>
  <c r="AP49" i="90"/>
  <c r="AO49" i="90"/>
  <c r="AN49" i="90"/>
  <c r="AM49" i="90"/>
  <c r="AL49" i="90"/>
  <c r="AK49" i="90"/>
  <c r="AJ49" i="90"/>
  <c r="AI49" i="90"/>
  <c r="AH49" i="90"/>
  <c r="AG49" i="90"/>
  <c r="AF49" i="90"/>
  <c r="AE49" i="90"/>
  <c r="AD49" i="90"/>
  <c r="AC49" i="90"/>
  <c r="AB49" i="90"/>
  <c r="Y49" i="90"/>
  <c r="X49" i="90"/>
  <c r="W49" i="90"/>
  <c r="V49" i="90"/>
  <c r="U49" i="90"/>
  <c r="U50" i="90" s="1"/>
  <c r="T49" i="90"/>
  <c r="S49" i="90"/>
  <c r="R49" i="90"/>
  <c r="Q49" i="90"/>
  <c r="P49" i="90"/>
  <c r="O49" i="90"/>
  <c r="N49" i="90"/>
  <c r="M49" i="90"/>
  <c r="L49" i="90"/>
  <c r="K49" i="90"/>
  <c r="J49" i="90"/>
  <c r="I49" i="90"/>
  <c r="H49" i="90"/>
  <c r="G49" i="90"/>
  <c r="F49" i="90"/>
  <c r="E49" i="90"/>
  <c r="CP48" i="90"/>
  <c r="BF48" i="90"/>
  <c r="BE48" i="90"/>
  <c r="BD48" i="90"/>
  <c r="BC48" i="90"/>
  <c r="BB48" i="90"/>
  <c r="AZ48" i="90"/>
  <c r="AY48" i="90"/>
  <c r="AR48" i="90"/>
  <c r="AX48" i="90" s="1"/>
  <c r="CP47" i="90"/>
  <c r="BF47" i="90"/>
  <c r="BE47" i="90"/>
  <c r="BD47" i="90"/>
  <c r="BC47" i="90"/>
  <c r="BB47" i="90"/>
  <c r="AZ47" i="90"/>
  <c r="AY47" i="90"/>
  <c r="AR47" i="90"/>
  <c r="AX47" i="90" s="1"/>
  <c r="CP46" i="90"/>
  <c r="BF46" i="90"/>
  <c r="BE46" i="90"/>
  <c r="BD46" i="90"/>
  <c r="BC46" i="90"/>
  <c r="BB46" i="90"/>
  <c r="AZ46" i="90"/>
  <c r="AY46" i="90"/>
  <c r="AR46" i="90"/>
  <c r="AX46" i="90" s="1"/>
  <c r="CP45" i="90"/>
  <c r="BF45" i="90"/>
  <c r="BE45" i="90"/>
  <c r="BD45" i="90"/>
  <c r="BC45" i="90"/>
  <c r="BB45" i="90"/>
  <c r="AZ45" i="90"/>
  <c r="AY45" i="90"/>
  <c r="AR45" i="90"/>
  <c r="AX45" i="90" s="1"/>
  <c r="CP44" i="90"/>
  <c r="BF44" i="90"/>
  <c r="BE44" i="90"/>
  <c r="BD44" i="90"/>
  <c r="BC44" i="90"/>
  <c r="BB44" i="90"/>
  <c r="AZ44" i="90"/>
  <c r="AY44" i="90"/>
  <c r="AR44" i="90"/>
  <c r="AX44" i="90" s="1"/>
  <c r="CP43" i="90"/>
  <c r="BF43" i="90"/>
  <c r="BE43" i="90"/>
  <c r="BD43" i="90"/>
  <c r="BC43" i="90"/>
  <c r="BB43" i="90"/>
  <c r="AZ43" i="90"/>
  <c r="AY43" i="90"/>
  <c r="AR43" i="90"/>
  <c r="AX43" i="90" s="1"/>
  <c r="CP42" i="90"/>
  <c r="BF42" i="90"/>
  <c r="BE42" i="90"/>
  <c r="BD42" i="90"/>
  <c r="BC42" i="90"/>
  <c r="BB42" i="90"/>
  <c r="AZ42" i="90"/>
  <c r="AY42" i="90"/>
  <c r="AR42" i="90"/>
  <c r="AX42" i="90" s="1"/>
  <c r="CP41" i="90"/>
  <c r="BF41" i="90"/>
  <c r="BE41" i="90"/>
  <c r="BD41" i="90"/>
  <c r="BC41" i="90"/>
  <c r="BB41" i="90"/>
  <c r="AZ41" i="90"/>
  <c r="AY41" i="90"/>
  <c r="AR41" i="90"/>
  <c r="AX41" i="90" s="1"/>
  <c r="CP40" i="90"/>
  <c r="BF40" i="90"/>
  <c r="BE40" i="90"/>
  <c r="BD40" i="90"/>
  <c r="BC40" i="90"/>
  <c r="BB40" i="90"/>
  <c r="AZ40" i="90"/>
  <c r="AY40" i="90"/>
  <c r="AR40" i="90"/>
  <c r="AX40" i="90" s="1"/>
  <c r="CP39" i="90"/>
  <c r="BF39" i="90"/>
  <c r="BE39" i="90"/>
  <c r="BD39" i="90"/>
  <c r="BC39" i="90"/>
  <c r="BB39" i="90"/>
  <c r="AZ39" i="90"/>
  <c r="AY39" i="90"/>
  <c r="AR39" i="90"/>
  <c r="AX39" i="90" s="1"/>
  <c r="N42" i="133" l="1"/>
  <c r="H21" i="97" s="1"/>
  <c r="H31" i="97"/>
  <c r="H38" i="97"/>
  <c r="H30" i="97"/>
  <c r="H58" i="97"/>
  <c r="H50" i="97"/>
  <c r="H49" i="97"/>
  <c r="H48" i="97"/>
  <c r="H28" i="97"/>
  <c r="H42" i="97"/>
  <c r="H35" i="97"/>
  <c r="H45" i="97"/>
  <c r="H36" i="97"/>
  <c r="H25" i="97"/>
  <c r="H32" i="97"/>
  <c r="H56" i="97"/>
  <c r="H19" i="97"/>
  <c r="H39" i="97"/>
  <c r="H24" i="97"/>
  <c r="H40" i="97"/>
  <c r="H20" i="97"/>
  <c r="AH21" i="119"/>
  <c r="Q21" i="119"/>
  <c r="BI42" i="90"/>
  <c r="AY49" i="90"/>
  <c r="BI46" i="90"/>
  <c r="AX49" i="90"/>
  <c r="BA39" i="90"/>
  <c r="BA41" i="90"/>
  <c r="BA45" i="90"/>
  <c r="AR49" i="90"/>
  <c r="AA49" i="90"/>
  <c r="BE49" i="90"/>
  <c r="BG40" i="90"/>
  <c r="BH40" i="90" s="1"/>
  <c r="BA43" i="90"/>
  <c r="BG44" i="90"/>
  <c r="BH44" i="90" s="1"/>
  <c r="BA47" i="90"/>
  <c r="BG48" i="90"/>
  <c r="BH48" i="90" s="1"/>
  <c r="BC49" i="90"/>
  <c r="BI40" i="90"/>
  <c r="BG41" i="90"/>
  <c r="BJ41" i="90" s="1"/>
  <c r="BG45" i="90"/>
  <c r="BJ45" i="90" s="1"/>
  <c r="BB49" i="90"/>
  <c r="BG43" i="90"/>
  <c r="BJ43" i="90" s="1"/>
  <c r="BG47" i="90"/>
  <c r="BJ47" i="90" s="1"/>
  <c r="BD49" i="90"/>
  <c r="BG42" i="90"/>
  <c r="BH42" i="90" s="1"/>
  <c r="BI44" i="90"/>
  <c r="BG46" i="90"/>
  <c r="BH46" i="90" s="1"/>
  <c r="BI48" i="90"/>
  <c r="AZ49" i="90"/>
  <c r="BI39" i="90"/>
  <c r="BI41" i="90"/>
  <c r="BI43" i="90"/>
  <c r="BI45" i="90"/>
  <c r="BI47" i="90"/>
  <c r="BG39" i="90"/>
  <c r="BJ39" i="90" s="1"/>
  <c r="BA40" i="90"/>
  <c r="BA42" i="90"/>
  <c r="BA44" i="90"/>
  <c r="BA46" i="90"/>
  <c r="BA48" i="90"/>
  <c r="H23" i="97" l="1"/>
  <c r="H17" i="97"/>
  <c r="H53" i="97"/>
  <c r="I53" i="97" s="1"/>
  <c r="H41" i="97"/>
  <c r="H57" i="97"/>
  <c r="H59" i="97"/>
  <c r="I59" i="97" s="1"/>
  <c r="J59" i="97" s="1"/>
  <c r="L59" i="97" s="1"/>
  <c r="M59" i="97" s="1"/>
  <c r="H55" i="97"/>
  <c r="H47" i="97"/>
  <c r="H34" i="97"/>
  <c r="I34" i="97" s="1"/>
  <c r="H51" i="97"/>
  <c r="I51" i="97" s="1"/>
  <c r="H46" i="97"/>
  <c r="I46" i="97" s="1"/>
  <c r="H54" i="97"/>
  <c r="H52" i="97"/>
  <c r="H26" i="97"/>
  <c r="H37" i="97"/>
  <c r="I37" i="97" s="1"/>
  <c r="H44" i="97"/>
  <c r="H22" i="97"/>
  <c r="I22" i="97" s="1"/>
  <c r="H33" i="97"/>
  <c r="I33" i="97" s="1"/>
  <c r="H29" i="97"/>
  <c r="H43" i="97"/>
  <c r="I43" i="97" s="1"/>
  <c r="H27" i="97"/>
  <c r="H14" i="97"/>
  <c r="I14" i="97" s="1"/>
  <c r="H13" i="97"/>
  <c r="I13" i="97" s="1"/>
  <c r="H15" i="97"/>
  <c r="I15" i="97" s="1"/>
  <c r="H16" i="97"/>
  <c r="H18" i="97"/>
  <c r="I38" i="97"/>
  <c r="I48" i="97"/>
  <c r="I20" i="97"/>
  <c r="I35" i="97"/>
  <c r="I58" i="97"/>
  <c r="I36" i="97"/>
  <c r="I56" i="97"/>
  <c r="I32" i="97"/>
  <c r="I49" i="97"/>
  <c r="I50" i="97"/>
  <c r="I17" i="97"/>
  <c r="BK42" i="90"/>
  <c r="BJ44" i="90"/>
  <c r="BK44" i="90"/>
  <c r="BK48" i="90"/>
  <c r="BK40" i="90"/>
  <c r="BH47" i="90"/>
  <c r="BK47" i="90" s="1"/>
  <c r="BH43" i="90"/>
  <c r="BK43" i="90" s="1"/>
  <c r="BH45" i="90"/>
  <c r="BK45" i="90" s="1"/>
  <c r="BH41" i="90"/>
  <c r="BK41" i="90" s="1"/>
  <c r="BJ48" i="90"/>
  <c r="BJ40" i="90"/>
  <c r="BJ46" i="90"/>
  <c r="BK46" i="90"/>
  <c r="BJ42" i="90"/>
  <c r="BH39" i="90"/>
  <c r="BK39" i="90" s="1"/>
  <c r="BA49" i="90"/>
  <c r="N144" i="126" l="1"/>
  <c r="F6" i="68" l="1"/>
  <c r="F9" i="68"/>
  <c r="F11" i="93"/>
  <c r="H16" i="106"/>
  <c r="H50" i="106"/>
  <c r="H49" i="106"/>
  <c r="J47" i="106"/>
  <c r="I47" i="106"/>
  <c r="G47" i="106"/>
  <c r="F47" i="106"/>
  <c r="H45" i="106"/>
  <c r="H44" i="106"/>
  <c r="H43" i="106"/>
  <c r="H42" i="106"/>
  <c r="H41" i="106"/>
  <c r="H40" i="106"/>
  <c r="H39" i="106"/>
  <c r="H38" i="106"/>
  <c r="H37" i="106"/>
  <c r="H36" i="106"/>
  <c r="H35" i="106"/>
  <c r="H34" i="106"/>
  <c r="H33" i="106"/>
  <c r="H32" i="106"/>
  <c r="H31" i="106"/>
  <c r="H30" i="106"/>
  <c r="H29" i="106"/>
  <c r="H28" i="106"/>
  <c r="H27" i="106"/>
  <c r="H26" i="106"/>
  <c r="H25" i="106"/>
  <c r="H24" i="106"/>
  <c r="H23" i="106"/>
  <c r="H22" i="106"/>
  <c r="H21" i="106"/>
  <c r="H20" i="106"/>
  <c r="H19" i="106"/>
  <c r="H18" i="106"/>
  <c r="H17" i="106"/>
  <c r="H15" i="106"/>
  <c r="H14" i="106"/>
  <c r="H13" i="106"/>
  <c r="H12" i="106"/>
  <c r="H11" i="106"/>
  <c r="H10" i="106"/>
  <c r="AF45" i="127"/>
  <c r="AE45" i="127"/>
  <c r="AD45" i="127"/>
  <c r="S6" i="48"/>
  <c r="O10" i="130"/>
  <c r="D47" i="130"/>
  <c r="E47" i="130"/>
  <c r="F11" i="130"/>
  <c r="P11" i="130" s="1"/>
  <c r="F12" i="130"/>
  <c r="F13" i="130"/>
  <c r="P13" i="130" s="1"/>
  <c r="F14" i="130"/>
  <c r="P14" i="130" s="1"/>
  <c r="F15" i="130"/>
  <c r="P15" i="130" s="1"/>
  <c r="F16" i="130"/>
  <c r="P16" i="130" s="1"/>
  <c r="F17" i="130"/>
  <c r="P17" i="130" s="1"/>
  <c r="F18" i="130"/>
  <c r="P18" i="130" s="1"/>
  <c r="F19" i="130"/>
  <c r="P19" i="130" s="1"/>
  <c r="F20" i="130"/>
  <c r="P20" i="130" s="1"/>
  <c r="F21" i="130"/>
  <c r="P21" i="130" s="1"/>
  <c r="F22" i="130"/>
  <c r="P22" i="130" s="1"/>
  <c r="F23" i="130"/>
  <c r="P23" i="130" s="1"/>
  <c r="F24" i="130"/>
  <c r="P24" i="130" s="1"/>
  <c r="F25" i="130"/>
  <c r="P25" i="130" s="1"/>
  <c r="F26" i="130"/>
  <c r="P26" i="130" s="1"/>
  <c r="F27" i="130"/>
  <c r="P27" i="130" s="1"/>
  <c r="F28" i="130"/>
  <c r="P28" i="130" s="1"/>
  <c r="F29" i="130"/>
  <c r="P29" i="130" s="1"/>
  <c r="F30" i="130"/>
  <c r="P30" i="130" s="1"/>
  <c r="F31" i="130"/>
  <c r="P31" i="130" s="1"/>
  <c r="F32" i="130"/>
  <c r="P32" i="130" s="1"/>
  <c r="F33" i="130"/>
  <c r="P33" i="130" s="1"/>
  <c r="F34" i="130"/>
  <c r="P34" i="130" s="1"/>
  <c r="F35" i="130"/>
  <c r="P35" i="130" s="1"/>
  <c r="F36" i="130"/>
  <c r="P36" i="130" s="1"/>
  <c r="F37" i="130"/>
  <c r="P37" i="130" s="1"/>
  <c r="F38" i="130"/>
  <c r="P38" i="130" s="1"/>
  <c r="F39" i="130"/>
  <c r="P39" i="130" s="1"/>
  <c r="F40" i="130"/>
  <c r="P40" i="130" s="1"/>
  <c r="F41" i="130"/>
  <c r="P41" i="130" s="1"/>
  <c r="F42" i="130"/>
  <c r="P42" i="130" s="1"/>
  <c r="F43" i="130"/>
  <c r="P43" i="130" s="1"/>
  <c r="F44" i="130"/>
  <c r="P44" i="130" s="1"/>
  <c r="F45" i="130"/>
  <c r="P45" i="130" s="1"/>
  <c r="F10" i="130"/>
  <c r="P10" i="130" s="1"/>
  <c r="J10" i="38"/>
  <c r="E17" i="38"/>
  <c r="O10" i="38"/>
  <c r="O11" i="130"/>
  <c r="O12" i="130"/>
  <c r="O13" i="130"/>
  <c r="O14" i="130"/>
  <c r="O15" i="130"/>
  <c r="O16" i="130"/>
  <c r="O17" i="130"/>
  <c r="O18" i="130"/>
  <c r="O19" i="130"/>
  <c r="O20" i="130"/>
  <c r="O21" i="130"/>
  <c r="O22" i="130"/>
  <c r="O23" i="130"/>
  <c r="O24" i="130"/>
  <c r="O25" i="130"/>
  <c r="O26" i="130"/>
  <c r="O27" i="130"/>
  <c r="O28" i="130"/>
  <c r="O29" i="130"/>
  <c r="O30" i="130"/>
  <c r="O31" i="130"/>
  <c r="O32" i="130"/>
  <c r="O33" i="130"/>
  <c r="O34" i="130"/>
  <c r="O35" i="130"/>
  <c r="O36" i="130"/>
  <c r="O37" i="130"/>
  <c r="O38" i="130"/>
  <c r="O39" i="130"/>
  <c r="O40" i="130"/>
  <c r="O41" i="130"/>
  <c r="O42" i="130"/>
  <c r="O43" i="130"/>
  <c r="O44" i="130"/>
  <c r="O45" i="130"/>
  <c r="K11" i="130"/>
  <c r="L11" i="130" s="1"/>
  <c r="M11" i="130" s="1"/>
  <c r="K12" i="130"/>
  <c r="L12" i="130" s="1"/>
  <c r="M12" i="130" s="1"/>
  <c r="K13" i="130"/>
  <c r="L13" i="130" s="1"/>
  <c r="M13" i="130" s="1"/>
  <c r="K14" i="130"/>
  <c r="L14" i="130" s="1"/>
  <c r="M14" i="130" s="1"/>
  <c r="K15" i="130"/>
  <c r="L15" i="130" s="1"/>
  <c r="M15" i="130" s="1"/>
  <c r="K16" i="130"/>
  <c r="L16" i="130" s="1"/>
  <c r="M16" i="130" s="1"/>
  <c r="K17" i="130"/>
  <c r="L17" i="130" s="1"/>
  <c r="M17" i="130" s="1"/>
  <c r="K18" i="130"/>
  <c r="L18" i="130" s="1"/>
  <c r="M18" i="130" s="1"/>
  <c r="K19" i="130"/>
  <c r="L19" i="130" s="1"/>
  <c r="M19" i="130" s="1"/>
  <c r="K20" i="130"/>
  <c r="L20" i="130" s="1"/>
  <c r="M20" i="130" s="1"/>
  <c r="K21" i="130"/>
  <c r="L21" i="130" s="1"/>
  <c r="M21" i="130" s="1"/>
  <c r="K22" i="130"/>
  <c r="L22" i="130" s="1"/>
  <c r="M22" i="130" s="1"/>
  <c r="K23" i="130"/>
  <c r="L23" i="130" s="1"/>
  <c r="M23" i="130" s="1"/>
  <c r="K24" i="130"/>
  <c r="L24" i="130" s="1"/>
  <c r="M24" i="130" s="1"/>
  <c r="K25" i="130"/>
  <c r="L25" i="130" s="1"/>
  <c r="M25" i="130" s="1"/>
  <c r="K26" i="130"/>
  <c r="L26" i="130" s="1"/>
  <c r="M26" i="130" s="1"/>
  <c r="K27" i="130"/>
  <c r="L27" i="130" s="1"/>
  <c r="M27" i="130" s="1"/>
  <c r="K28" i="130"/>
  <c r="L28" i="130" s="1"/>
  <c r="M28" i="130" s="1"/>
  <c r="K29" i="130"/>
  <c r="L29" i="130" s="1"/>
  <c r="M29" i="130" s="1"/>
  <c r="K30" i="130"/>
  <c r="L30" i="130" s="1"/>
  <c r="M30" i="130" s="1"/>
  <c r="K31" i="130"/>
  <c r="L31" i="130" s="1"/>
  <c r="M31" i="130" s="1"/>
  <c r="K32" i="130"/>
  <c r="L32" i="130" s="1"/>
  <c r="M32" i="130" s="1"/>
  <c r="K33" i="130"/>
  <c r="L33" i="130" s="1"/>
  <c r="M33" i="130" s="1"/>
  <c r="K34" i="130"/>
  <c r="L34" i="130" s="1"/>
  <c r="M34" i="130" s="1"/>
  <c r="K35" i="130"/>
  <c r="L35" i="130" s="1"/>
  <c r="M35" i="130" s="1"/>
  <c r="K36" i="130"/>
  <c r="L36" i="130" s="1"/>
  <c r="M36" i="130" s="1"/>
  <c r="K37" i="130"/>
  <c r="L37" i="130" s="1"/>
  <c r="M37" i="130" s="1"/>
  <c r="K38" i="130"/>
  <c r="L38" i="130" s="1"/>
  <c r="M38" i="130" s="1"/>
  <c r="K39" i="130"/>
  <c r="L39" i="130" s="1"/>
  <c r="M39" i="130" s="1"/>
  <c r="K40" i="130"/>
  <c r="L40" i="130" s="1"/>
  <c r="M40" i="130" s="1"/>
  <c r="K41" i="130"/>
  <c r="L41" i="130" s="1"/>
  <c r="M41" i="130" s="1"/>
  <c r="K42" i="130"/>
  <c r="L42" i="130" s="1"/>
  <c r="M42" i="130" s="1"/>
  <c r="K43" i="130"/>
  <c r="L43" i="130" s="1"/>
  <c r="M43" i="130" s="1"/>
  <c r="K44" i="130"/>
  <c r="L44" i="130" s="1"/>
  <c r="M44" i="130" s="1"/>
  <c r="K45" i="130"/>
  <c r="L45" i="130" s="1"/>
  <c r="M45" i="130" s="1"/>
  <c r="K10" i="130"/>
  <c r="I47" i="130"/>
  <c r="H47" i="130"/>
  <c r="C47" i="130"/>
  <c r="O47" i="130" s="1"/>
  <c r="K23" i="68" l="1"/>
  <c r="K13" i="68"/>
  <c r="H23" i="68"/>
  <c r="H13" i="68"/>
  <c r="F47" i="130"/>
  <c r="P47" i="130" s="1"/>
  <c r="P12" i="130"/>
  <c r="M49" i="130"/>
  <c r="H47" i="106"/>
  <c r="K47" i="130"/>
  <c r="L47" i="130" s="1"/>
  <c r="M47" i="130" s="1"/>
  <c r="L10" i="130"/>
  <c r="M10" i="130" s="1"/>
  <c r="I39" i="129"/>
  <c r="I40" i="129" s="1"/>
  <c r="H38" i="23"/>
  <c r="H39" i="23" s="1"/>
  <c r="C38" i="128"/>
  <c r="D38" i="128"/>
  <c r="E38" i="128"/>
  <c r="F38" i="128"/>
  <c r="G38" i="128"/>
  <c r="H38" i="128"/>
  <c r="I38" i="128"/>
  <c r="J38" i="128"/>
  <c r="K38" i="128"/>
  <c r="L38" i="128"/>
  <c r="M38" i="128"/>
  <c r="N38" i="128"/>
  <c r="O38" i="128"/>
  <c r="P38" i="128"/>
  <c r="R38" i="128"/>
  <c r="Q38" i="128"/>
  <c r="K12" i="80" l="1"/>
  <c r="K21" i="80"/>
  <c r="AB45" i="127"/>
  <c r="AA45" i="127"/>
  <c r="Z45" i="127"/>
  <c r="Y45" i="127"/>
  <c r="V45" i="127"/>
  <c r="U45" i="127"/>
  <c r="T45" i="127"/>
  <c r="S45" i="127"/>
  <c r="R45" i="127"/>
  <c r="Q45" i="127"/>
  <c r="P45" i="127"/>
  <c r="O45" i="127"/>
  <c r="M45" i="127"/>
  <c r="L45" i="127"/>
  <c r="K45" i="127"/>
  <c r="J45" i="127"/>
  <c r="I45" i="127"/>
  <c r="H45" i="127"/>
  <c r="G45" i="127"/>
  <c r="F45" i="127"/>
  <c r="E45" i="127"/>
  <c r="D45" i="127"/>
  <c r="B45" i="127"/>
  <c r="C45" i="127" s="1"/>
  <c r="C44" i="127"/>
  <c r="C43" i="127"/>
  <c r="C42" i="127"/>
  <c r="C41" i="127"/>
  <c r="C40" i="127"/>
  <c r="C39" i="127"/>
  <c r="C38" i="127"/>
  <c r="C37" i="127"/>
  <c r="C36" i="127"/>
  <c r="C35" i="127"/>
  <c r="C34" i="127"/>
  <c r="C33" i="127"/>
  <c r="C32" i="127"/>
  <c r="C31" i="127"/>
  <c r="C30" i="127"/>
  <c r="C29" i="127"/>
  <c r="C28" i="127"/>
  <c r="C27" i="127"/>
  <c r="C26" i="127"/>
  <c r="C25" i="127"/>
  <c r="C24" i="127"/>
  <c r="C23" i="127"/>
  <c r="C22" i="127"/>
  <c r="C21" i="127"/>
  <c r="C20" i="127"/>
  <c r="C19" i="127"/>
  <c r="C18" i="127"/>
  <c r="C17" i="127"/>
  <c r="C16" i="127"/>
  <c r="C15" i="127"/>
  <c r="C14" i="127"/>
  <c r="C13" i="127"/>
  <c r="C12" i="127"/>
  <c r="C11" i="127"/>
  <c r="C10" i="127"/>
  <c r="C9" i="127"/>
  <c r="C8" i="127"/>
  <c r="AC45" i="127" l="1"/>
  <c r="I6" i="71"/>
  <c r="I8" i="71" s="1"/>
  <c r="N45" i="127"/>
  <c r="W45" i="127"/>
  <c r="X45" i="127"/>
  <c r="I19" i="71" l="1"/>
  <c r="I12" i="71"/>
  <c r="J12" i="71" s="1"/>
  <c r="G111" i="126"/>
  <c r="C111" i="126"/>
  <c r="B115" i="126"/>
  <c r="J115" i="126"/>
  <c r="F58" i="115"/>
  <c r="B54" i="115"/>
  <c r="B53" i="115"/>
  <c r="N19" i="71" l="1"/>
  <c r="J19" i="71"/>
  <c r="G113" i="126"/>
  <c r="G110" i="126"/>
  <c r="J121" i="126" l="1"/>
  <c r="J119" i="126"/>
  <c r="J117" i="126"/>
  <c r="J111" i="126" l="1"/>
  <c r="J110" i="126"/>
  <c r="B117" i="126"/>
  <c r="K117" i="126" s="1"/>
  <c r="J126" i="126" s="1"/>
  <c r="J112" i="126" l="1"/>
  <c r="F115" i="126"/>
  <c r="F111" i="126"/>
  <c r="K115" i="126" l="1"/>
  <c r="J124" i="126" s="1"/>
  <c r="J128" i="126" s="1"/>
  <c r="K112" i="126"/>
  <c r="B121" i="126"/>
  <c r="B119" i="126"/>
  <c r="N128" i="126" s="1"/>
  <c r="G115" i="126"/>
  <c r="F124" i="126" s="1"/>
  <c r="N110" i="126" l="1"/>
  <c r="F110" i="126"/>
  <c r="F112" i="126" s="1"/>
  <c r="B111" i="126"/>
  <c r="B110" i="126"/>
  <c r="Y25" i="126"/>
  <c r="Y24" i="126"/>
  <c r="B58" i="126"/>
  <c r="B59" i="126" s="1"/>
  <c r="B54" i="126"/>
  <c r="B53" i="126"/>
  <c r="B29" i="126"/>
  <c r="B6" i="126"/>
  <c r="B112" i="126" l="1"/>
  <c r="B8" i="126"/>
  <c r="B9" i="126" s="1"/>
  <c r="B18" i="126" s="1"/>
  <c r="Y27" i="126"/>
  <c r="R27" i="126" s="1"/>
  <c r="F121" i="126"/>
  <c r="F117" i="126"/>
  <c r="J125" i="126" s="1"/>
  <c r="J129" i="126" s="1"/>
  <c r="F119" i="126"/>
  <c r="B55" i="126"/>
  <c r="B68" i="126" l="1"/>
  <c r="B65" i="126"/>
  <c r="E75" i="126"/>
  <c r="B75" i="126"/>
  <c r="E34" i="126"/>
  <c r="B15" i="126"/>
  <c r="B19" i="126" s="1"/>
  <c r="B41" i="126" s="1"/>
  <c r="B26" i="126"/>
  <c r="B30" i="126" s="1"/>
  <c r="F128" i="126"/>
  <c r="J27" i="126"/>
  <c r="M27" i="126"/>
  <c r="V27" i="126"/>
  <c r="B56" i="126"/>
  <c r="B60" i="126" s="1"/>
  <c r="B69" i="126" l="1"/>
  <c r="T113" i="115"/>
  <c r="T112" i="115"/>
  <c r="T115" i="115" l="1"/>
  <c r="H115" i="115" s="1"/>
  <c r="E115" i="115" l="1"/>
  <c r="Q115" i="115"/>
  <c r="M115" i="115"/>
  <c r="B58" i="115"/>
  <c r="B59" i="115" s="1"/>
  <c r="B67" i="115"/>
  <c r="B6" i="115" l="1"/>
  <c r="AA7" i="93" l="1"/>
  <c r="I15" i="111" l="1"/>
  <c r="BF7" i="93"/>
  <c r="BF11" i="93"/>
  <c r="BF13" i="93"/>
  <c r="BF16" i="93"/>
  <c r="BC7" i="93"/>
  <c r="BD7" i="93" s="1"/>
  <c r="BC11" i="93"/>
  <c r="BC13" i="93"/>
  <c r="BD13" i="93" s="1"/>
  <c r="BC14" i="93"/>
  <c r="O39" i="111" l="1"/>
  <c r="J28" i="111"/>
  <c r="J29" i="111" s="1"/>
  <c r="B9" i="111" s="1"/>
  <c r="C9" i="111" s="1"/>
  <c r="B23" i="111"/>
  <c r="V22" i="111"/>
  <c r="Y22" i="111" s="1"/>
  <c r="V21" i="111"/>
  <c r="Y21" i="111" s="1"/>
  <c r="I21" i="111"/>
  <c r="B6" i="111" s="1"/>
  <c r="C6" i="111" s="1"/>
  <c r="Y16" i="111"/>
  <c r="Y15" i="111"/>
  <c r="M15" i="111"/>
  <c r="X9" i="111"/>
  <c r="W9" i="111"/>
  <c r="V9" i="111"/>
  <c r="U8" i="111"/>
  <c r="U7" i="111"/>
  <c r="B7" i="111"/>
  <c r="C7" i="111" s="1"/>
  <c r="C18" i="105"/>
  <c r="F42" i="104"/>
  <c r="C42" i="104"/>
  <c r="E42" i="104" s="1"/>
  <c r="B42" i="104"/>
  <c r="D42" i="104" s="1"/>
  <c r="F41" i="104"/>
  <c r="C41" i="104"/>
  <c r="E41" i="104" s="1"/>
  <c r="B41" i="104"/>
  <c r="D41" i="104" s="1"/>
  <c r="F40" i="104"/>
  <c r="C40" i="104"/>
  <c r="E40" i="104" s="1"/>
  <c r="B40" i="104"/>
  <c r="D40" i="104" s="1"/>
  <c r="F39" i="104"/>
  <c r="C39" i="104"/>
  <c r="E39" i="104" s="1"/>
  <c r="B39" i="104"/>
  <c r="D39" i="104" s="1"/>
  <c r="F38" i="104"/>
  <c r="C38" i="104"/>
  <c r="E38" i="104" s="1"/>
  <c r="B38" i="104"/>
  <c r="D38" i="104" s="1"/>
  <c r="F37" i="104"/>
  <c r="C37" i="104"/>
  <c r="E37" i="104" s="1"/>
  <c r="B37" i="104"/>
  <c r="D37" i="104" s="1"/>
  <c r="F36" i="104"/>
  <c r="C36" i="104"/>
  <c r="E36" i="104" s="1"/>
  <c r="B36" i="104"/>
  <c r="D36" i="104" s="1"/>
  <c r="F35" i="104"/>
  <c r="C35" i="104"/>
  <c r="E35" i="104" s="1"/>
  <c r="B35" i="104"/>
  <c r="D35" i="104" s="1"/>
  <c r="F34" i="104"/>
  <c r="C34" i="104"/>
  <c r="E34" i="104" s="1"/>
  <c r="B34" i="104"/>
  <c r="D34" i="104" s="1"/>
  <c r="F33" i="104"/>
  <c r="C33" i="104"/>
  <c r="E33" i="104" s="1"/>
  <c r="B33" i="104"/>
  <c r="D33" i="104" s="1"/>
  <c r="F32" i="104"/>
  <c r="C32" i="104"/>
  <c r="E32" i="104" s="1"/>
  <c r="B32" i="104"/>
  <c r="D32" i="104" s="1"/>
  <c r="F31" i="104"/>
  <c r="C31" i="104"/>
  <c r="E31" i="104" s="1"/>
  <c r="B31" i="104"/>
  <c r="D31" i="104" s="1"/>
  <c r="F30" i="104"/>
  <c r="C30" i="104"/>
  <c r="E30" i="104" s="1"/>
  <c r="B30" i="104"/>
  <c r="D30" i="104" s="1"/>
  <c r="F29" i="104"/>
  <c r="C29" i="104"/>
  <c r="E29" i="104" s="1"/>
  <c r="B29" i="104"/>
  <c r="D29" i="104" s="1"/>
  <c r="F28" i="104"/>
  <c r="C28" i="104"/>
  <c r="E28" i="104" s="1"/>
  <c r="B28" i="104"/>
  <c r="D28" i="104" s="1"/>
  <c r="F27" i="104"/>
  <c r="C27" i="104"/>
  <c r="E27" i="104" s="1"/>
  <c r="B27" i="104"/>
  <c r="D27" i="104" s="1"/>
  <c r="F26" i="104"/>
  <c r="C26" i="104"/>
  <c r="E26" i="104" s="1"/>
  <c r="B26" i="104"/>
  <c r="D26" i="104" s="1"/>
  <c r="F25" i="104"/>
  <c r="C25" i="104"/>
  <c r="E25" i="104" s="1"/>
  <c r="B25" i="104"/>
  <c r="D25" i="104" s="1"/>
  <c r="F24" i="104"/>
  <c r="C24" i="104"/>
  <c r="E24" i="104" s="1"/>
  <c r="B24" i="104"/>
  <c r="D24" i="104" s="1"/>
  <c r="F23" i="104"/>
  <c r="C23" i="104"/>
  <c r="E23" i="104" s="1"/>
  <c r="B23" i="104"/>
  <c r="D23" i="104" s="1"/>
  <c r="F22" i="104"/>
  <c r="C22" i="104"/>
  <c r="E22" i="104" s="1"/>
  <c r="B22" i="104"/>
  <c r="D22" i="104" s="1"/>
  <c r="F21" i="104"/>
  <c r="C21" i="104"/>
  <c r="E21" i="104" s="1"/>
  <c r="B21" i="104"/>
  <c r="D21" i="104" s="1"/>
  <c r="F20" i="104"/>
  <c r="C20" i="104"/>
  <c r="E20" i="104" s="1"/>
  <c r="B20" i="104"/>
  <c r="D20" i="104" s="1"/>
  <c r="F19" i="104"/>
  <c r="C19" i="104"/>
  <c r="E19" i="104" s="1"/>
  <c r="B19" i="104"/>
  <c r="D19" i="104" s="1"/>
  <c r="F18" i="104"/>
  <c r="C18" i="104"/>
  <c r="E18" i="104" s="1"/>
  <c r="B18" i="104"/>
  <c r="D18" i="104" s="1"/>
  <c r="F17" i="104"/>
  <c r="C17" i="104"/>
  <c r="E17" i="104" s="1"/>
  <c r="B17" i="104"/>
  <c r="D17" i="104" s="1"/>
  <c r="F16" i="104"/>
  <c r="C16" i="104"/>
  <c r="E16" i="104" s="1"/>
  <c r="B16" i="104"/>
  <c r="D16" i="104" s="1"/>
  <c r="F15" i="104"/>
  <c r="C15" i="104"/>
  <c r="E15" i="104" s="1"/>
  <c r="B15" i="104"/>
  <c r="D15" i="104" s="1"/>
  <c r="F14" i="104"/>
  <c r="C14" i="104"/>
  <c r="E14" i="104" s="1"/>
  <c r="B14" i="104"/>
  <c r="D14" i="104" s="1"/>
  <c r="F13" i="104"/>
  <c r="C13" i="104"/>
  <c r="E13" i="104" s="1"/>
  <c r="B13" i="104"/>
  <c r="D13" i="104" s="1"/>
  <c r="F12" i="104"/>
  <c r="C12" i="104"/>
  <c r="E12" i="104" s="1"/>
  <c r="B12" i="104"/>
  <c r="D12" i="104" s="1"/>
  <c r="F11" i="104"/>
  <c r="C11" i="104"/>
  <c r="E11" i="104" s="1"/>
  <c r="B11" i="104"/>
  <c r="D11" i="104" s="1"/>
  <c r="F10" i="104"/>
  <c r="C10" i="104"/>
  <c r="E10" i="104" s="1"/>
  <c r="B10" i="104"/>
  <c r="D10" i="104" s="1"/>
  <c r="F9" i="104"/>
  <c r="C9" i="104"/>
  <c r="E9" i="104" s="1"/>
  <c r="B9" i="104"/>
  <c r="D9" i="104" s="1"/>
  <c r="F8" i="104"/>
  <c r="C8" i="104"/>
  <c r="E8" i="104" s="1"/>
  <c r="B8" i="104"/>
  <c r="D8" i="104" s="1"/>
  <c r="F7" i="104"/>
  <c r="C7" i="104"/>
  <c r="B7" i="104"/>
  <c r="T6" i="48"/>
  <c r="C44" i="106"/>
  <c r="C47" i="106" s="1"/>
  <c r="B44" i="106"/>
  <c r="B47" i="106" s="1"/>
  <c r="D41" i="43"/>
  <c r="C41" i="43"/>
  <c r="B41" i="43"/>
  <c r="D40" i="43"/>
  <c r="C40" i="43"/>
  <c r="B40" i="43"/>
  <c r="D39" i="43"/>
  <c r="C39" i="43"/>
  <c r="B39" i="43"/>
  <c r="D38" i="43"/>
  <c r="C38" i="43"/>
  <c r="B38" i="43"/>
  <c r="D37" i="43"/>
  <c r="C37" i="43"/>
  <c r="B37" i="43"/>
  <c r="D36" i="43"/>
  <c r="C36" i="43"/>
  <c r="B36" i="43"/>
  <c r="D35" i="43"/>
  <c r="C35" i="43"/>
  <c r="B35" i="43"/>
  <c r="D34" i="43"/>
  <c r="C34" i="43"/>
  <c r="B34" i="43"/>
  <c r="D33" i="43"/>
  <c r="C33" i="43"/>
  <c r="B33" i="43"/>
  <c r="D32" i="43"/>
  <c r="C32" i="43"/>
  <c r="B32" i="43"/>
  <c r="D31" i="43"/>
  <c r="C31" i="43"/>
  <c r="B31" i="43"/>
  <c r="D30" i="43"/>
  <c r="C30" i="43"/>
  <c r="B30" i="43"/>
  <c r="D29" i="43"/>
  <c r="C29" i="43"/>
  <c r="B29" i="43"/>
  <c r="D28" i="43"/>
  <c r="C28" i="43"/>
  <c r="B28" i="43"/>
  <c r="D27" i="43"/>
  <c r="C27" i="43"/>
  <c r="B27" i="43"/>
  <c r="D26" i="43"/>
  <c r="C26" i="43"/>
  <c r="B26" i="43"/>
  <c r="D25" i="43"/>
  <c r="C25" i="43"/>
  <c r="B25" i="43"/>
  <c r="D24" i="43"/>
  <c r="C24" i="43"/>
  <c r="B24" i="43"/>
  <c r="D23" i="43"/>
  <c r="C23" i="43"/>
  <c r="B23" i="43"/>
  <c r="D22" i="43"/>
  <c r="C22" i="43"/>
  <c r="B22" i="43"/>
  <c r="D21" i="43"/>
  <c r="C21" i="43"/>
  <c r="B21" i="43"/>
  <c r="D20" i="43"/>
  <c r="C20" i="43"/>
  <c r="B20" i="43"/>
  <c r="D19" i="43"/>
  <c r="C19" i="43"/>
  <c r="B19" i="43"/>
  <c r="D18" i="43"/>
  <c r="C18" i="43"/>
  <c r="B18" i="43"/>
  <c r="D17" i="43"/>
  <c r="C17" i="43"/>
  <c r="B17" i="43"/>
  <c r="D16" i="43"/>
  <c r="C16" i="43"/>
  <c r="B16" i="43"/>
  <c r="D15" i="43"/>
  <c r="C15" i="43"/>
  <c r="B15" i="43"/>
  <c r="D14" i="43"/>
  <c r="C14" i="43"/>
  <c r="B14" i="43"/>
  <c r="D13" i="43"/>
  <c r="C13" i="43"/>
  <c r="B13" i="43"/>
  <c r="D12" i="43"/>
  <c r="C12" i="43"/>
  <c r="B12" i="43"/>
  <c r="D11" i="43"/>
  <c r="C11" i="43"/>
  <c r="B11" i="43"/>
  <c r="D10" i="43"/>
  <c r="C10" i="43"/>
  <c r="B10" i="43"/>
  <c r="D9" i="43"/>
  <c r="C9" i="43"/>
  <c r="B9" i="43"/>
  <c r="D8" i="43"/>
  <c r="C8" i="43"/>
  <c r="B8" i="43"/>
  <c r="D7" i="43"/>
  <c r="C7" i="43"/>
  <c r="B7" i="43"/>
  <c r="D6" i="43"/>
  <c r="C6" i="43"/>
  <c r="B6" i="43"/>
  <c r="D16" i="100"/>
  <c r="C16" i="100"/>
  <c r="L42" i="98"/>
  <c r="K42" i="98"/>
  <c r="J42" i="98"/>
  <c r="I42" i="98"/>
  <c r="G42" i="98"/>
  <c r="F42" i="98"/>
  <c r="E42" i="98"/>
  <c r="C42" i="98"/>
  <c r="L41" i="98"/>
  <c r="K41" i="98"/>
  <c r="J41" i="98"/>
  <c r="I41" i="98"/>
  <c r="G41" i="98"/>
  <c r="F41" i="98"/>
  <c r="E41" i="98"/>
  <c r="C41" i="98"/>
  <c r="L40" i="98"/>
  <c r="K40" i="98"/>
  <c r="J40" i="98"/>
  <c r="I40" i="98"/>
  <c r="G40" i="98"/>
  <c r="F40" i="98"/>
  <c r="E40" i="98"/>
  <c r="C40" i="98"/>
  <c r="L39" i="98"/>
  <c r="K39" i="98"/>
  <c r="J39" i="98"/>
  <c r="I39" i="98"/>
  <c r="G39" i="98"/>
  <c r="F39" i="98"/>
  <c r="E39" i="98"/>
  <c r="C39" i="98"/>
  <c r="L38" i="98"/>
  <c r="K38" i="98"/>
  <c r="J38" i="98"/>
  <c r="I38" i="98"/>
  <c r="G38" i="98"/>
  <c r="F38" i="98"/>
  <c r="E38" i="98"/>
  <c r="C38" i="98"/>
  <c r="L37" i="98"/>
  <c r="K37" i="98"/>
  <c r="J37" i="98"/>
  <c r="I37" i="98"/>
  <c r="G37" i="98"/>
  <c r="F37" i="98"/>
  <c r="E37" i="98"/>
  <c r="C37" i="98"/>
  <c r="L36" i="98"/>
  <c r="K36" i="98"/>
  <c r="J36" i="98"/>
  <c r="I36" i="98"/>
  <c r="G36" i="98"/>
  <c r="F36" i="98"/>
  <c r="E36" i="98"/>
  <c r="C36" i="98"/>
  <c r="L35" i="98"/>
  <c r="K35" i="98"/>
  <c r="J35" i="98"/>
  <c r="I35" i="98"/>
  <c r="G35" i="98"/>
  <c r="F35" i="98"/>
  <c r="E35" i="98"/>
  <c r="C35" i="98"/>
  <c r="L34" i="98"/>
  <c r="K34" i="98"/>
  <c r="J34" i="98"/>
  <c r="I34" i="98"/>
  <c r="G34" i="98"/>
  <c r="F34" i="98"/>
  <c r="E34" i="98"/>
  <c r="C34" i="98"/>
  <c r="L33" i="98"/>
  <c r="K33" i="98"/>
  <c r="J33" i="98"/>
  <c r="I33" i="98"/>
  <c r="G33" i="98"/>
  <c r="F33" i="98"/>
  <c r="E33" i="98"/>
  <c r="C33" i="98"/>
  <c r="L32" i="98"/>
  <c r="K32" i="98"/>
  <c r="J32" i="98"/>
  <c r="I32" i="98"/>
  <c r="G32" i="98"/>
  <c r="F32" i="98"/>
  <c r="E32" i="98"/>
  <c r="C32" i="98"/>
  <c r="L31" i="98"/>
  <c r="K31" i="98"/>
  <c r="J31" i="98"/>
  <c r="I31" i="98"/>
  <c r="G31" i="98"/>
  <c r="F31" i="98"/>
  <c r="E31" i="98"/>
  <c r="C31" i="98"/>
  <c r="L30" i="98"/>
  <c r="K30" i="98"/>
  <c r="J30" i="98"/>
  <c r="I30" i="98"/>
  <c r="G30" i="98"/>
  <c r="F30" i="98"/>
  <c r="E30" i="98"/>
  <c r="C30" i="98"/>
  <c r="L29" i="98"/>
  <c r="K29" i="98"/>
  <c r="J29" i="98"/>
  <c r="I29" i="98"/>
  <c r="G29" i="98"/>
  <c r="F29" i="98"/>
  <c r="E29" i="98"/>
  <c r="C29" i="98"/>
  <c r="L28" i="98"/>
  <c r="K28" i="98"/>
  <c r="J28" i="98"/>
  <c r="I28" i="98"/>
  <c r="G28" i="98"/>
  <c r="F28" i="98"/>
  <c r="E28" i="98"/>
  <c r="C28" i="98"/>
  <c r="L27" i="98"/>
  <c r="K27" i="98"/>
  <c r="J27" i="98"/>
  <c r="I27" i="98"/>
  <c r="G27" i="98"/>
  <c r="F27" i="98"/>
  <c r="E27" i="98"/>
  <c r="C27" i="98"/>
  <c r="L26" i="98"/>
  <c r="K26" i="98"/>
  <c r="J26" i="98"/>
  <c r="I26" i="98"/>
  <c r="G26" i="98"/>
  <c r="F26" i="98"/>
  <c r="E26" i="98"/>
  <c r="C26" i="98"/>
  <c r="L25" i="98"/>
  <c r="K25" i="98"/>
  <c r="J25" i="98"/>
  <c r="I25" i="98"/>
  <c r="G25" i="98"/>
  <c r="F25" i="98"/>
  <c r="E25" i="98"/>
  <c r="C25" i="98"/>
  <c r="L24" i="98"/>
  <c r="K24" i="98"/>
  <c r="J24" i="98"/>
  <c r="I24" i="98"/>
  <c r="G24" i="98"/>
  <c r="F24" i="98"/>
  <c r="E24" i="98"/>
  <c r="C24" i="98"/>
  <c r="L23" i="98"/>
  <c r="K23" i="98"/>
  <c r="J23" i="98"/>
  <c r="I23" i="98"/>
  <c r="G23" i="98"/>
  <c r="F23" i="98"/>
  <c r="E23" i="98"/>
  <c r="C23" i="98"/>
  <c r="L22" i="98"/>
  <c r="K22" i="98"/>
  <c r="J22" i="98"/>
  <c r="I22" i="98"/>
  <c r="G22" i="98"/>
  <c r="F22" i="98"/>
  <c r="E22" i="98"/>
  <c r="C22" i="98"/>
  <c r="L21" i="98"/>
  <c r="K21" i="98"/>
  <c r="J21" i="98"/>
  <c r="I21" i="98"/>
  <c r="G21" i="98"/>
  <c r="F21" i="98"/>
  <c r="E21" i="98"/>
  <c r="C21" i="98"/>
  <c r="L20" i="98"/>
  <c r="K20" i="98"/>
  <c r="J20" i="98"/>
  <c r="I20" i="98"/>
  <c r="G20" i="98"/>
  <c r="F20" i="98"/>
  <c r="E20" i="98"/>
  <c r="C20" i="98"/>
  <c r="L19" i="98"/>
  <c r="K19" i="98"/>
  <c r="J19" i="98"/>
  <c r="I19" i="98"/>
  <c r="G19" i="98"/>
  <c r="F19" i="98"/>
  <c r="E19" i="98"/>
  <c r="C19" i="98"/>
  <c r="L18" i="98"/>
  <c r="K18" i="98"/>
  <c r="J18" i="98"/>
  <c r="I18" i="98"/>
  <c r="G18" i="98"/>
  <c r="F18" i="98"/>
  <c r="E18" i="98"/>
  <c r="C18" i="98"/>
  <c r="L17" i="98"/>
  <c r="K17" i="98"/>
  <c r="J17" i="98"/>
  <c r="I17" i="98"/>
  <c r="G17" i="98"/>
  <c r="F17" i="98"/>
  <c r="E17" i="98"/>
  <c r="C17" i="98"/>
  <c r="L16" i="98"/>
  <c r="K16" i="98"/>
  <c r="J16" i="98"/>
  <c r="I16" i="98"/>
  <c r="G16" i="98"/>
  <c r="F16" i="98"/>
  <c r="E16" i="98"/>
  <c r="C16" i="98"/>
  <c r="L15" i="98"/>
  <c r="K15" i="98"/>
  <c r="J15" i="98"/>
  <c r="I15" i="98"/>
  <c r="G15" i="98"/>
  <c r="F15" i="98"/>
  <c r="E15" i="98"/>
  <c r="C15" i="98"/>
  <c r="L14" i="98"/>
  <c r="K14" i="98"/>
  <c r="J14" i="98"/>
  <c r="I14" i="98"/>
  <c r="G14" i="98"/>
  <c r="F14" i="98"/>
  <c r="E14" i="98"/>
  <c r="C14" i="98"/>
  <c r="L13" i="98"/>
  <c r="K13" i="98"/>
  <c r="J13" i="98"/>
  <c r="I13" i="98"/>
  <c r="G13" i="98"/>
  <c r="F13" i="98"/>
  <c r="E13" i="98"/>
  <c r="C13" i="98"/>
  <c r="L12" i="98"/>
  <c r="K12" i="98"/>
  <c r="J12" i="98"/>
  <c r="I12" i="98"/>
  <c r="G12" i="98"/>
  <c r="F12" i="98"/>
  <c r="E12" i="98"/>
  <c r="C12" i="98"/>
  <c r="L11" i="98"/>
  <c r="K11" i="98"/>
  <c r="J11" i="98"/>
  <c r="I11" i="98"/>
  <c r="G11" i="98"/>
  <c r="F11" i="98"/>
  <c r="E11" i="98"/>
  <c r="C11" i="98"/>
  <c r="L10" i="98"/>
  <c r="K10" i="98"/>
  <c r="J10" i="98"/>
  <c r="I10" i="98"/>
  <c r="G10" i="98"/>
  <c r="F10" i="98"/>
  <c r="E10" i="98"/>
  <c r="C10" i="98"/>
  <c r="L9" i="98"/>
  <c r="K9" i="98"/>
  <c r="J9" i="98"/>
  <c r="I9" i="98"/>
  <c r="G9" i="98"/>
  <c r="F9" i="98"/>
  <c r="E9" i="98"/>
  <c r="C9" i="98"/>
  <c r="L8" i="98"/>
  <c r="K8" i="98"/>
  <c r="J8" i="98"/>
  <c r="I8" i="98"/>
  <c r="G8" i="98"/>
  <c r="F8" i="98"/>
  <c r="E8" i="98"/>
  <c r="C8" i="98"/>
  <c r="L7" i="98"/>
  <c r="K7" i="98"/>
  <c r="J7" i="98"/>
  <c r="I7" i="98"/>
  <c r="G7" i="98"/>
  <c r="F7" i="98"/>
  <c r="E7" i="98"/>
  <c r="C7" i="98"/>
  <c r="E51" i="38"/>
  <c r="H47" i="38"/>
  <c r="G47" i="38"/>
  <c r="D47" i="38"/>
  <c r="C47" i="38"/>
  <c r="B47" i="38"/>
  <c r="O45" i="38"/>
  <c r="J45" i="38"/>
  <c r="E45" i="38"/>
  <c r="N45" i="38" s="1"/>
  <c r="O44" i="38"/>
  <c r="J44" i="38"/>
  <c r="E44" i="38"/>
  <c r="N44" i="38" s="1"/>
  <c r="O43" i="38"/>
  <c r="J43" i="38"/>
  <c r="E43" i="38"/>
  <c r="N43" i="38" s="1"/>
  <c r="O42" i="38"/>
  <c r="J42" i="38"/>
  <c r="E42" i="38"/>
  <c r="N42" i="38" s="1"/>
  <c r="O41" i="38"/>
  <c r="J41" i="38"/>
  <c r="E41" i="38"/>
  <c r="N41" i="38" s="1"/>
  <c r="O40" i="38"/>
  <c r="J40" i="38"/>
  <c r="E40" i="38"/>
  <c r="N40" i="38" s="1"/>
  <c r="O39" i="38"/>
  <c r="J39" i="38"/>
  <c r="E39" i="38"/>
  <c r="N39" i="38" s="1"/>
  <c r="O38" i="38"/>
  <c r="J38" i="38"/>
  <c r="E38" i="38"/>
  <c r="N38" i="38" s="1"/>
  <c r="O37" i="38"/>
  <c r="J37" i="38"/>
  <c r="E37" i="38"/>
  <c r="N37" i="38" s="1"/>
  <c r="O36" i="38"/>
  <c r="J36" i="38"/>
  <c r="E36" i="38"/>
  <c r="N36" i="38" s="1"/>
  <c r="O35" i="38"/>
  <c r="J35" i="38"/>
  <c r="E35" i="38"/>
  <c r="N35" i="38" s="1"/>
  <c r="O34" i="38"/>
  <c r="J34" i="38"/>
  <c r="E34" i="38"/>
  <c r="N34" i="38" s="1"/>
  <c r="O33" i="38"/>
  <c r="J33" i="38"/>
  <c r="E33" i="38"/>
  <c r="N33" i="38" s="1"/>
  <c r="O32" i="38"/>
  <c r="J32" i="38"/>
  <c r="E32" i="38"/>
  <c r="N32" i="38" s="1"/>
  <c r="O31" i="38"/>
  <c r="J31" i="38"/>
  <c r="E31" i="38"/>
  <c r="N31" i="38" s="1"/>
  <c r="O30" i="38"/>
  <c r="J30" i="38"/>
  <c r="E30" i="38"/>
  <c r="N30" i="38" s="1"/>
  <c r="O29" i="38"/>
  <c r="J29" i="38"/>
  <c r="E29" i="38"/>
  <c r="N29" i="38" s="1"/>
  <c r="O28" i="38"/>
  <c r="J28" i="38"/>
  <c r="E28" i="38"/>
  <c r="N28" i="38" s="1"/>
  <c r="O27" i="38"/>
  <c r="J27" i="38"/>
  <c r="E27" i="38"/>
  <c r="N27" i="38" s="1"/>
  <c r="O26" i="38"/>
  <c r="J26" i="38"/>
  <c r="E26" i="38"/>
  <c r="N26" i="38" s="1"/>
  <c r="O25" i="38"/>
  <c r="J25" i="38"/>
  <c r="E25" i="38"/>
  <c r="N25" i="38" s="1"/>
  <c r="O24" i="38"/>
  <c r="J24" i="38"/>
  <c r="E24" i="38"/>
  <c r="N24" i="38" s="1"/>
  <c r="O23" i="38"/>
  <c r="J23" i="38"/>
  <c r="E23" i="38"/>
  <c r="N23" i="38" s="1"/>
  <c r="O22" i="38"/>
  <c r="J22" i="38"/>
  <c r="E22" i="38"/>
  <c r="N22" i="38" s="1"/>
  <c r="O21" i="38"/>
  <c r="J21" i="38"/>
  <c r="E21" i="38"/>
  <c r="N21" i="38" s="1"/>
  <c r="O20" i="38"/>
  <c r="J20" i="38"/>
  <c r="E20" i="38"/>
  <c r="N20" i="38" s="1"/>
  <c r="O19" i="38"/>
  <c r="J19" i="38"/>
  <c r="E19" i="38"/>
  <c r="N19" i="38" s="1"/>
  <c r="O18" i="38"/>
  <c r="J18" i="38"/>
  <c r="E18" i="38"/>
  <c r="N18" i="38" s="1"/>
  <c r="O17" i="38"/>
  <c r="J17" i="38"/>
  <c r="N17" i="38"/>
  <c r="O16" i="38"/>
  <c r="J16" i="38"/>
  <c r="E16" i="38"/>
  <c r="N16" i="38" s="1"/>
  <c r="O15" i="38"/>
  <c r="J15" i="38"/>
  <c r="E15" i="38"/>
  <c r="N15" i="38" s="1"/>
  <c r="O14" i="38"/>
  <c r="J14" i="38"/>
  <c r="E14" i="38"/>
  <c r="N14" i="38" s="1"/>
  <c r="O13" i="38"/>
  <c r="J13" i="38"/>
  <c r="E13" i="38"/>
  <c r="N13" i="38" s="1"/>
  <c r="O12" i="38"/>
  <c r="J12" i="38"/>
  <c r="E12" i="38"/>
  <c r="N12" i="38" s="1"/>
  <c r="O11" i="38"/>
  <c r="J11" i="38"/>
  <c r="E11" i="38"/>
  <c r="N11" i="38" s="1"/>
  <c r="E10" i="38"/>
  <c r="DN50" i="112"/>
  <c r="DA50" i="112"/>
  <c r="CS50" i="112"/>
  <c r="CK50" i="112"/>
  <c r="CI50" i="112"/>
  <c r="CG50" i="112" s="1"/>
  <c r="BX50" i="112"/>
  <c r="BN50" i="112"/>
  <c r="AS50" i="112"/>
  <c r="AK50" i="112"/>
  <c r="Q50" i="112"/>
  <c r="E50" i="112"/>
  <c r="DN49" i="112"/>
  <c r="DA49" i="112"/>
  <c r="CS49" i="112"/>
  <c r="CK49" i="112"/>
  <c r="CI49" i="112"/>
  <c r="CG49" i="112" s="1"/>
  <c r="BX49" i="112"/>
  <c r="BN49" i="112"/>
  <c r="AS49" i="112"/>
  <c r="AK49" i="112"/>
  <c r="Q49" i="112"/>
  <c r="E49" i="112"/>
  <c r="DY47" i="112"/>
  <c r="DX47" i="112"/>
  <c r="DW47" i="112"/>
  <c r="DV47" i="112"/>
  <c r="DU47" i="112"/>
  <c r="DT47" i="112"/>
  <c r="DS47" i="112"/>
  <c r="DR47" i="112"/>
  <c r="DQ47" i="112"/>
  <c r="DP47" i="112"/>
  <c r="DO47" i="112"/>
  <c r="DM47" i="112"/>
  <c r="DL47" i="112"/>
  <c r="DK47" i="112"/>
  <c r="DJ47" i="112"/>
  <c r="DI47" i="112"/>
  <c r="DH47" i="112"/>
  <c r="DG47" i="112"/>
  <c r="DF47" i="112"/>
  <c r="DE47" i="112"/>
  <c r="DD47" i="112"/>
  <c r="DC47" i="112"/>
  <c r="DB47" i="112"/>
  <c r="CZ47" i="112"/>
  <c r="CY47" i="112"/>
  <c r="CX47" i="112"/>
  <c r="CW47" i="112"/>
  <c r="CV47" i="112"/>
  <c r="CU47" i="112"/>
  <c r="CT47" i="112"/>
  <c r="CR47" i="112"/>
  <c r="CQ47" i="112"/>
  <c r="CP47" i="112"/>
  <c r="CO47" i="112"/>
  <c r="CN47" i="112"/>
  <c r="CM47" i="112"/>
  <c r="CL47" i="112"/>
  <c r="CJ47" i="112"/>
  <c r="CH47" i="112"/>
  <c r="CF47" i="112"/>
  <c r="CE47" i="112"/>
  <c r="CD47" i="112"/>
  <c r="CC47" i="112"/>
  <c r="CB47" i="112"/>
  <c r="CA47" i="112"/>
  <c r="BZ47" i="112"/>
  <c r="BY47" i="112"/>
  <c r="BV47" i="112"/>
  <c r="BU47" i="112"/>
  <c r="BT47" i="112"/>
  <c r="BS47" i="112"/>
  <c r="BR47" i="112"/>
  <c r="BQ47" i="112"/>
  <c r="BP47" i="112"/>
  <c r="BO47" i="112"/>
  <c r="BM47" i="112"/>
  <c r="BL47" i="112"/>
  <c r="BK47" i="112"/>
  <c r="BJ47" i="112"/>
  <c r="BI47" i="112"/>
  <c r="BH47" i="112"/>
  <c r="BG47" i="112"/>
  <c r="BF47" i="112"/>
  <c r="BE47" i="112"/>
  <c r="BD47" i="112"/>
  <c r="BC47" i="112"/>
  <c r="BB47" i="112"/>
  <c r="BA47" i="112"/>
  <c r="AZ47" i="112"/>
  <c r="AY47" i="112"/>
  <c r="AX47" i="112"/>
  <c r="AW47" i="112"/>
  <c r="AV47" i="112"/>
  <c r="AU47" i="112"/>
  <c r="AT47" i="112"/>
  <c r="AR47" i="112"/>
  <c r="AQ47" i="112"/>
  <c r="AP47" i="112"/>
  <c r="AO47" i="112"/>
  <c r="AN47" i="112"/>
  <c r="AM47" i="112"/>
  <c r="AL47" i="112"/>
  <c r="AJ47" i="112"/>
  <c r="AI47" i="112"/>
  <c r="AH47" i="112"/>
  <c r="AG47" i="112"/>
  <c r="AF47" i="112"/>
  <c r="AE47" i="112"/>
  <c r="AD47" i="112"/>
  <c r="AC47" i="112"/>
  <c r="AB47" i="112"/>
  <c r="AA47" i="112"/>
  <c r="Z47" i="112"/>
  <c r="Y47" i="112"/>
  <c r="X47" i="112"/>
  <c r="W47" i="112"/>
  <c r="V47" i="112"/>
  <c r="U47" i="112"/>
  <c r="T47" i="112"/>
  <c r="S47" i="112"/>
  <c r="R47" i="112"/>
  <c r="P47" i="112"/>
  <c r="O47" i="112"/>
  <c r="N47" i="112"/>
  <c r="M47" i="112"/>
  <c r="L47" i="112"/>
  <c r="K47" i="112"/>
  <c r="J47" i="112"/>
  <c r="I47" i="112"/>
  <c r="H47" i="112"/>
  <c r="G47" i="112"/>
  <c r="F47" i="112"/>
  <c r="DN45" i="112"/>
  <c r="DA45" i="112"/>
  <c r="CS45" i="112"/>
  <c r="CK45" i="112"/>
  <c r="CI45" i="112"/>
  <c r="CG45" i="112" s="1"/>
  <c r="BX45" i="112"/>
  <c r="BN45" i="112"/>
  <c r="AS45" i="112"/>
  <c r="AK45" i="112"/>
  <c r="Q45" i="112"/>
  <c r="E45" i="112"/>
  <c r="DN44" i="112"/>
  <c r="DA44" i="112"/>
  <c r="CS44" i="112"/>
  <c r="CK44" i="112"/>
  <c r="CI44" i="112"/>
  <c r="CG44" i="112" s="1"/>
  <c r="BX44" i="112"/>
  <c r="BN44" i="112"/>
  <c r="AS44" i="112"/>
  <c r="AK44" i="112"/>
  <c r="Q44" i="112"/>
  <c r="E44" i="112"/>
  <c r="DN43" i="112"/>
  <c r="DA43" i="112"/>
  <c r="CS43" i="112"/>
  <c r="CK43" i="112"/>
  <c r="CI43" i="112"/>
  <c r="CG43" i="112" s="1"/>
  <c r="BX43" i="112"/>
  <c r="BN43" i="112"/>
  <c r="AS43" i="112"/>
  <c r="AK43" i="112"/>
  <c r="Q43" i="112"/>
  <c r="E43" i="112"/>
  <c r="DN42" i="112"/>
  <c r="DA42" i="112"/>
  <c r="CS42" i="112"/>
  <c r="CK42" i="112"/>
  <c r="CI42" i="112"/>
  <c r="CG42" i="112" s="1"/>
  <c r="BX42" i="112"/>
  <c r="BN42" i="112"/>
  <c r="AS42" i="112"/>
  <c r="AK42" i="112"/>
  <c r="Q42" i="112"/>
  <c r="E42" i="112"/>
  <c r="DN41" i="112"/>
  <c r="DA41" i="112"/>
  <c r="CS41" i="112"/>
  <c r="CK41" i="112"/>
  <c r="CI41" i="112"/>
  <c r="CG41" i="112" s="1"/>
  <c r="BX41" i="112"/>
  <c r="BN41" i="112"/>
  <c r="AS41" i="112"/>
  <c r="AK41" i="112"/>
  <c r="Q41" i="112"/>
  <c r="E41" i="112"/>
  <c r="DN40" i="112"/>
  <c r="DA40" i="112"/>
  <c r="CS40" i="112"/>
  <c r="CK40" i="112"/>
  <c r="CI40" i="112"/>
  <c r="CG40" i="112" s="1"/>
  <c r="BX40" i="112"/>
  <c r="BN40" i="112"/>
  <c r="AS40" i="112"/>
  <c r="AK40" i="112"/>
  <c r="Q40" i="112"/>
  <c r="E40" i="112"/>
  <c r="DN39" i="112"/>
  <c r="DA39" i="112"/>
  <c r="CS39" i="112"/>
  <c r="CK39" i="112"/>
  <c r="CI39" i="112"/>
  <c r="CG39" i="112" s="1"/>
  <c r="BX39" i="112"/>
  <c r="BN39" i="112"/>
  <c r="AS39" i="112"/>
  <c r="AK39" i="112"/>
  <c r="Q39" i="112"/>
  <c r="E39" i="112"/>
  <c r="DN38" i="112"/>
  <c r="DA38" i="112"/>
  <c r="CS38" i="112"/>
  <c r="CK38" i="112"/>
  <c r="CI38" i="112"/>
  <c r="CG38" i="112" s="1"/>
  <c r="H35" i="98" s="1"/>
  <c r="BX38" i="112"/>
  <c r="BN38" i="112"/>
  <c r="AS38" i="112"/>
  <c r="AK38" i="112"/>
  <c r="Q38" i="112"/>
  <c r="E38" i="112"/>
  <c r="DN37" i="112"/>
  <c r="DA37" i="112"/>
  <c r="CS37" i="112"/>
  <c r="CK37" i="112"/>
  <c r="CI37" i="112"/>
  <c r="CG37" i="112" s="1"/>
  <c r="H34" i="98" s="1"/>
  <c r="BX37" i="112"/>
  <c r="BN37" i="112"/>
  <c r="AS37" i="112"/>
  <c r="AK37" i="112"/>
  <c r="Q37" i="112"/>
  <c r="E37" i="112"/>
  <c r="DN36" i="112"/>
  <c r="DA36" i="112"/>
  <c r="CS36" i="112"/>
  <c r="CK36" i="112"/>
  <c r="CI36" i="112"/>
  <c r="CG36" i="112" s="1"/>
  <c r="H33" i="98" s="1"/>
  <c r="BX36" i="112"/>
  <c r="BN36" i="112"/>
  <c r="AS36" i="112"/>
  <c r="AK36" i="112"/>
  <c r="Q36" i="112"/>
  <c r="E36" i="112"/>
  <c r="DN35" i="112"/>
  <c r="DA35" i="112"/>
  <c r="CS35" i="112"/>
  <c r="CK35" i="112"/>
  <c r="CI35" i="112"/>
  <c r="CG35" i="112" s="1"/>
  <c r="H32" i="98" s="1"/>
  <c r="BX35" i="112"/>
  <c r="BN35" i="112"/>
  <c r="AS35" i="112"/>
  <c r="AK35" i="112"/>
  <c r="Q35" i="112"/>
  <c r="E35" i="112"/>
  <c r="DN34" i="112"/>
  <c r="DA34" i="112"/>
  <c r="CS34" i="112"/>
  <c r="CK34" i="112"/>
  <c r="CI34" i="112"/>
  <c r="CG34" i="112" s="1"/>
  <c r="H31" i="98" s="1"/>
  <c r="BX34" i="112"/>
  <c r="BN34" i="112"/>
  <c r="AS34" i="112"/>
  <c r="AK34" i="112"/>
  <c r="Q34" i="112"/>
  <c r="E34" i="112"/>
  <c r="DN33" i="112"/>
  <c r="DA33" i="112"/>
  <c r="CS33" i="112"/>
  <c r="CK33" i="112"/>
  <c r="CI33" i="112"/>
  <c r="CG33" i="112" s="1"/>
  <c r="H30" i="98" s="1"/>
  <c r="BX33" i="112"/>
  <c r="BN33" i="112"/>
  <c r="AS33" i="112"/>
  <c r="AK33" i="112"/>
  <c r="Q33" i="112"/>
  <c r="E33" i="112"/>
  <c r="DN32" i="112"/>
  <c r="DA32" i="112"/>
  <c r="CS32" i="112"/>
  <c r="CK32" i="112"/>
  <c r="CI32" i="112"/>
  <c r="CG32" i="112" s="1"/>
  <c r="H29" i="98" s="1"/>
  <c r="BX32" i="112"/>
  <c r="BN32" i="112"/>
  <c r="AS32" i="112"/>
  <c r="AK32" i="112"/>
  <c r="Q32" i="112"/>
  <c r="E32" i="112"/>
  <c r="DN31" i="112"/>
  <c r="DA31" i="112"/>
  <c r="CS31" i="112"/>
  <c r="CK31" i="112"/>
  <c r="CI31" i="112"/>
  <c r="CG31" i="112" s="1"/>
  <c r="H28" i="98" s="1"/>
  <c r="BX31" i="112"/>
  <c r="BN31" i="112"/>
  <c r="AS31" i="112"/>
  <c r="AK31" i="112"/>
  <c r="Q31" i="112"/>
  <c r="E31" i="112"/>
  <c r="DN30" i="112"/>
  <c r="DA30" i="112"/>
  <c r="CS30" i="112"/>
  <c r="CK30" i="112"/>
  <c r="CI30" i="112"/>
  <c r="CG30" i="112" s="1"/>
  <c r="H27" i="98" s="1"/>
  <c r="BX30" i="112"/>
  <c r="BN30" i="112"/>
  <c r="AS30" i="112"/>
  <c r="AK30" i="112"/>
  <c r="Q30" i="112"/>
  <c r="E30" i="112"/>
  <c r="DN29" i="112"/>
  <c r="DA29" i="112"/>
  <c r="CS29" i="112"/>
  <c r="CK29" i="112"/>
  <c r="CI29" i="112"/>
  <c r="CG29" i="112" s="1"/>
  <c r="H26" i="98" s="1"/>
  <c r="BX29" i="112"/>
  <c r="BN29" i="112"/>
  <c r="AS29" i="112"/>
  <c r="AK29" i="112"/>
  <c r="Q29" i="112"/>
  <c r="E29" i="112"/>
  <c r="DN28" i="112"/>
  <c r="DA28" i="112"/>
  <c r="CS28" i="112"/>
  <c r="CK28" i="112"/>
  <c r="CI28" i="112"/>
  <c r="CG28" i="112" s="1"/>
  <c r="H25" i="98" s="1"/>
  <c r="BX28" i="112"/>
  <c r="BN28" i="112"/>
  <c r="AS28" i="112"/>
  <c r="AK28" i="112"/>
  <c r="Q28" i="112"/>
  <c r="E28" i="112"/>
  <c r="DN27" i="112"/>
  <c r="DA27" i="112"/>
  <c r="CS27" i="112"/>
  <c r="CK27" i="112"/>
  <c r="CI27" i="112"/>
  <c r="CG27" i="112" s="1"/>
  <c r="H24" i="98" s="1"/>
  <c r="BX27" i="112"/>
  <c r="BN27" i="112"/>
  <c r="AS27" i="112"/>
  <c r="AK27" i="112"/>
  <c r="Q27" i="112"/>
  <c r="E27" i="112"/>
  <c r="DN26" i="112"/>
  <c r="DA26" i="112"/>
  <c r="CS26" i="112"/>
  <c r="CK26" i="112"/>
  <c r="CI26" i="112"/>
  <c r="CG26" i="112" s="1"/>
  <c r="H23" i="98" s="1"/>
  <c r="BX26" i="112"/>
  <c r="BN26" i="112"/>
  <c r="AS26" i="112"/>
  <c r="AK26" i="112"/>
  <c r="Q26" i="112"/>
  <c r="E26" i="112"/>
  <c r="DN25" i="112"/>
  <c r="DA25" i="112"/>
  <c r="CS25" i="112"/>
  <c r="CK25" i="112"/>
  <c r="CI25" i="112"/>
  <c r="CG25" i="112" s="1"/>
  <c r="H22" i="98" s="1"/>
  <c r="BX25" i="112"/>
  <c r="BN25" i="112"/>
  <c r="AS25" i="112"/>
  <c r="AK25" i="112"/>
  <c r="Q25" i="112"/>
  <c r="E25" i="112"/>
  <c r="DN24" i="112"/>
  <c r="DA24" i="112"/>
  <c r="CS24" i="112"/>
  <c r="CK24" i="112"/>
  <c r="CI24" i="112"/>
  <c r="CG24" i="112" s="1"/>
  <c r="H21" i="98" s="1"/>
  <c r="BX24" i="112"/>
  <c r="BN24" i="112"/>
  <c r="AS24" i="112"/>
  <c r="AK24" i="112"/>
  <c r="Q24" i="112"/>
  <c r="E24" i="112"/>
  <c r="DN23" i="112"/>
  <c r="DA23" i="112"/>
  <c r="CS23" i="112"/>
  <c r="CK23" i="112"/>
  <c r="CI23" i="112"/>
  <c r="CG23" i="112" s="1"/>
  <c r="H20" i="98" s="1"/>
  <c r="BX23" i="112"/>
  <c r="BN23" i="112"/>
  <c r="AS23" i="112"/>
  <c r="AK23" i="112"/>
  <c r="Q23" i="112"/>
  <c r="E23" i="112"/>
  <c r="DN22" i="112"/>
  <c r="DA22" i="112"/>
  <c r="CS22" i="112"/>
  <c r="CK22" i="112"/>
  <c r="CI22" i="112"/>
  <c r="CG22" i="112" s="1"/>
  <c r="H19" i="98" s="1"/>
  <c r="BX22" i="112"/>
  <c r="BN22" i="112"/>
  <c r="AS22" i="112"/>
  <c r="AK22" i="112"/>
  <c r="Q22" i="112"/>
  <c r="E22" i="112"/>
  <c r="DN21" i="112"/>
  <c r="DA21" i="112"/>
  <c r="CS21" i="112"/>
  <c r="CK21" i="112"/>
  <c r="CI21" i="112"/>
  <c r="CG21" i="112" s="1"/>
  <c r="H18" i="98" s="1"/>
  <c r="BX21" i="112"/>
  <c r="BN21" i="112"/>
  <c r="AS21" i="112"/>
  <c r="AK21" i="112"/>
  <c r="Q21" i="112"/>
  <c r="E21" i="112"/>
  <c r="DN20" i="112"/>
  <c r="DA20" i="112"/>
  <c r="CS20" i="112"/>
  <c r="CK20" i="112"/>
  <c r="CI20" i="112"/>
  <c r="CG20" i="112" s="1"/>
  <c r="H17" i="98" s="1"/>
  <c r="BX20" i="112"/>
  <c r="BN20" i="112"/>
  <c r="AS20" i="112"/>
  <c r="AK20" i="112"/>
  <c r="Q20" i="112"/>
  <c r="E20" i="112"/>
  <c r="DN19" i="112"/>
  <c r="DA19" i="112"/>
  <c r="CS19" i="112"/>
  <c r="CK19" i="112"/>
  <c r="CI19" i="112"/>
  <c r="CG19" i="112" s="1"/>
  <c r="H16" i="98" s="1"/>
  <c r="BX19" i="112"/>
  <c r="BN19" i="112"/>
  <c r="AS19" i="112"/>
  <c r="AK19" i="112"/>
  <c r="Q19" i="112"/>
  <c r="E19" i="112"/>
  <c r="DN18" i="112"/>
  <c r="DA18" i="112"/>
  <c r="CS18" i="112"/>
  <c r="CK18" i="112"/>
  <c r="CI18" i="112"/>
  <c r="CG18" i="112" s="1"/>
  <c r="H15" i="98" s="1"/>
  <c r="BX18" i="112"/>
  <c r="BN18" i="112"/>
  <c r="AS18" i="112"/>
  <c r="AK18" i="112"/>
  <c r="Q18" i="112"/>
  <c r="E18" i="112"/>
  <c r="DN17" i="112"/>
  <c r="DA17" i="112"/>
  <c r="CS17" i="112"/>
  <c r="CK17" i="112"/>
  <c r="CI17" i="112"/>
  <c r="CG17" i="112" s="1"/>
  <c r="H14" i="98" s="1"/>
  <c r="BX17" i="112"/>
  <c r="BN17" i="112"/>
  <c r="AS17" i="112"/>
  <c r="AK17" i="112"/>
  <c r="Q17" i="112"/>
  <c r="E17" i="112"/>
  <c r="DN16" i="112"/>
  <c r="DA16" i="112"/>
  <c r="CS16" i="112"/>
  <c r="CK16" i="112"/>
  <c r="CI16" i="112"/>
  <c r="CG16" i="112" s="1"/>
  <c r="H13" i="98" s="1"/>
  <c r="BX16" i="112"/>
  <c r="BN16" i="112"/>
  <c r="AS16" i="112"/>
  <c r="AK16" i="112"/>
  <c r="Q16" i="112"/>
  <c r="E16" i="112"/>
  <c r="DN15" i="112"/>
  <c r="DA15" i="112"/>
  <c r="CS15" i="112"/>
  <c r="CK15" i="112"/>
  <c r="CI15" i="112"/>
  <c r="CG15" i="112" s="1"/>
  <c r="H12" i="98" s="1"/>
  <c r="BX15" i="112"/>
  <c r="BN15" i="112"/>
  <c r="AS15" i="112"/>
  <c r="AK15" i="112"/>
  <c r="Q15" i="112"/>
  <c r="E15" i="112"/>
  <c r="DN14" i="112"/>
  <c r="DA14" i="112"/>
  <c r="CS14" i="112"/>
  <c r="CK14" i="112"/>
  <c r="CI14" i="112"/>
  <c r="CG14" i="112" s="1"/>
  <c r="H11" i="98" s="1"/>
  <c r="BX14" i="112"/>
  <c r="BN14" i="112"/>
  <c r="AS14" i="112"/>
  <c r="AK14" i="112"/>
  <c r="Q14" i="112"/>
  <c r="E14" i="112"/>
  <c r="DN13" i="112"/>
  <c r="DA13" i="112"/>
  <c r="CS13" i="112"/>
  <c r="CK13" i="112"/>
  <c r="CI13" i="112"/>
  <c r="CG13" i="112" s="1"/>
  <c r="H10" i="98" s="1"/>
  <c r="BX13" i="112"/>
  <c r="BN13" i="112"/>
  <c r="AS13" i="112"/>
  <c r="AK13" i="112"/>
  <c r="Q13" i="112"/>
  <c r="E13" i="112"/>
  <c r="DN12" i="112"/>
  <c r="DA12" i="112"/>
  <c r="CS12" i="112"/>
  <c r="CK12" i="112"/>
  <c r="CI12" i="112"/>
  <c r="CG12" i="112" s="1"/>
  <c r="H9" i="98" s="1"/>
  <c r="BX12" i="112"/>
  <c r="BN12" i="112"/>
  <c r="AS12" i="112"/>
  <c r="AK12" i="112"/>
  <c r="Q12" i="112"/>
  <c r="E12" i="112"/>
  <c r="DN11" i="112"/>
  <c r="DA11" i="112"/>
  <c r="CS11" i="112"/>
  <c r="CK11" i="112"/>
  <c r="CI11" i="112"/>
  <c r="CG11" i="112" s="1"/>
  <c r="H8" i="98" s="1"/>
  <c r="BX11" i="112"/>
  <c r="BN11" i="112"/>
  <c r="AS11" i="112"/>
  <c r="AK11" i="112"/>
  <c r="Q11" i="112"/>
  <c r="E11" i="112"/>
  <c r="DN10" i="112"/>
  <c r="DA10" i="112"/>
  <c r="CS10" i="112"/>
  <c r="CK10" i="112"/>
  <c r="CI10" i="112"/>
  <c r="BX10" i="112"/>
  <c r="BN10" i="112"/>
  <c r="AS10" i="112"/>
  <c r="AK10" i="112"/>
  <c r="Q10" i="112"/>
  <c r="E10" i="112"/>
  <c r="E21" i="110"/>
  <c r="C21" i="110"/>
  <c r="BG17" i="93"/>
  <c r="BD17" i="93"/>
  <c r="BA17" i="93"/>
  <c r="AZ17" i="93" a="1"/>
  <c r="AZ17" i="93" s="1"/>
  <c r="K21" i="110" s="1"/>
  <c r="AW17" i="93"/>
  <c r="AV17" i="93"/>
  <c r="AU17" i="93"/>
  <c r="AT17" i="93"/>
  <c r="AS17" i="93"/>
  <c r="AQ17" i="93"/>
  <c r="AP17" i="93"/>
  <c r="AO17" i="93"/>
  <c r="AN17" i="93"/>
  <c r="AM17" i="93"/>
  <c r="AL17" i="93"/>
  <c r="AK17" i="93"/>
  <c r="AJ17" i="93"/>
  <c r="AI17" i="93"/>
  <c r="AH17" i="93"/>
  <c r="AG17" i="93"/>
  <c r="AF17" i="93"/>
  <c r="AE17" i="93"/>
  <c r="AD17" i="93"/>
  <c r="AC17" i="93"/>
  <c r="J21" i="110" s="1"/>
  <c r="AB17" i="93"/>
  <c r="H21" i="110" s="1"/>
  <c r="Z17" i="93"/>
  <c r="Y17" i="93"/>
  <c r="X17" i="93"/>
  <c r="W17" i="93"/>
  <c r="V17" i="93"/>
  <c r="U17" i="93"/>
  <c r="S17" i="93"/>
  <c r="R17" i="93"/>
  <c r="Q17" i="93"/>
  <c r="P17" i="93"/>
  <c r="O17" i="93"/>
  <c r="N17" i="93"/>
  <c r="M17" i="93"/>
  <c r="L17" i="93"/>
  <c r="K17" i="93"/>
  <c r="J17" i="93"/>
  <c r="I17" i="93"/>
  <c r="H17" i="93"/>
  <c r="G17" i="93"/>
  <c r="F17" i="93"/>
  <c r="E17" i="93"/>
  <c r="E20" i="110"/>
  <c r="C20" i="110"/>
  <c r="BG16" i="93"/>
  <c r="BD16" i="93"/>
  <c r="BA16" i="93"/>
  <c r="AZ16" i="93" a="1"/>
  <c r="AZ16" i="93" s="1"/>
  <c r="K20" i="110" s="1"/>
  <c r="AW16" i="93"/>
  <c r="AV16" i="93"/>
  <c r="AU16" i="93"/>
  <c r="AT16" i="93"/>
  <c r="AS16" i="93"/>
  <c r="AQ16" i="93"/>
  <c r="AP16" i="93"/>
  <c r="AO16" i="93"/>
  <c r="AN16" i="93"/>
  <c r="AM16" i="93"/>
  <c r="AL16" i="93"/>
  <c r="AK16" i="93"/>
  <c r="AJ16" i="93"/>
  <c r="AI16" i="93"/>
  <c r="AH16" i="93"/>
  <c r="AG16" i="93"/>
  <c r="AF16" i="93"/>
  <c r="AE16" i="93"/>
  <c r="AD16" i="93"/>
  <c r="AC16" i="93"/>
  <c r="J20" i="110" s="1"/>
  <c r="AB16" i="93"/>
  <c r="H20" i="110" s="1"/>
  <c r="Z16" i="93"/>
  <c r="Y16" i="93"/>
  <c r="X16" i="93"/>
  <c r="W16" i="93"/>
  <c r="V16" i="93"/>
  <c r="U16" i="93"/>
  <c r="S16" i="93"/>
  <c r="R16" i="93"/>
  <c r="Q16" i="93"/>
  <c r="P16" i="93"/>
  <c r="O16" i="93"/>
  <c r="N16" i="93"/>
  <c r="M16" i="93"/>
  <c r="L16" i="93"/>
  <c r="K16" i="93"/>
  <c r="J16" i="93"/>
  <c r="I16" i="93"/>
  <c r="H16" i="93"/>
  <c r="G16" i="93"/>
  <c r="F16" i="93"/>
  <c r="E16" i="93"/>
  <c r="E18" i="110"/>
  <c r="C18" i="110"/>
  <c r="BG14" i="93"/>
  <c r="BD14" i="93"/>
  <c r="BA14" i="93"/>
  <c r="AZ14" i="93" a="1"/>
  <c r="AZ14" i="93" s="1"/>
  <c r="K18" i="110" s="1"/>
  <c r="AW14" i="93"/>
  <c r="AV14" i="93"/>
  <c r="AU14" i="93"/>
  <c r="AT14" i="93"/>
  <c r="AS14" i="93"/>
  <c r="AQ14" i="93"/>
  <c r="AP14" i="93"/>
  <c r="AO14" i="93"/>
  <c r="AN14" i="93"/>
  <c r="AM14" i="93"/>
  <c r="AL14" i="93"/>
  <c r="AK14" i="93"/>
  <c r="AJ14" i="93"/>
  <c r="AI14" i="93"/>
  <c r="AH14" i="93"/>
  <c r="AG14" i="93"/>
  <c r="AF14" i="93"/>
  <c r="AE14" i="93"/>
  <c r="AD14" i="93"/>
  <c r="AC14" i="93"/>
  <c r="J18" i="110" s="1"/>
  <c r="AB14" i="93"/>
  <c r="H18" i="110" s="1"/>
  <c r="Z14" i="93"/>
  <c r="Y14" i="93"/>
  <c r="X14" i="93"/>
  <c r="W14" i="93"/>
  <c r="V14" i="93"/>
  <c r="U14" i="93"/>
  <c r="S14" i="93"/>
  <c r="R14" i="93"/>
  <c r="Q14" i="93"/>
  <c r="P14" i="93"/>
  <c r="O14" i="93"/>
  <c r="N14" i="93"/>
  <c r="M14" i="93"/>
  <c r="L14" i="93"/>
  <c r="K14" i="93"/>
  <c r="J14" i="93"/>
  <c r="I14" i="93"/>
  <c r="H14" i="93"/>
  <c r="G14" i="93"/>
  <c r="F14" i="93"/>
  <c r="E14" i="93"/>
  <c r="E17" i="110"/>
  <c r="C17" i="110"/>
  <c r="BG13" i="93"/>
  <c r="BA13" i="93"/>
  <c r="AZ13" i="93" a="1"/>
  <c r="AZ13" i="93" s="1"/>
  <c r="K17" i="110" s="1"/>
  <c r="AW13" i="93"/>
  <c r="AV13" i="93"/>
  <c r="AU13" i="93"/>
  <c r="AT13" i="93"/>
  <c r="AS13" i="93"/>
  <c r="AQ13" i="93"/>
  <c r="AP13" i="93"/>
  <c r="AO13" i="93"/>
  <c r="AN13" i="93"/>
  <c r="AM13" i="93"/>
  <c r="AL13" i="93"/>
  <c r="AK13" i="93"/>
  <c r="AJ13" i="93"/>
  <c r="AI13" i="93"/>
  <c r="AH13" i="93"/>
  <c r="AG13" i="93"/>
  <c r="AF13" i="93"/>
  <c r="AE13" i="93"/>
  <c r="AD13" i="93"/>
  <c r="AC13" i="93"/>
  <c r="J17" i="110" s="1"/>
  <c r="AB13" i="93"/>
  <c r="H17" i="110" s="1"/>
  <c r="Z13" i="93"/>
  <c r="Y13" i="93"/>
  <c r="X13" i="93"/>
  <c r="W13" i="93"/>
  <c r="V13" i="93"/>
  <c r="U13" i="93"/>
  <c r="S13" i="93"/>
  <c r="R13" i="93"/>
  <c r="Q13" i="93"/>
  <c r="P13" i="93"/>
  <c r="O13" i="93"/>
  <c r="N13" i="93"/>
  <c r="M13" i="93"/>
  <c r="L13" i="93"/>
  <c r="K13" i="93"/>
  <c r="J13" i="93"/>
  <c r="I13" i="93"/>
  <c r="H13" i="93"/>
  <c r="G13" i="93"/>
  <c r="F13" i="93"/>
  <c r="E13" i="93"/>
  <c r="E16" i="110"/>
  <c r="C16" i="110"/>
  <c r="BA12" i="93"/>
  <c r="AZ12" i="93" a="1"/>
  <c r="AZ12" i="93" s="1"/>
  <c r="K16" i="110" s="1"/>
  <c r="AW12" i="93"/>
  <c r="AV12" i="93"/>
  <c r="AU12" i="93"/>
  <c r="AT12" i="93"/>
  <c r="AS12" i="93"/>
  <c r="AQ12" i="93"/>
  <c r="AP12" i="93"/>
  <c r="AO12" i="93"/>
  <c r="AN12" i="93"/>
  <c r="AM12" i="93"/>
  <c r="AL12" i="93"/>
  <c r="AK12" i="93"/>
  <c r="AJ12" i="93"/>
  <c r="AI12" i="93"/>
  <c r="AH12" i="93"/>
  <c r="AG12" i="93"/>
  <c r="AF12" i="93"/>
  <c r="AE12" i="93"/>
  <c r="AD12" i="93"/>
  <c r="AC12" i="93"/>
  <c r="J16" i="110" s="1"/>
  <c r="AB12" i="93"/>
  <c r="H16" i="110" s="1"/>
  <c r="Z12" i="93"/>
  <c r="Y12" i="93"/>
  <c r="X12" i="93"/>
  <c r="W12" i="93"/>
  <c r="V12" i="93"/>
  <c r="U12" i="93"/>
  <c r="S12" i="93"/>
  <c r="R12" i="93"/>
  <c r="Q12" i="93"/>
  <c r="P12" i="93"/>
  <c r="O12" i="93"/>
  <c r="N12" i="93"/>
  <c r="M12" i="93"/>
  <c r="L12" i="93"/>
  <c r="K12" i="93"/>
  <c r="J12" i="93"/>
  <c r="I12" i="93"/>
  <c r="H12" i="93"/>
  <c r="G12" i="93"/>
  <c r="F12" i="93"/>
  <c r="E12" i="93"/>
  <c r="E15" i="110"/>
  <c r="C15" i="110"/>
  <c r="BG11" i="93"/>
  <c r="BD11" i="93"/>
  <c r="BA11" i="93"/>
  <c r="AZ11" i="93" a="1"/>
  <c r="AZ11" i="93" s="1"/>
  <c r="K15" i="110" s="1"/>
  <c r="AW11" i="93"/>
  <c r="AV11" i="93"/>
  <c r="AU11" i="93"/>
  <c r="AT11" i="93"/>
  <c r="AS11" i="93"/>
  <c r="AQ11" i="93"/>
  <c r="AP11" i="93"/>
  <c r="AO11" i="93"/>
  <c r="AN11" i="93"/>
  <c r="AM11" i="93"/>
  <c r="AL11" i="93"/>
  <c r="AK11" i="93"/>
  <c r="AJ11" i="93"/>
  <c r="AI11" i="93"/>
  <c r="AH11" i="93"/>
  <c r="AG11" i="93"/>
  <c r="AF11" i="93"/>
  <c r="AE11" i="93"/>
  <c r="AD11" i="93"/>
  <c r="AC11" i="93"/>
  <c r="J15" i="110" s="1"/>
  <c r="AB11" i="93"/>
  <c r="H15" i="110" s="1"/>
  <c r="Z11" i="93"/>
  <c r="Y11" i="93"/>
  <c r="X11" i="93"/>
  <c r="W11" i="93"/>
  <c r="V11" i="93"/>
  <c r="U11" i="93"/>
  <c r="S11" i="93"/>
  <c r="R11" i="93"/>
  <c r="Q11" i="93"/>
  <c r="P11" i="93"/>
  <c r="O11" i="93"/>
  <c r="N11" i="93"/>
  <c r="M11" i="93"/>
  <c r="L11" i="93"/>
  <c r="K11" i="93"/>
  <c r="J11" i="93"/>
  <c r="I11" i="93"/>
  <c r="H11" i="93"/>
  <c r="G11" i="93"/>
  <c r="E11" i="93"/>
  <c r="E14" i="110"/>
  <c r="C14" i="110"/>
  <c r="BA10" i="93"/>
  <c r="AZ10" i="93" a="1"/>
  <c r="AZ10" i="93" s="1"/>
  <c r="K14" i="110" s="1"/>
  <c r="AW10" i="93"/>
  <c r="AV10" i="93"/>
  <c r="AU10" i="93"/>
  <c r="AT10" i="93"/>
  <c r="AS10" i="93"/>
  <c r="AQ10" i="93"/>
  <c r="AP10" i="93"/>
  <c r="AO10" i="93"/>
  <c r="AN10" i="93"/>
  <c r="AM10" i="93"/>
  <c r="AL10" i="93"/>
  <c r="AK10" i="93"/>
  <c r="AJ10" i="93"/>
  <c r="AI10" i="93"/>
  <c r="AH10" i="93"/>
  <c r="AG10" i="93"/>
  <c r="AF10" i="93"/>
  <c r="AE10" i="93"/>
  <c r="AD10" i="93"/>
  <c r="AC10" i="93"/>
  <c r="J14" i="110" s="1"/>
  <c r="AB10" i="93"/>
  <c r="H14" i="110" s="1"/>
  <c r="Z10" i="93"/>
  <c r="Y10" i="93"/>
  <c r="X10" i="93"/>
  <c r="W10" i="93"/>
  <c r="V10" i="93"/>
  <c r="U10" i="93"/>
  <c r="O10" i="93"/>
  <c r="E13" i="110"/>
  <c r="C13" i="110"/>
  <c r="BA9" i="93"/>
  <c r="AZ9" i="93" a="1"/>
  <c r="AZ9" i="93" s="1"/>
  <c r="K13" i="110" s="1"/>
  <c r="AW9" i="93"/>
  <c r="AV9" i="93"/>
  <c r="AU9" i="93"/>
  <c r="AT9" i="93"/>
  <c r="AS9" i="93"/>
  <c r="AQ9" i="93"/>
  <c r="AP9" i="93"/>
  <c r="AO9" i="93"/>
  <c r="AN9" i="93"/>
  <c r="AM9" i="93"/>
  <c r="AL9" i="93"/>
  <c r="AK9" i="93"/>
  <c r="AJ9" i="93"/>
  <c r="AI9" i="93"/>
  <c r="AH9" i="93"/>
  <c r="AG9" i="93"/>
  <c r="AF9" i="93"/>
  <c r="AE9" i="93"/>
  <c r="AD9" i="93"/>
  <c r="AC9" i="93"/>
  <c r="J13" i="110" s="1"/>
  <c r="AB9" i="93"/>
  <c r="H13" i="110" s="1"/>
  <c r="Z9" i="93"/>
  <c r="Y9" i="93"/>
  <c r="X9" i="93"/>
  <c r="W9" i="93"/>
  <c r="V9" i="93"/>
  <c r="U9" i="93"/>
  <c r="S9" i="93"/>
  <c r="R9" i="93"/>
  <c r="Q9" i="93"/>
  <c r="P9" i="93"/>
  <c r="O9" i="93"/>
  <c r="N9" i="93"/>
  <c r="M9" i="93"/>
  <c r="L9" i="93"/>
  <c r="K9" i="93"/>
  <c r="J9" i="93"/>
  <c r="I9" i="93"/>
  <c r="H9" i="93"/>
  <c r="G9" i="93"/>
  <c r="F9" i="93"/>
  <c r="E9" i="93"/>
  <c r="E12" i="110"/>
  <c r="C12" i="110"/>
  <c r="BA8" i="93"/>
  <c r="AZ8" i="93" a="1"/>
  <c r="AZ8" i="93" s="1"/>
  <c r="K12" i="110" s="1"/>
  <c r="AW8" i="93"/>
  <c r="AV8" i="93"/>
  <c r="AU8" i="93"/>
  <c r="AT8" i="93"/>
  <c r="AS8" i="93"/>
  <c r="AQ8" i="93"/>
  <c r="AP8" i="93"/>
  <c r="AO8" i="93"/>
  <c r="AN8" i="93"/>
  <c r="AM8" i="93"/>
  <c r="AL8" i="93"/>
  <c r="AK8" i="93"/>
  <c r="AJ8" i="93"/>
  <c r="AI8" i="93"/>
  <c r="AH8" i="93"/>
  <c r="AG8" i="93"/>
  <c r="AF8" i="93"/>
  <c r="AE8" i="93"/>
  <c r="AD8" i="93"/>
  <c r="AC8" i="93"/>
  <c r="J12" i="110" s="1"/>
  <c r="AB8" i="93"/>
  <c r="H12" i="110" s="1"/>
  <c r="Z8" i="93"/>
  <c r="Y8" i="93"/>
  <c r="X8" i="93"/>
  <c r="W8" i="93"/>
  <c r="V8" i="93"/>
  <c r="U8" i="93"/>
  <c r="S8" i="93"/>
  <c r="R8" i="93"/>
  <c r="Q8" i="93"/>
  <c r="P8" i="93"/>
  <c r="O8" i="93"/>
  <c r="N8" i="93"/>
  <c r="M8" i="93"/>
  <c r="L8" i="93"/>
  <c r="K8" i="93"/>
  <c r="J8" i="93"/>
  <c r="I8" i="93"/>
  <c r="H8" i="93"/>
  <c r="G8" i="93"/>
  <c r="F8" i="93"/>
  <c r="C11" i="110"/>
  <c r="BG7" i="93"/>
  <c r="BA7" i="93"/>
  <c r="AZ7" i="93" a="1"/>
  <c r="AZ7" i="93" s="1"/>
  <c r="K11" i="110" s="1"/>
  <c r="I11" i="110"/>
  <c r="AW7" i="93"/>
  <c r="AV7" i="93"/>
  <c r="AU7" i="93"/>
  <c r="AT7" i="93"/>
  <c r="AS7" i="93"/>
  <c r="AQ7" i="93"/>
  <c r="AP7" i="93"/>
  <c r="AO7" i="93"/>
  <c r="AN7" i="93"/>
  <c r="AM7" i="93"/>
  <c r="AL7" i="93"/>
  <c r="AK7" i="93"/>
  <c r="AJ7" i="93"/>
  <c r="AI7" i="93"/>
  <c r="AH7" i="93"/>
  <c r="AG7" i="93"/>
  <c r="AF7" i="93"/>
  <c r="AE7" i="93"/>
  <c r="AD7" i="93"/>
  <c r="AC7" i="93"/>
  <c r="J11" i="110" s="1"/>
  <c r="AB7" i="93"/>
  <c r="H11" i="110" s="1"/>
  <c r="Z7" i="93"/>
  <c r="Y7" i="93"/>
  <c r="X7" i="93"/>
  <c r="W7" i="93"/>
  <c r="V7" i="93"/>
  <c r="U7" i="93"/>
  <c r="S7" i="93"/>
  <c r="R7" i="93"/>
  <c r="Q7" i="93"/>
  <c r="P7" i="93"/>
  <c r="O7" i="93"/>
  <c r="N7" i="93"/>
  <c r="M7" i="93"/>
  <c r="L7" i="93"/>
  <c r="K7" i="93"/>
  <c r="J7" i="93"/>
  <c r="I7" i="93"/>
  <c r="H7" i="93"/>
  <c r="G7" i="93"/>
  <c r="F7" i="93"/>
  <c r="E7" i="93"/>
  <c r="BF9" i="93"/>
  <c r="BG9" i="93" s="1"/>
  <c r="BC9" i="93"/>
  <c r="I930" i="94"/>
  <c r="P928" i="94"/>
  <c r="P923" i="94"/>
  <c r="P916" i="94"/>
  <c r="P915" i="94"/>
  <c r="P914" i="94"/>
  <c r="P890" i="94"/>
  <c r="P886" i="94"/>
  <c r="P885" i="94"/>
  <c r="P877" i="94"/>
  <c r="P860" i="94"/>
  <c r="P858" i="94"/>
  <c r="P849" i="94"/>
  <c r="V745" i="94"/>
  <c r="AY53" i="94"/>
  <c r="AX53" i="94"/>
  <c r="AY52" i="94"/>
  <c r="AX52" i="94"/>
  <c r="AY51" i="94"/>
  <c r="AX51" i="94"/>
  <c r="AY50" i="94"/>
  <c r="AX50" i="94"/>
  <c r="AY49" i="94"/>
  <c r="AX49" i="94"/>
  <c r="AY48" i="94"/>
  <c r="AX48" i="94"/>
  <c r="AY47" i="94"/>
  <c r="AX47" i="94"/>
  <c r="AY46" i="94"/>
  <c r="AX46" i="94"/>
  <c r="AY45" i="94"/>
  <c r="AX45" i="94"/>
  <c r="AY44" i="94"/>
  <c r="AX44" i="94"/>
  <c r="AY43" i="94"/>
  <c r="AX43" i="94"/>
  <c r="AY42" i="94"/>
  <c r="AX42" i="94"/>
  <c r="AY41" i="94"/>
  <c r="AX41" i="94"/>
  <c r="AY40" i="94"/>
  <c r="AX40" i="94"/>
  <c r="AY39" i="94"/>
  <c r="AX39" i="94"/>
  <c r="AY38" i="94"/>
  <c r="AX38" i="94"/>
  <c r="AY37" i="94"/>
  <c r="AX37" i="94"/>
  <c r="N41" i="99"/>
  <c r="AY36" i="94"/>
  <c r="AX36" i="94"/>
  <c r="M37" i="124"/>
  <c r="N40" i="99"/>
  <c r="AY35" i="94"/>
  <c r="AX35" i="94"/>
  <c r="M36" i="124"/>
  <c r="N39" i="99"/>
  <c r="AY34" i="94"/>
  <c r="AX34" i="94"/>
  <c r="M35" i="124"/>
  <c r="N38" i="99"/>
  <c r="AY33" i="94"/>
  <c r="AX33" i="94"/>
  <c r="M34" i="124"/>
  <c r="AY32" i="94"/>
  <c r="AX32" i="94"/>
  <c r="N36" i="99"/>
  <c r="AY31" i="94"/>
  <c r="AX31" i="94"/>
  <c r="M33" i="124"/>
  <c r="N35" i="99"/>
  <c r="AY30" i="94"/>
  <c r="AX30" i="94"/>
  <c r="M32" i="124"/>
  <c r="N34" i="99"/>
  <c r="AY29" i="94"/>
  <c r="AX29" i="94"/>
  <c r="M31" i="124"/>
  <c r="N33" i="99"/>
  <c r="AY28" i="94"/>
  <c r="AX28" i="94"/>
  <c r="M30" i="124"/>
  <c r="N32" i="99"/>
  <c r="AY27" i="94"/>
  <c r="AX27" i="94"/>
  <c r="M29" i="124"/>
  <c r="N31" i="99"/>
  <c r="AY26" i="94"/>
  <c r="AX26" i="94"/>
  <c r="M28" i="124"/>
  <c r="N30" i="99"/>
  <c r="AY25" i="94"/>
  <c r="AX25" i="94"/>
  <c r="M27" i="124"/>
  <c r="N29" i="99"/>
  <c r="AY24" i="94"/>
  <c r="AX24" i="94"/>
  <c r="M26" i="124"/>
  <c r="N28" i="99"/>
  <c r="AY23" i="94"/>
  <c r="AX23" i="94"/>
  <c r="M25" i="124"/>
  <c r="N27" i="99"/>
  <c r="AY22" i="94"/>
  <c r="AX22" i="94"/>
  <c r="N26" i="99"/>
  <c r="AY21" i="94"/>
  <c r="AX21" i="94"/>
  <c r="M24" i="124"/>
  <c r="N25" i="99"/>
  <c r="AY20" i="94"/>
  <c r="AX20" i="94"/>
  <c r="M23" i="124"/>
  <c r="N24" i="99"/>
  <c r="AY19" i="94"/>
  <c r="AX19" i="94"/>
  <c r="M22" i="124"/>
  <c r="N23" i="99"/>
  <c r="AY18" i="94"/>
  <c r="AX18" i="94"/>
  <c r="M21" i="124"/>
  <c r="N22" i="99"/>
  <c r="AY17" i="94"/>
  <c r="AX17" i="94"/>
  <c r="M20" i="124"/>
  <c r="N21" i="99"/>
  <c r="AY16" i="94"/>
  <c r="AX16" i="94"/>
  <c r="M19" i="124"/>
  <c r="N20" i="99"/>
  <c r="AY15" i="94"/>
  <c r="AX15" i="94"/>
  <c r="M18" i="124"/>
  <c r="N19" i="99"/>
  <c r="AY14" i="94"/>
  <c r="AX14" i="94"/>
  <c r="AY13" i="94"/>
  <c r="AX13" i="94"/>
  <c r="M17" i="124"/>
  <c r="AY12" i="94"/>
  <c r="AX12" i="94"/>
  <c r="M16" i="124"/>
  <c r="AY11" i="94"/>
  <c r="AX11" i="94"/>
  <c r="M15" i="124"/>
  <c r="N15" i="99"/>
  <c r="AY10" i="94"/>
  <c r="AX10" i="94"/>
  <c r="M14" i="124"/>
  <c r="N14" i="99"/>
  <c r="AY9" i="94"/>
  <c r="AX9" i="94"/>
  <c r="M13" i="124"/>
  <c r="AY8" i="94"/>
  <c r="AX8" i="94"/>
  <c r="DJ19" i="90"/>
  <c r="DI19" i="90"/>
  <c r="DH19" i="90"/>
  <c r="DG19" i="90"/>
  <c r="DF19" i="90"/>
  <c r="DE19" i="90"/>
  <c r="DD19" i="90"/>
  <c r="DC19" i="90"/>
  <c r="CW19" i="90"/>
  <c r="BA19" i="90"/>
  <c r="AZ19" i="90"/>
  <c r="AY19" i="90"/>
  <c r="AX19" i="90"/>
  <c r="AW19" i="90"/>
  <c r="AU19" i="90"/>
  <c r="AT19" i="90"/>
  <c r="AS19" i="90"/>
  <c r="AR19" i="90"/>
  <c r="AQ19" i="90"/>
  <c r="AP19" i="90"/>
  <c r="AO19" i="90"/>
  <c r="AN19" i="90"/>
  <c r="AM19" i="90"/>
  <c r="AL19" i="90"/>
  <c r="AK19" i="90"/>
  <c r="AJ19" i="90"/>
  <c r="AI19" i="90"/>
  <c r="AH19" i="90"/>
  <c r="AF19" i="90"/>
  <c r="AD19" i="90"/>
  <c r="AA19" i="90"/>
  <c r="Z19" i="90"/>
  <c r="Y19" i="90"/>
  <c r="X19" i="90"/>
  <c r="V19" i="90"/>
  <c r="T50" i="90" s="1"/>
  <c r="U19" i="90"/>
  <c r="S50" i="90" s="1"/>
  <c r="T19" i="90"/>
  <c r="R50" i="90" s="1"/>
  <c r="S19" i="90"/>
  <c r="Q50" i="90" s="1"/>
  <c r="R19" i="90"/>
  <c r="P50" i="90" s="1"/>
  <c r="Q19" i="90"/>
  <c r="O50" i="90" s="1"/>
  <c r="P19" i="90"/>
  <c r="N50" i="90" s="1"/>
  <c r="O19" i="90"/>
  <c r="M50" i="90" s="1"/>
  <c r="N19" i="90"/>
  <c r="L50" i="90" s="1"/>
  <c r="M19" i="90"/>
  <c r="K50" i="90" s="1"/>
  <c r="L19" i="90"/>
  <c r="J50" i="90" s="1"/>
  <c r="K19" i="90"/>
  <c r="I50" i="90" s="1"/>
  <c r="J19" i="90"/>
  <c r="H50" i="90" s="1"/>
  <c r="G50" i="90"/>
  <c r="F50" i="90"/>
  <c r="BD16" i="90"/>
  <c r="F21" i="75"/>
  <c r="AA17" i="93"/>
  <c r="DA10" i="90"/>
  <c r="BD10" i="90"/>
  <c r="G14" i="75" s="1"/>
  <c r="F14" i="75"/>
  <c r="AA16" i="93"/>
  <c r="BD13" i="90"/>
  <c r="G17" i="75" s="1"/>
  <c r="F17" i="75"/>
  <c r="AR14" i="93"/>
  <c r="AA14" i="93"/>
  <c r="BD17" i="90"/>
  <c r="G22" i="75" s="1"/>
  <c r="F22" i="75"/>
  <c r="AR13" i="93"/>
  <c r="AA13" i="93"/>
  <c r="DA8" i="90"/>
  <c r="BD8" i="90"/>
  <c r="G12" i="75" s="1"/>
  <c r="F12" i="75"/>
  <c r="AR12" i="93"/>
  <c r="AA12" i="93"/>
  <c r="BD15" i="90"/>
  <c r="AA11" i="93"/>
  <c r="DA7" i="90"/>
  <c r="BI7" i="90"/>
  <c r="BH7" i="90"/>
  <c r="BF7" i="90"/>
  <c r="AA10" i="93"/>
  <c r="DA11" i="90"/>
  <c r="BD11" i="90"/>
  <c r="G15" i="75" s="1"/>
  <c r="F15" i="75"/>
  <c r="AA9" i="93"/>
  <c r="DA9" i="90"/>
  <c r="BD9" i="90"/>
  <c r="G13" i="75" s="1"/>
  <c r="F13" i="75"/>
  <c r="AR8" i="93"/>
  <c r="F18" i="75"/>
  <c r="N37" i="99"/>
  <c r="Z22" i="110"/>
  <c r="Y22" i="110"/>
  <c r="S22" i="110"/>
  <c r="AA21" i="110" a="1"/>
  <c r="AA21" i="110" s="1"/>
  <c r="AA20" i="110" a="1"/>
  <c r="AA20" i="110" s="1"/>
  <c r="AA18" i="110" a="1"/>
  <c r="AA18" i="110" s="1"/>
  <c r="AA17" i="110" a="1"/>
  <c r="AA17" i="110" s="1"/>
  <c r="AA16" i="110" a="1"/>
  <c r="AA16" i="110" s="1"/>
  <c r="AA15" i="110" a="1"/>
  <c r="AA15" i="110" s="1"/>
  <c r="AA14" i="110" a="1"/>
  <c r="AA14" i="110" s="1"/>
  <c r="AA13" i="110" a="1"/>
  <c r="AA13" i="110" s="1"/>
  <c r="AA12" i="110" a="1"/>
  <c r="AA12" i="110" s="1"/>
  <c r="F11" i="110"/>
  <c r="D11" i="110"/>
  <c r="B11" i="110"/>
  <c r="A11" i="110"/>
  <c r="AA11" i="110" s="1" a="1"/>
  <c r="AA11" i="110" s="1"/>
  <c r="AL7" i="110"/>
  <c r="AL5" i="110"/>
  <c r="B11" i="108"/>
  <c r="A11" i="108"/>
  <c r="H11" i="122"/>
  <c r="G11" i="122"/>
  <c r="I11" i="122" s="1"/>
  <c r="F11" i="122"/>
  <c r="O11" i="122" s="1"/>
  <c r="O12" i="122" s="1"/>
  <c r="E11" i="122"/>
  <c r="D11" i="122"/>
  <c r="C11" i="122"/>
  <c r="B11" i="122"/>
  <c r="A11" i="122"/>
  <c r="G58" i="97"/>
  <c r="E58" i="97"/>
  <c r="N58" i="97" s="1"/>
  <c r="D58" i="97"/>
  <c r="C58" i="97"/>
  <c r="A58" i="97"/>
  <c r="G57" i="97"/>
  <c r="I57" i="97" s="1"/>
  <c r="E57" i="97"/>
  <c r="N57" i="97" s="1"/>
  <c r="D57" i="97"/>
  <c r="C57" i="97"/>
  <c r="A57" i="97"/>
  <c r="G56" i="97"/>
  <c r="E56" i="97"/>
  <c r="N56" i="97" s="1"/>
  <c r="D56" i="97"/>
  <c r="C56" i="97"/>
  <c r="A56" i="97"/>
  <c r="G55" i="97"/>
  <c r="I55" i="97" s="1"/>
  <c r="E55" i="97"/>
  <c r="N55" i="97" s="1"/>
  <c r="D55" i="97"/>
  <c r="C55" i="97"/>
  <c r="A55" i="97"/>
  <c r="G54" i="97"/>
  <c r="I54" i="97" s="1"/>
  <c r="E54" i="97"/>
  <c r="N54" i="97" s="1"/>
  <c r="D54" i="97"/>
  <c r="C54" i="97"/>
  <c r="A54" i="97"/>
  <c r="G53" i="97"/>
  <c r="E53" i="97"/>
  <c r="N53" i="97" s="1"/>
  <c r="D53" i="97"/>
  <c r="C53" i="97"/>
  <c r="A53" i="97"/>
  <c r="G52" i="97"/>
  <c r="I52" i="97" s="1"/>
  <c r="E52" i="97"/>
  <c r="N52" i="97" s="1"/>
  <c r="D52" i="97"/>
  <c r="C52" i="97"/>
  <c r="A52" i="97"/>
  <c r="G51" i="97"/>
  <c r="E51" i="97"/>
  <c r="N51" i="97" s="1"/>
  <c r="D51" i="97"/>
  <c r="C51" i="97"/>
  <c r="A51" i="97"/>
  <c r="G50" i="97"/>
  <c r="E50" i="97"/>
  <c r="N50" i="97" s="1"/>
  <c r="D50" i="97"/>
  <c r="C50" i="97"/>
  <c r="A50" i="97"/>
  <c r="G49" i="97"/>
  <c r="E49" i="97"/>
  <c r="N49" i="97" s="1"/>
  <c r="D49" i="97"/>
  <c r="C49" i="97"/>
  <c r="A49" i="97"/>
  <c r="G48" i="97"/>
  <c r="E48" i="97"/>
  <c r="N48" i="97" s="1"/>
  <c r="D48" i="97"/>
  <c r="C48" i="97"/>
  <c r="A48" i="97"/>
  <c r="G47" i="97"/>
  <c r="I47" i="97" s="1"/>
  <c r="E47" i="97"/>
  <c r="N47" i="97" s="1"/>
  <c r="D47" i="97"/>
  <c r="C47" i="97"/>
  <c r="A47" i="97"/>
  <c r="G46" i="97"/>
  <c r="E46" i="97"/>
  <c r="N46" i="97" s="1"/>
  <c r="D46" i="97"/>
  <c r="C46" i="97"/>
  <c r="A46" i="97"/>
  <c r="G45" i="97"/>
  <c r="I45" i="97" s="1"/>
  <c r="E45" i="97"/>
  <c r="N45" i="97" s="1"/>
  <c r="D45" i="97"/>
  <c r="C45" i="97"/>
  <c r="A45" i="97"/>
  <c r="G44" i="97"/>
  <c r="I44" i="97" s="1"/>
  <c r="E44" i="97"/>
  <c r="N44" i="97" s="1"/>
  <c r="D44" i="97"/>
  <c r="C44" i="97"/>
  <c r="A44" i="97"/>
  <c r="G43" i="97"/>
  <c r="E43" i="97"/>
  <c r="N43" i="97" s="1"/>
  <c r="D43" i="97"/>
  <c r="C43" i="97"/>
  <c r="A43" i="97"/>
  <c r="G42" i="97"/>
  <c r="I42" i="97" s="1"/>
  <c r="E42" i="97"/>
  <c r="N42" i="97" s="1"/>
  <c r="D42" i="97"/>
  <c r="C42" i="97"/>
  <c r="A42" i="97"/>
  <c r="G41" i="97"/>
  <c r="I41" i="97" s="1"/>
  <c r="E41" i="97"/>
  <c r="N41" i="97" s="1"/>
  <c r="D41" i="97"/>
  <c r="C41" i="97"/>
  <c r="A41" i="97"/>
  <c r="G40" i="97"/>
  <c r="I40" i="97" s="1"/>
  <c r="E40" i="97"/>
  <c r="N40" i="97" s="1"/>
  <c r="D40" i="97"/>
  <c r="C40" i="97"/>
  <c r="A40" i="97"/>
  <c r="G39" i="97"/>
  <c r="I39" i="97" s="1"/>
  <c r="E39" i="97"/>
  <c r="N39" i="97" s="1"/>
  <c r="D39" i="97"/>
  <c r="C39" i="97"/>
  <c r="A39" i="97"/>
  <c r="G38" i="97"/>
  <c r="E38" i="97"/>
  <c r="N38" i="97" s="1"/>
  <c r="D38" i="97"/>
  <c r="C38" i="97"/>
  <c r="A38" i="97"/>
  <c r="G37" i="97"/>
  <c r="E37" i="97"/>
  <c r="N37" i="97" s="1"/>
  <c r="D37" i="97"/>
  <c r="C37" i="97"/>
  <c r="A37" i="97"/>
  <c r="G36" i="97"/>
  <c r="E36" i="97"/>
  <c r="N36" i="97" s="1"/>
  <c r="D36" i="97"/>
  <c r="C36" i="97"/>
  <c r="A36" i="97"/>
  <c r="G35" i="97"/>
  <c r="E35" i="97"/>
  <c r="N35" i="97" s="1"/>
  <c r="D35" i="97"/>
  <c r="C35" i="97"/>
  <c r="A35" i="97"/>
  <c r="G34" i="97"/>
  <c r="E34" i="97"/>
  <c r="N34" i="97" s="1"/>
  <c r="D34" i="97"/>
  <c r="C34" i="97"/>
  <c r="A34" i="97"/>
  <c r="G33" i="97"/>
  <c r="E33" i="97"/>
  <c r="N33" i="97" s="1"/>
  <c r="D33" i="97"/>
  <c r="C33" i="97"/>
  <c r="A33" i="97"/>
  <c r="G32" i="97"/>
  <c r="E32" i="97"/>
  <c r="N32" i="97" s="1"/>
  <c r="D32" i="97"/>
  <c r="C32" i="97"/>
  <c r="A32" i="97"/>
  <c r="G31" i="97"/>
  <c r="I31" i="97" s="1"/>
  <c r="E31" i="97"/>
  <c r="N31" i="97" s="1"/>
  <c r="D31" i="97"/>
  <c r="C31" i="97"/>
  <c r="A31" i="97"/>
  <c r="G30" i="97"/>
  <c r="I30" i="97" s="1"/>
  <c r="E30" i="97"/>
  <c r="N30" i="97" s="1"/>
  <c r="D30" i="97"/>
  <c r="C30" i="97"/>
  <c r="A30" i="97"/>
  <c r="G29" i="97"/>
  <c r="I29" i="97" s="1"/>
  <c r="E29" i="97"/>
  <c r="N29" i="97" s="1"/>
  <c r="D29" i="97"/>
  <c r="C29" i="97"/>
  <c r="A29" i="97"/>
  <c r="G28" i="97"/>
  <c r="I28" i="97" s="1"/>
  <c r="E28" i="97"/>
  <c r="N28" i="97" s="1"/>
  <c r="D28" i="97"/>
  <c r="C28" i="97"/>
  <c r="A28" i="97"/>
  <c r="G27" i="97"/>
  <c r="I27" i="97" s="1"/>
  <c r="E27" i="97"/>
  <c r="N27" i="97" s="1"/>
  <c r="D27" i="97"/>
  <c r="C27" i="97"/>
  <c r="A27" i="97"/>
  <c r="G26" i="97"/>
  <c r="I26" i="97" s="1"/>
  <c r="E26" i="97"/>
  <c r="N26" i="97" s="1"/>
  <c r="D26" i="97"/>
  <c r="C26" i="97"/>
  <c r="A26" i="97"/>
  <c r="G25" i="97"/>
  <c r="I25" i="97" s="1"/>
  <c r="E25" i="97"/>
  <c r="N25" i="97" s="1"/>
  <c r="D25" i="97"/>
  <c r="C25" i="97"/>
  <c r="A25" i="97"/>
  <c r="G24" i="97"/>
  <c r="I24" i="97" s="1"/>
  <c r="E24" i="97"/>
  <c r="D24" i="97"/>
  <c r="C24" i="97"/>
  <c r="A24" i="97"/>
  <c r="G23" i="97"/>
  <c r="I23" i="97" s="1"/>
  <c r="E23" i="97"/>
  <c r="N23" i="97" s="1"/>
  <c r="D23" i="97"/>
  <c r="C23" i="97"/>
  <c r="A23" i="97"/>
  <c r="G22" i="97"/>
  <c r="E22" i="97"/>
  <c r="N22" i="97" s="1"/>
  <c r="D22" i="97"/>
  <c r="C22" i="97"/>
  <c r="A22" i="97"/>
  <c r="G21" i="97"/>
  <c r="I21" i="97" s="1"/>
  <c r="E21" i="97"/>
  <c r="N21" i="97" s="1"/>
  <c r="D21" i="97"/>
  <c r="C21" i="97"/>
  <c r="A21" i="97"/>
  <c r="G20" i="97"/>
  <c r="E20" i="97"/>
  <c r="N20" i="97" s="1"/>
  <c r="D20" i="97"/>
  <c r="C20" i="97"/>
  <c r="A20" i="97"/>
  <c r="G19" i="97"/>
  <c r="I19" i="97" s="1"/>
  <c r="E19" i="97"/>
  <c r="N19" i="97" s="1"/>
  <c r="D19" i="97"/>
  <c r="C19" i="97"/>
  <c r="G18" i="97"/>
  <c r="I18" i="97" s="1"/>
  <c r="E18" i="97"/>
  <c r="N18" i="97" s="1"/>
  <c r="D18" i="97"/>
  <c r="C18" i="97"/>
  <c r="A18" i="97"/>
  <c r="G17" i="97"/>
  <c r="E17" i="97"/>
  <c r="N17" i="97" s="1"/>
  <c r="D17" i="97"/>
  <c r="C17" i="97"/>
  <c r="A17" i="97"/>
  <c r="G16" i="97"/>
  <c r="I16" i="97" s="1"/>
  <c r="E16" i="97"/>
  <c r="N16" i="97" s="1"/>
  <c r="D16" i="97"/>
  <c r="C16" i="97"/>
  <c r="A16" i="97"/>
  <c r="G15" i="97"/>
  <c r="E15" i="97"/>
  <c r="N15" i="97" s="1"/>
  <c r="D15" i="97"/>
  <c r="C15" i="97"/>
  <c r="A15" i="97"/>
  <c r="G14" i="97"/>
  <c r="E14" i="97"/>
  <c r="N14" i="97" s="1"/>
  <c r="D14" i="97"/>
  <c r="C14" i="97"/>
  <c r="A14" i="97"/>
  <c r="G13" i="97"/>
  <c r="E13" i="97"/>
  <c r="N13" i="97" s="1"/>
  <c r="D13" i="97"/>
  <c r="C13" i="97"/>
  <c r="A13" i="97"/>
  <c r="B18" i="83"/>
  <c r="A18" i="83"/>
  <c r="B17" i="83"/>
  <c r="A17" i="83"/>
  <c r="B16" i="83"/>
  <c r="A16" i="83"/>
  <c r="B15" i="83"/>
  <c r="A15" i="83"/>
  <c r="B14" i="83"/>
  <c r="A14" i="83"/>
  <c r="B13" i="83"/>
  <c r="A13" i="83"/>
  <c r="B12" i="83"/>
  <c r="A12" i="83"/>
  <c r="B11" i="83"/>
  <c r="A11" i="83"/>
  <c r="D15" i="82"/>
  <c r="C15" i="82"/>
  <c r="B15" i="82"/>
  <c r="A15" i="82"/>
  <c r="D14" i="82"/>
  <c r="C14" i="82"/>
  <c r="B14" i="82"/>
  <c r="A14" i="82"/>
  <c r="D13" i="82"/>
  <c r="C13" i="82"/>
  <c r="B13" i="82"/>
  <c r="A13" i="82"/>
  <c r="D11" i="82"/>
  <c r="C11" i="82"/>
  <c r="B11" i="82"/>
  <c r="A11" i="82"/>
  <c r="B24" i="114"/>
  <c r="B13" i="114" s="1"/>
  <c r="D15" i="81"/>
  <c r="C15" i="81"/>
  <c r="E15" i="81" s="1"/>
  <c r="B15" i="81"/>
  <c r="A15" i="81"/>
  <c r="D14" i="81"/>
  <c r="C14" i="81"/>
  <c r="E14" i="81" s="1"/>
  <c r="B14" i="81"/>
  <c r="A14" i="81"/>
  <c r="D13" i="81"/>
  <c r="C13" i="81"/>
  <c r="E13" i="81" s="1"/>
  <c r="B13" i="81"/>
  <c r="A13" i="81"/>
  <c r="D11" i="81"/>
  <c r="C11" i="81"/>
  <c r="E11" i="81" s="1"/>
  <c r="B11" i="81"/>
  <c r="A11" i="81"/>
  <c r="D15" i="80"/>
  <c r="C15" i="80"/>
  <c r="B15" i="80"/>
  <c r="A15" i="80"/>
  <c r="D14" i="80"/>
  <c r="C14" i="80"/>
  <c r="B14" i="80"/>
  <c r="A14" i="80"/>
  <c r="D13" i="80"/>
  <c r="C13" i="80"/>
  <c r="B13" i="80"/>
  <c r="A13" i="80"/>
  <c r="D11" i="80"/>
  <c r="C11" i="80"/>
  <c r="B11" i="80"/>
  <c r="A11" i="80"/>
  <c r="F21" i="79"/>
  <c r="F20" i="79"/>
  <c r="F19" i="79"/>
  <c r="F18" i="79"/>
  <c r="F17" i="79"/>
  <c r="F16" i="79"/>
  <c r="F15" i="79"/>
  <c r="D15" i="79"/>
  <c r="C15" i="79"/>
  <c r="E15" i="79" s="1"/>
  <c r="B15" i="79"/>
  <c r="A15" i="79"/>
  <c r="D14" i="79"/>
  <c r="C14" i="79"/>
  <c r="E14" i="79" s="1"/>
  <c r="B14" i="79"/>
  <c r="A14" i="79"/>
  <c r="F13" i="79"/>
  <c r="D13" i="79"/>
  <c r="C13" i="79"/>
  <c r="E13" i="79" s="1"/>
  <c r="B13" i="79"/>
  <c r="A13" i="79"/>
  <c r="F11" i="79"/>
  <c r="D11" i="79"/>
  <c r="C11" i="79"/>
  <c r="E11" i="79" s="1"/>
  <c r="B11" i="79"/>
  <c r="A11" i="79"/>
  <c r="H22" i="78"/>
  <c r="H21" i="78"/>
  <c r="H20" i="78"/>
  <c r="H19" i="78"/>
  <c r="H18" i="78"/>
  <c r="D15" i="78"/>
  <c r="C15" i="78"/>
  <c r="B15" i="78"/>
  <c r="A15" i="78"/>
  <c r="H15" i="78" s="1"/>
  <c r="D14" i="78"/>
  <c r="C14" i="78"/>
  <c r="B14" i="78"/>
  <c r="A14" i="78"/>
  <c r="H14" i="78" s="1"/>
  <c r="D13" i="78"/>
  <c r="C13" i="78"/>
  <c r="B13" i="78"/>
  <c r="A13" i="78"/>
  <c r="H13" i="78" s="1"/>
  <c r="D11" i="78"/>
  <c r="C11" i="78"/>
  <c r="E11" i="78" s="1"/>
  <c r="K11" i="78" s="1"/>
  <c r="B11" i="78"/>
  <c r="A11" i="78"/>
  <c r="I19" i="77"/>
  <c r="I18" i="77"/>
  <c r="I17" i="77"/>
  <c r="I16" i="77"/>
  <c r="I15" i="77"/>
  <c r="D15" i="77"/>
  <c r="B15" i="77"/>
  <c r="A15" i="77"/>
  <c r="D14" i="77"/>
  <c r="B14" i="77"/>
  <c r="A14" i="77"/>
  <c r="D13" i="77"/>
  <c r="B13" i="77"/>
  <c r="A13" i="77"/>
  <c r="D11" i="77"/>
  <c r="C11" i="77"/>
  <c r="B11" i="77"/>
  <c r="A11" i="77"/>
  <c r="C22" i="76"/>
  <c r="D11" i="75"/>
  <c r="C11" i="75"/>
  <c r="B11" i="75"/>
  <c r="A11" i="75"/>
  <c r="D15" i="74"/>
  <c r="C15" i="74"/>
  <c r="B15" i="74"/>
  <c r="A15" i="74"/>
  <c r="D14" i="74"/>
  <c r="C14" i="74"/>
  <c r="B14" i="74"/>
  <c r="A14" i="74"/>
  <c r="D13" i="74"/>
  <c r="C13" i="74"/>
  <c r="B13" i="74"/>
  <c r="A13" i="74"/>
  <c r="D11" i="74"/>
  <c r="C11" i="74"/>
  <c r="B11" i="74"/>
  <c r="A11" i="74"/>
  <c r="G23" i="73"/>
  <c r="F23" i="73"/>
  <c r="E23" i="73"/>
  <c r="I15" i="73"/>
  <c r="D15" i="73"/>
  <c r="C15" i="73"/>
  <c r="B15" i="73"/>
  <c r="A15" i="73"/>
  <c r="I14" i="73"/>
  <c r="D14" i="73"/>
  <c r="C14" i="73"/>
  <c r="B14" i="73"/>
  <c r="A14" i="73"/>
  <c r="I13" i="73"/>
  <c r="D13" i="73"/>
  <c r="C13" i="73"/>
  <c r="B13" i="73"/>
  <c r="A13" i="73"/>
  <c r="D11" i="73"/>
  <c r="C11" i="73"/>
  <c r="B11" i="73"/>
  <c r="A11" i="73"/>
  <c r="D15" i="72"/>
  <c r="C15" i="72"/>
  <c r="B15" i="72"/>
  <c r="A15" i="72"/>
  <c r="D14" i="72"/>
  <c r="C14" i="72"/>
  <c r="B14" i="72"/>
  <c r="A14" i="72"/>
  <c r="D13" i="72"/>
  <c r="C13" i="72"/>
  <c r="B13" i="72"/>
  <c r="A13" i="72"/>
  <c r="D11" i="72"/>
  <c r="C11" i="72"/>
  <c r="B11" i="72"/>
  <c r="A11" i="72"/>
  <c r="D15" i="71"/>
  <c r="C15" i="71"/>
  <c r="E15" i="71" s="1"/>
  <c r="B15" i="71"/>
  <c r="A15" i="71"/>
  <c r="D14" i="71"/>
  <c r="C14" i="71"/>
  <c r="E14" i="71" s="1"/>
  <c r="B14" i="71"/>
  <c r="A14" i="71"/>
  <c r="D13" i="71"/>
  <c r="C13" i="71"/>
  <c r="E13" i="71" s="1"/>
  <c r="B13" i="71"/>
  <c r="A13" i="71"/>
  <c r="D11" i="71"/>
  <c r="C11" i="71"/>
  <c r="E11" i="71" s="1"/>
  <c r="B11" i="71"/>
  <c r="A11" i="71"/>
  <c r="F21" i="70"/>
  <c r="G21" i="70" s="1"/>
  <c r="F20" i="70"/>
  <c r="G20" i="70" s="1"/>
  <c r="F19" i="70"/>
  <c r="G19" i="70" s="1"/>
  <c r="F18" i="70"/>
  <c r="G18" i="70" s="1"/>
  <c r="F17" i="70"/>
  <c r="G17" i="70" s="1"/>
  <c r="F16" i="70"/>
  <c r="G16" i="70" s="1"/>
  <c r="F15" i="70"/>
  <c r="G15" i="70" s="1"/>
  <c r="F14" i="70"/>
  <c r="G14" i="70" s="1"/>
  <c r="F13" i="70"/>
  <c r="G13" i="70" s="1"/>
  <c r="D11" i="70"/>
  <c r="C11" i="70"/>
  <c r="E11" i="70" s="1"/>
  <c r="F11" i="70" s="1"/>
  <c r="G11" i="70" s="1"/>
  <c r="B11" i="70"/>
  <c r="A11" i="70"/>
  <c r="D34" i="69"/>
  <c r="C34" i="69"/>
  <c r="B34" i="69"/>
  <c r="A34" i="69"/>
  <c r="D33" i="69"/>
  <c r="C33" i="69"/>
  <c r="B33" i="69"/>
  <c r="A33" i="69"/>
  <c r="D32" i="69"/>
  <c r="C32" i="69"/>
  <c r="B32" i="69"/>
  <c r="A32" i="69"/>
  <c r="D30" i="69"/>
  <c r="C30" i="69"/>
  <c r="B30" i="69"/>
  <c r="A30" i="69"/>
  <c r="K22" i="68"/>
  <c r="K21" i="68"/>
  <c r="K20" i="68"/>
  <c r="K19" i="68"/>
  <c r="H19" i="68"/>
  <c r="K18" i="68"/>
  <c r="K17" i="68"/>
  <c r="G16" i="68"/>
  <c r="K16" i="68" s="1"/>
  <c r="F16" i="68"/>
  <c r="E16" i="68"/>
  <c r="D16" i="68"/>
  <c r="C16" i="68"/>
  <c r="B16" i="68"/>
  <c r="A16" i="68"/>
  <c r="G15" i="68"/>
  <c r="K15" i="68" s="1"/>
  <c r="F15" i="68"/>
  <c r="E15" i="68"/>
  <c r="C15" i="68"/>
  <c r="B15" i="68"/>
  <c r="A15" i="68"/>
  <c r="G14" i="68"/>
  <c r="K14" i="68" s="1"/>
  <c r="F14" i="68"/>
  <c r="E14" i="68"/>
  <c r="D14" i="68"/>
  <c r="C14" i="68"/>
  <c r="B14" i="68"/>
  <c r="A14" i="68"/>
  <c r="G12" i="68"/>
  <c r="K12" i="68" s="1"/>
  <c r="F12" i="68"/>
  <c r="E12" i="68"/>
  <c r="D12" i="68"/>
  <c r="C12" i="68"/>
  <c r="B12" i="68"/>
  <c r="A12" i="68"/>
  <c r="H8" i="68"/>
  <c r="G8" i="68"/>
  <c r="H7" i="68"/>
  <c r="G7" i="68"/>
  <c r="D29" i="66"/>
  <c r="C29" i="66"/>
  <c r="F29" i="66" s="1"/>
  <c r="B29" i="66"/>
  <c r="A29" i="66"/>
  <c r="D28" i="66"/>
  <c r="C28" i="66"/>
  <c r="F28" i="66" s="1"/>
  <c r="B28" i="66"/>
  <c r="A28" i="66"/>
  <c r="D27" i="66"/>
  <c r="C27" i="66"/>
  <c r="B27" i="66"/>
  <c r="A27" i="66"/>
  <c r="D25" i="66"/>
  <c r="C25" i="66"/>
  <c r="B25" i="66"/>
  <c r="A25" i="66"/>
  <c r="D15" i="65"/>
  <c r="C15" i="65"/>
  <c r="E15" i="65" s="1"/>
  <c r="B15" i="65"/>
  <c r="A15" i="65"/>
  <c r="D14" i="65"/>
  <c r="C14" i="65"/>
  <c r="E14" i="65" s="1"/>
  <c r="B14" i="65"/>
  <c r="A14" i="65"/>
  <c r="D13" i="65"/>
  <c r="C13" i="65"/>
  <c r="E13" i="65" s="1"/>
  <c r="B13" i="65"/>
  <c r="A13" i="65"/>
  <c r="D11" i="65"/>
  <c r="C11" i="65"/>
  <c r="B11" i="65"/>
  <c r="A11" i="65"/>
  <c r="D15" i="64"/>
  <c r="C15" i="64"/>
  <c r="B15" i="64"/>
  <c r="A15" i="64"/>
  <c r="D14" i="64"/>
  <c r="C14" i="64"/>
  <c r="B14" i="64"/>
  <c r="A14" i="64"/>
  <c r="D13" i="64"/>
  <c r="C13" i="64"/>
  <c r="B13" i="64"/>
  <c r="A13" i="64"/>
  <c r="D11" i="64"/>
  <c r="C11" i="64"/>
  <c r="B11" i="64"/>
  <c r="A11" i="64"/>
  <c r="D15" i="61"/>
  <c r="C15" i="61"/>
  <c r="B15" i="61"/>
  <c r="A15" i="61"/>
  <c r="D14" i="61"/>
  <c r="C14" i="61"/>
  <c r="B14" i="61"/>
  <c r="A14" i="61"/>
  <c r="D13" i="61"/>
  <c r="C13" i="61"/>
  <c r="B13" i="61"/>
  <c r="A13" i="61"/>
  <c r="D11" i="61"/>
  <c r="C11" i="61"/>
  <c r="B11" i="61"/>
  <c r="A11" i="61"/>
  <c r="D15" i="60"/>
  <c r="C15" i="60"/>
  <c r="B15" i="60"/>
  <c r="A15" i="60"/>
  <c r="D14" i="60"/>
  <c r="C14" i="60"/>
  <c r="B14" i="60"/>
  <c r="A14" i="60"/>
  <c r="D13" i="60"/>
  <c r="C13" i="60"/>
  <c r="B13" i="60"/>
  <c r="A13" i="60"/>
  <c r="D11" i="60"/>
  <c r="C11" i="60"/>
  <c r="B11" i="60"/>
  <c r="A11" i="60"/>
  <c r="D15" i="59"/>
  <c r="C15" i="59"/>
  <c r="B15" i="59"/>
  <c r="A15" i="59"/>
  <c r="D14" i="59"/>
  <c r="C14" i="59"/>
  <c r="B14" i="59"/>
  <c r="A14" i="59"/>
  <c r="D13" i="59"/>
  <c r="C13" i="59"/>
  <c r="B13" i="59"/>
  <c r="A13" i="59"/>
  <c r="D11" i="59"/>
  <c r="C11" i="59"/>
  <c r="B11" i="59"/>
  <c r="A11" i="59"/>
  <c r="D15" i="58"/>
  <c r="C15" i="58"/>
  <c r="B15" i="58"/>
  <c r="A15" i="58"/>
  <c r="D14" i="58"/>
  <c r="C14" i="58"/>
  <c r="B14" i="58"/>
  <c r="A14" i="58"/>
  <c r="D13" i="58"/>
  <c r="C13" i="58"/>
  <c r="B13" i="58"/>
  <c r="A13" i="58"/>
  <c r="D11" i="58"/>
  <c r="C11" i="58"/>
  <c r="B11" i="58"/>
  <c r="A11" i="58"/>
  <c r="D15" i="57"/>
  <c r="C15" i="57"/>
  <c r="B15" i="57"/>
  <c r="A15" i="57"/>
  <c r="D14" i="57"/>
  <c r="C14" i="57"/>
  <c r="B14" i="57"/>
  <c r="A14" i="57"/>
  <c r="D13" i="57"/>
  <c r="C13" i="57"/>
  <c r="B13" i="57"/>
  <c r="A13" i="57"/>
  <c r="D11" i="57"/>
  <c r="C11" i="57"/>
  <c r="B11" i="57"/>
  <c r="A11" i="57"/>
  <c r="E15" i="56"/>
  <c r="D15" i="56"/>
  <c r="C15" i="56"/>
  <c r="B15" i="56"/>
  <c r="A15" i="56"/>
  <c r="E14" i="56"/>
  <c r="D14" i="56"/>
  <c r="C14" i="56"/>
  <c r="B14" i="56"/>
  <c r="A14" i="56"/>
  <c r="E13" i="56"/>
  <c r="D13" i="56"/>
  <c r="C13" i="56"/>
  <c r="B13" i="56"/>
  <c r="A13" i="56"/>
  <c r="E11" i="56"/>
  <c r="D11" i="56"/>
  <c r="C11" i="56"/>
  <c r="B11" i="56"/>
  <c r="A11" i="56"/>
  <c r="D15" i="55"/>
  <c r="C15" i="55"/>
  <c r="B15" i="55"/>
  <c r="A15" i="55"/>
  <c r="D14" i="55"/>
  <c r="C14" i="55"/>
  <c r="B14" i="55"/>
  <c r="A14" i="55"/>
  <c r="D13" i="55"/>
  <c r="C13" i="55"/>
  <c r="B13" i="55"/>
  <c r="A13" i="55"/>
  <c r="D11" i="55"/>
  <c r="C11" i="55"/>
  <c r="B11" i="55"/>
  <c r="A11" i="55"/>
  <c r="D15" i="54"/>
  <c r="C15" i="54"/>
  <c r="B15" i="54"/>
  <c r="A15" i="54"/>
  <c r="D14" i="54"/>
  <c r="C14" i="54"/>
  <c r="B14" i="54"/>
  <c r="A14" i="54"/>
  <c r="D13" i="54"/>
  <c r="C13" i="54"/>
  <c r="B13" i="54"/>
  <c r="A13" i="54"/>
  <c r="D11" i="54"/>
  <c r="C11" i="54"/>
  <c r="B11" i="54"/>
  <c r="A11" i="54"/>
  <c r="B21" i="101"/>
  <c r="A21" i="101"/>
  <c r="AX21" i="101" s="1"/>
  <c r="B20" i="101"/>
  <c r="A20" i="101"/>
  <c r="AX20" i="101" s="1"/>
  <c r="B18" i="101"/>
  <c r="A18" i="101"/>
  <c r="AX18" i="101" s="1"/>
  <c r="B17" i="101"/>
  <c r="A17" i="101"/>
  <c r="AX17" i="101" s="1"/>
  <c r="B16" i="101"/>
  <c r="A16" i="101"/>
  <c r="B15" i="101"/>
  <c r="A15" i="101"/>
  <c r="AX15" i="101" s="1"/>
  <c r="B14" i="101"/>
  <c r="A14" i="101"/>
  <c r="AX14" i="101" s="1"/>
  <c r="B13" i="101"/>
  <c r="A13" i="101"/>
  <c r="AX13" i="101" s="1"/>
  <c r="B12" i="101"/>
  <c r="A12" i="101"/>
  <c r="AX12" i="101" s="1"/>
  <c r="B11" i="101"/>
  <c r="A11" i="101"/>
  <c r="AX11" i="101" s="1"/>
  <c r="AX9" i="101" s="1"/>
  <c r="B29" i="115"/>
  <c r="B8" i="115"/>
  <c r="B15" i="115" s="1"/>
  <c r="AX16" i="101" l="1"/>
  <c r="AL16" i="101"/>
  <c r="F25" i="66"/>
  <c r="I25" i="66"/>
  <c r="J25" i="66" s="1"/>
  <c r="K25" i="66" s="1"/>
  <c r="F27" i="66"/>
  <c r="I27" i="66"/>
  <c r="G21" i="75"/>
  <c r="F20" i="75"/>
  <c r="F19" i="75"/>
  <c r="G20" i="75"/>
  <c r="G19" i="75"/>
  <c r="I12" i="101"/>
  <c r="I20" i="101"/>
  <c r="I19" i="101"/>
  <c r="I13" i="101"/>
  <c r="I21" i="101"/>
  <c r="I16" i="101"/>
  <c r="I14" i="101"/>
  <c r="I15" i="101"/>
  <c r="I17" i="101"/>
  <c r="I18" i="101"/>
  <c r="I11" i="101"/>
  <c r="AU18" i="101"/>
  <c r="AL18" i="101"/>
  <c r="AU11" i="101"/>
  <c r="AL11" i="101"/>
  <c r="AL9" i="101" s="1"/>
  <c r="AU15" i="101"/>
  <c r="AL15" i="101"/>
  <c r="AU20" i="101"/>
  <c r="AL20" i="101"/>
  <c r="K24" i="97"/>
  <c r="N24" i="97"/>
  <c r="AL12" i="101" s="1"/>
  <c r="AU21" i="101"/>
  <c r="AL21" i="101"/>
  <c r="AU14" i="101"/>
  <c r="AL14" i="101"/>
  <c r="AU12" i="101"/>
  <c r="AU13" i="101"/>
  <c r="AL13" i="101"/>
  <c r="AU17" i="101"/>
  <c r="AL17" i="101"/>
  <c r="AL19" i="101"/>
  <c r="AU16" i="101"/>
  <c r="W11" i="110"/>
  <c r="AD11" i="110" s="1"/>
  <c r="K38" i="124"/>
  <c r="K40" i="124"/>
  <c r="K41" i="124"/>
  <c r="K39" i="124"/>
  <c r="CX33" i="90"/>
  <c r="CX31" i="90"/>
  <c r="CX26" i="90"/>
  <c r="CX28" i="90"/>
  <c r="CX30" i="90"/>
  <c r="CX25" i="90"/>
  <c r="CX27" i="90"/>
  <c r="CX35" i="90"/>
  <c r="CX32" i="90"/>
  <c r="CX24" i="90"/>
  <c r="CX34" i="90"/>
  <c r="W12" i="101"/>
  <c r="AS12" i="101"/>
  <c r="AT12" i="101"/>
  <c r="AS21" i="101"/>
  <c r="AT21" i="101"/>
  <c r="E15" i="80"/>
  <c r="H15" i="80" s="1"/>
  <c r="F15" i="80"/>
  <c r="I15" i="80" s="1"/>
  <c r="G15" i="80"/>
  <c r="J15" i="80" s="1"/>
  <c r="E14" i="80"/>
  <c r="H14" i="80" s="1"/>
  <c r="F14" i="80"/>
  <c r="I14" i="80" s="1"/>
  <c r="G14" i="80"/>
  <c r="J14" i="80" s="1"/>
  <c r="W17" i="101"/>
  <c r="AS17" i="101"/>
  <c r="AT17" i="101"/>
  <c r="E13" i="80"/>
  <c r="H13" i="80" s="1"/>
  <c r="F13" i="80"/>
  <c r="I13" i="80" s="1"/>
  <c r="G13" i="80"/>
  <c r="J13" i="80" s="1"/>
  <c r="W13" i="101"/>
  <c r="AS13" i="101"/>
  <c r="AT13" i="101"/>
  <c r="W14" i="101"/>
  <c r="AS14" i="101"/>
  <c r="AT14" i="101"/>
  <c r="AS11" i="101"/>
  <c r="AT11" i="101"/>
  <c r="W15" i="101"/>
  <c r="AS15" i="101"/>
  <c r="AT15" i="101"/>
  <c r="W20" i="101"/>
  <c r="AS20" i="101"/>
  <c r="AT20" i="101"/>
  <c r="W18" i="101"/>
  <c r="AS18" i="101"/>
  <c r="AT18" i="101"/>
  <c r="E11" i="80"/>
  <c r="H11" i="80" s="1"/>
  <c r="F11" i="80"/>
  <c r="I11" i="80" s="1"/>
  <c r="G11" i="80"/>
  <c r="J11" i="80" s="1"/>
  <c r="W16" i="101"/>
  <c r="AS16" i="101"/>
  <c r="AT16" i="101"/>
  <c r="E13" i="74"/>
  <c r="H13" i="74"/>
  <c r="F13" i="74"/>
  <c r="G13" i="74"/>
  <c r="E15" i="74"/>
  <c r="G15" i="74"/>
  <c r="H15" i="74"/>
  <c r="F15" i="74"/>
  <c r="E11" i="74"/>
  <c r="H11" i="74"/>
  <c r="F11" i="74"/>
  <c r="G11" i="74"/>
  <c r="E14" i="74"/>
  <c r="H14" i="74"/>
  <c r="F14" i="74"/>
  <c r="G14" i="74"/>
  <c r="W21" i="101"/>
  <c r="W11" i="101"/>
  <c r="J11" i="122"/>
  <c r="G11" i="75"/>
  <c r="F11" i="75"/>
  <c r="E11" i="75"/>
  <c r="F11" i="77"/>
  <c r="E11" i="77"/>
  <c r="I11" i="77" s="1"/>
  <c r="L11" i="77" s="1"/>
  <c r="K13" i="97"/>
  <c r="J13" i="97"/>
  <c r="K15" i="97"/>
  <c r="J15" i="97"/>
  <c r="K17" i="97"/>
  <c r="J17" i="97"/>
  <c r="K19" i="97"/>
  <c r="J19" i="97"/>
  <c r="K21" i="97"/>
  <c r="J21" i="97"/>
  <c r="K23" i="97"/>
  <c r="J23" i="97"/>
  <c r="K25" i="97"/>
  <c r="J25" i="97"/>
  <c r="K27" i="97"/>
  <c r="J27" i="97"/>
  <c r="K29" i="97"/>
  <c r="J29" i="97"/>
  <c r="K31" i="97"/>
  <c r="J31" i="97"/>
  <c r="K33" i="97"/>
  <c r="J33" i="97"/>
  <c r="K35" i="97"/>
  <c r="J35" i="97"/>
  <c r="K37" i="97"/>
  <c r="J37" i="97"/>
  <c r="K39" i="97"/>
  <c r="J39" i="97"/>
  <c r="K41" i="97"/>
  <c r="J41" i="97"/>
  <c r="K43" i="97"/>
  <c r="J43" i="97"/>
  <c r="K45" i="97"/>
  <c r="J45" i="97"/>
  <c r="K47" i="97"/>
  <c r="J47" i="97"/>
  <c r="K49" i="97"/>
  <c r="J49" i="97"/>
  <c r="K51" i="97"/>
  <c r="J51" i="97"/>
  <c r="K53" i="97"/>
  <c r="J53" i="97"/>
  <c r="K55" i="97"/>
  <c r="J55" i="97"/>
  <c r="K57" i="97"/>
  <c r="J57" i="97"/>
  <c r="K14" i="97"/>
  <c r="J14" i="97"/>
  <c r="K16" i="97"/>
  <c r="J16" i="97"/>
  <c r="K18" i="97"/>
  <c r="J18" i="97"/>
  <c r="K20" i="97"/>
  <c r="J20" i="97"/>
  <c r="K22" i="97"/>
  <c r="J22" i="97"/>
  <c r="J24" i="97"/>
  <c r="K26" i="97"/>
  <c r="J26" i="97"/>
  <c r="K28" i="97"/>
  <c r="J28" i="97"/>
  <c r="K30" i="97"/>
  <c r="J30" i="97"/>
  <c r="K32" i="97"/>
  <c r="J32" i="97"/>
  <c r="K34" i="97"/>
  <c r="J34" i="97"/>
  <c r="K36" i="97"/>
  <c r="J36" i="97"/>
  <c r="K38" i="97"/>
  <c r="J38" i="97"/>
  <c r="K40" i="97"/>
  <c r="J40" i="97"/>
  <c r="K42" i="97"/>
  <c r="J42" i="97"/>
  <c r="K44" i="97"/>
  <c r="J44" i="97"/>
  <c r="K46" i="97"/>
  <c r="J46" i="97"/>
  <c r="K48" i="97"/>
  <c r="J48" i="97"/>
  <c r="K50" i="97"/>
  <c r="J50" i="97"/>
  <c r="K52" i="97"/>
  <c r="J52" i="97"/>
  <c r="K54" i="97"/>
  <c r="J54" i="97"/>
  <c r="K56" i="97"/>
  <c r="J56" i="97"/>
  <c r="K58" i="97"/>
  <c r="J58" i="97"/>
  <c r="E11" i="65"/>
  <c r="F11" i="65" s="1"/>
  <c r="B32" i="101"/>
  <c r="B25" i="101"/>
  <c r="B29" i="101"/>
  <c r="B26" i="101"/>
  <c r="B28" i="101"/>
  <c r="B33" i="101"/>
  <c r="B23" i="101"/>
  <c r="B27" i="101"/>
  <c r="B24" i="101"/>
  <c r="B30" i="101"/>
  <c r="E13" i="55"/>
  <c r="H11" i="56"/>
  <c r="G11" i="71"/>
  <c r="H11" i="71"/>
  <c r="F11" i="71"/>
  <c r="F15" i="81"/>
  <c r="I15" i="81" s="1"/>
  <c r="H13" i="56"/>
  <c r="H13" i="71"/>
  <c r="G13" i="71"/>
  <c r="F13" i="71"/>
  <c r="H14" i="71"/>
  <c r="G14" i="71"/>
  <c r="F14" i="71"/>
  <c r="H15" i="71"/>
  <c r="F15" i="71"/>
  <c r="G15" i="71"/>
  <c r="E14" i="55"/>
  <c r="F11" i="64"/>
  <c r="F15" i="64"/>
  <c r="F13" i="81"/>
  <c r="I13" i="81" s="1"/>
  <c r="E30" i="69"/>
  <c r="E32" i="69"/>
  <c r="E33" i="69"/>
  <c r="E34" i="69"/>
  <c r="E11" i="55"/>
  <c r="E15" i="55"/>
  <c r="F13" i="64"/>
  <c r="F14" i="64"/>
  <c r="F11" i="81"/>
  <c r="I11" i="81" s="1"/>
  <c r="F14" i="81"/>
  <c r="I14" i="81" s="1"/>
  <c r="H14" i="56"/>
  <c r="H15" i="56"/>
  <c r="H15" i="68"/>
  <c r="L11" i="122"/>
  <c r="L12" i="122" s="1"/>
  <c r="I16" i="60"/>
  <c r="J16" i="60" s="1"/>
  <c r="I31" i="101" s="1"/>
  <c r="I19" i="60"/>
  <c r="J19" i="60" s="1"/>
  <c r="H11" i="78"/>
  <c r="H23" i="78" s="1"/>
  <c r="K12" i="124"/>
  <c r="K14" i="124"/>
  <c r="K21" i="124"/>
  <c r="K28" i="124"/>
  <c r="K32" i="124"/>
  <c r="K35" i="124"/>
  <c r="K15" i="124"/>
  <c r="K18" i="124"/>
  <c r="K22" i="124"/>
  <c r="K25" i="124"/>
  <c r="K29" i="124"/>
  <c r="K33" i="124"/>
  <c r="K36" i="124"/>
  <c r="K19" i="124"/>
  <c r="K26" i="124"/>
  <c r="K13" i="124"/>
  <c r="K20" i="124"/>
  <c r="K27" i="124"/>
  <c r="K34" i="124"/>
  <c r="K16" i="124"/>
  <c r="K30" i="124"/>
  <c r="K24" i="124"/>
  <c r="K17" i="124"/>
  <c r="K31" i="124"/>
  <c r="K23" i="124"/>
  <c r="K37" i="124"/>
  <c r="M38" i="99"/>
  <c r="M26" i="99"/>
  <c r="M37" i="99"/>
  <c r="M36" i="99"/>
  <c r="M28" i="99"/>
  <c r="M41" i="99"/>
  <c r="M25" i="99"/>
  <c r="M40" i="99"/>
  <c r="M24" i="99"/>
  <c r="M30" i="99"/>
  <c r="M33" i="99"/>
  <c r="M31" i="99"/>
  <c r="M35" i="99"/>
  <c r="M27" i="99"/>
  <c r="M34" i="99"/>
  <c r="M29" i="99"/>
  <c r="M32" i="99"/>
  <c r="M39" i="99"/>
  <c r="M12" i="99"/>
  <c r="I14" i="68"/>
  <c r="K14" i="99"/>
  <c r="K18" i="99"/>
  <c r="K22" i="99"/>
  <c r="K26" i="99"/>
  <c r="K30" i="99"/>
  <c r="K34" i="99"/>
  <c r="K38" i="99"/>
  <c r="K15" i="99"/>
  <c r="K19" i="99"/>
  <c r="K23" i="99"/>
  <c r="K27" i="99"/>
  <c r="K31" i="99"/>
  <c r="K35" i="99"/>
  <c r="K39" i="99"/>
  <c r="K16" i="99"/>
  <c r="K24" i="99"/>
  <c r="K32" i="99"/>
  <c r="K40" i="99"/>
  <c r="K17" i="99"/>
  <c r="K25" i="99"/>
  <c r="K33" i="99"/>
  <c r="K41" i="99"/>
  <c r="K12" i="99"/>
  <c r="K28" i="99"/>
  <c r="K37" i="99"/>
  <c r="K13" i="99"/>
  <c r="K29" i="99"/>
  <c r="K20" i="99"/>
  <c r="K36" i="99"/>
  <c r="K21" i="99"/>
  <c r="M21" i="99"/>
  <c r="M20" i="99"/>
  <c r="M22" i="99"/>
  <c r="M15" i="99"/>
  <c r="M14" i="99"/>
  <c r="M13" i="99"/>
  <c r="M16" i="99"/>
  <c r="M18" i="99"/>
  <c r="M17" i="99"/>
  <c r="M19" i="99"/>
  <c r="M23" i="99"/>
  <c r="I18" i="68"/>
  <c r="I23" i="68"/>
  <c r="I13" i="68"/>
  <c r="I22" i="68"/>
  <c r="J13" i="68"/>
  <c r="J23" i="68"/>
  <c r="M16" i="101"/>
  <c r="I16" i="68"/>
  <c r="I20" i="68"/>
  <c r="J12" i="68"/>
  <c r="I12" i="68"/>
  <c r="H14" i="68"/>
  <c r="I17" i="68"/>
  <c r="H18" i="68"/>
  <c r="I21" i="68"/>
  <c r="H22" i="68"/>
  <c r="H12" i="68"/>
  <c r="H17" i="68"/>
  <c r="H21" i="68"/>
  <c r="I15" i="68"/>
  <c r="H16" i="68"/>
  <c r="I19" i="68"/>
  <c r="H20" i="68"/>
  <c r="K16" i="71"/>
  <c r="R31" i="101" s="1"/>
  <c r="I16" i="71"/>
  <c r="K17" i="71"/>
  <c r="I17" i="71"/>
  <c r="J17" i="71" s="1"/>
  <c r="K18" i="71"/>
  <c r="I18" i="71"/>
  <c r="J18" i="71" s="1"/>
  <c r="I20" i="71"/>
  <c r="I21" i="71"/>
  <c r="I22" i="71"/>
  <c r="I16" i="74"/>
  <c r="I17" i="74"/>
  <c r="J17" i="74" s="1"/>
  <c r="I19" i="74"/>
  <c r="J19" i="74" s="1"/>
  <c r="I21" i="74"/>
  <c r="J21" i="74" s="1"/>
  <c r="I22" i="74"/>
  <c r="J22" i="74" s="1"/>
  <c r="C14" i="93"/>
  <c r="T19" i="101"/>
  <c r="Z19" i="101"/>
  <c r="Q19" i="101"/>
  <c r="L13" i="110"/>
  <c r="AQ13" i="110" s="1"/>
  <c r="L17" i="110"/>
  <c r="AQ17" i="110" s="1"/>
  <c r="L18" i="110"/>
  <c r="AQ18" i="110" s="1"/>
  <c r="L20" i="110"/>
  <c r="AQ20" i="110" s="1"/>
  <c r="L21" i="110"/>
  <c r="AQ21" i="110" s="1"/>
  <c r="L12" i="110"/>
  <c r="AQ12" i="110" s="1"/>
  <c r="L14" i="110"/>
  <c r="AQ14" i="110" s="1"/>
  <c r="L15" i="110"/>
  <c r="AQ15" i="110" s="1"/>
  <c r="L16" i="110"/>
  <c r="AQ16" i="110" s="1"/>
  <c r="M19" i="110"/>
  <c r="AL18" i="110"/>
  <c r="AL19" i="110"/>
  <c r="F12" i="65"/>
  <c r="B42" i="43"/>
  <c r="F27" i="43"/>
  <c r="F19" i="43"/>
  <c r="D43" i="112"/>
  <c r="D40" i="98" s="1"/>
  <c r="K28" i="38"/>
  <c r="K32" i="38"/>
  <c r="K44" i="38"/>
  <c r="E28" i="43"/>
  <c r="H8" i="104"/>
  <c r="H12" i="104"/>
  <c r="H16" i="104"/>
  <c r="H20" i="104"/>
  <c r="H24" i="104"/>
  <c r="H28" i="104"/>
  <c r="H32" i="104"/>
  <c r="H36" i="104"/>
  <c r="K36" i="38"/>
  <c r="K16" i="38"/>
  <c r="K20" i="38"/>
  <c r="K40" i="38"/>
  <c r="AS47" i="112"/>
  <c r="D50" i="112"/>
  <c r="C50" i="112" s="1"/>
  <c r="K12" i="38"/>
  <c r="K24" i="38"/>
  <c r="F18" i="65"/>
  <c r="G18" i="65" s="1"/>
  <c r="E29" i="43"/>
  <c r="F32" i="43"/>
  <c r="F38" i="43"/>
  <c r="F40" i="43"/>
  <c r="L17" i="77"/>
  <c r="CQ48" i="90"/>
  <c r="CQ40" i="90"/>
  <c r="CQ41" i="90"/>
  <c r="CQ42" i="90"/>
  <c r="CQ46" i="90"/>
  <c r="CQ47" i="90"/>
  <c r="CQ39" i="90"/>
  <c r="CQ44" i="90"/>
  <c r="CQ43" i="90"/>
  <c r="CQ45" i="90"/>
  <c r="L16" i="77"/>
  <c r="L18" i="77"/>
  <c r="E17" i="43"/>
  <c r="L15" i="77"/>
  <c r="L19" i="77"/>
  <c r="I8" i="104"/>
  <c r="I12" i="104"/>
  <c r="I16" i="104"/>
  <c r="I20" i="104"/>
  <c r="I24" i="104"/>
  <c r="I28" i="104"/>
  <c r="I32" i="104"/>
  <c r="I36" i="104"/>
  <c r="G38" i="104"/>
  <c r="G40" i="104"/>
  <c r="G42" i="104"/>
  <c r="N16" i="111"/>
  <c r="B5" i="111" s="1"/>
  <c r="C5" i="111" s="1"/>
  <c r="M12" i="110"/>
  <c r="M17" i="110"/>
  <c r="M13" i="110"/>
  <c r="M18" i="110"/>
  <c r="M14" i="110"/>
  <c r="M15" i="110"/>
  <c r="M16" i="110"/>
  <c r="U21" i="110"/>
  <c r="V21" i="110" s="1"/>
  <c r="A24" i="101"/>
  <c r="A28" i="101"/>
  <c r="A30" i="101"/>
  <c r="A26" i="101"/>
  <c r="A33" i="101"/>
  <c r="A23" i="101"/>
  <c r="A25" i="101"/>
  <c r="A27" i="101"/>
  <c r="A29" i="101"/>
  <c r="A32" i="101"/>
  <c r="M21" i="101"/>
  <c r="J34" i="66"/>
  <c r="E27" i="66"/>
  <c r="G27" i="66" s="1"/>
  <c r="H27" i="66" s="1"/>
  <c r="J31" i="66"/>
  <c r="M17" i="101"/>
  <c r="I35" i="66"/>
  <c r="J35" i="66" s="1"/>
  <c r="E25" i="66"/>
  <c r="M18" i="101"/>
  <c r="I30" i="66"/>
  <c r="J30" i="66" s="1"/>
  <c r="E28" i="66"/>
  <c r="G28" i="66" s="1"/>
  <c r="H28" i="66" s="1"/>
  <c r="I28" i="66"/>
  <c r="J28" i="66" s="1"/>
  <c r="I32" i="66"/>
  <c r="J32" i="66" s="1"/>
  <c r="E29" i="66"/>
  <c r="G29" i="66" s="1"/>
  <c r="I29" i="66"/>
  <c r="J29" i="66" s="1"/>
  <c r="M15" i="101"/>
  <c r="I33" i="66"/>
  <c r="J33" i="66" s="1"/>
  <c r="G15" i="77"/>
  <c r="J15" i="77" s="1"/>
  <c r="G19" i="77"/>
  <c r="J19" i="77" s="1"/>
  <c r="G18" i="77"/>
  <c r="G16" i="77"/>
  <c r="J16" i="77" s="1"/>
  <c r="X31" i="101" s="1"/>
  <c r="G17" i="77"/>
  <c r="J17" i="77" s="1"/>
  <c r="E60" i="97"/>
  <c r="E11" i="110"/>
  <c r="M11" i="110" s="1"/>
  <c r="BE10" i="90"/>
  <c r="E14" i="158" s="1"/>
  <c r="F14" i="158" s="1"/>
  <c r="G14" i="158" s="1"/>
  <c r="F16" i="65"/>
  <c r="G16" i="65" s="1"/>
  <c r="BK7" i="90"/>
  <c r="BL7" i="90" s="1"/>
  <c r="F13" i="65"/>
  <c r="W14" i="110"/>
  <c r="AD14" i="110" s="1"/>
  <c r="W13" i="110"/>
  <c r="AD13" i="110" s="1"/>
  <c r="F20" i="65"/>
  <c r="G20" i="65" s="1"/>
  <c r="F15" i="65"/>
  <c r="BM11" i="90"/>
  <c r="H15" i="75" s="1"/>
  <c r="R15" i="75" s="1"/>
  <c r="F14" i="65"/>
  <c r="E18" i="93"/>
  <c r="I18" i="93"/>
  <c r="M18" i="93"/>
  <c r="Q18" i="93"/>
  <c r="V18" i="93"/>
  <c r="Z18" i="93"/>
  <c r="AE18" i="93"/>
  <c r="AI18" i="93"/>
  <c r="AM18" i="93"/>
  <c r="AQ18" i="93"/>
  <c r="AV18" i="93"/>
  <c r="BA18" i="93"/>
  <c r="Z16" i="101"/>
  <c r="F19" i="65"/>
  <c r="G19" i="65" s="1"/>
  <c r="L11" i="110"/>
  <c r="AQ11" i="110" s="1"/>
  <c r="BM15" i="90"/>
  <c r="F21" i="65"/>
  <c r="U17" i="110"/>
  <c r="V17" i="110" s="1"/>
  <c r="F18" i="93"/>
  <c r="J18" i="93"/>
  <c r="N18" i="93"/>
  <c r="R18" i="93"/>
  <c r="W18" i="93"/>
  <c r="AB18" i="93"/>
  <c r="AF18" i="93"/>
  <c r="AJ18" i="93"/>
  <c r="AN18" i="93"/>
  <c r="AS18" i="93"/>
  <c r="AW18" i="93"/>
  <c r="E23" i="43"/>
  <c r="BE14" i="90"/>
  <c r="P929" i="94"/>
  <c r="G18" i="93"/>
  <c r="K18" i="93"/>
  <c r="O18" i="93"/>
  <c r="S18" i="93"/>
  <c r="X18" i="93"/>
  <c r="AC18" i="93"/>
  <c r="AG18" i="93"/>
  <c r="AK18" i="93"/>
  <c r="AO18" i="93"/>
  <c r="AT18" i="93"/>
  <c r="F31" i="43"/>
  <c r="F39" i="43"/>
  <c r="E24" i="68"/>
  <c r="F17" i="65"/>
  <c r="G17" i="65" s="1"/>
  <c r="BC10" i="93"/>
  <c r="BD10" i="93" s="1"/>
  <c r="BC12" i="93"/>
  <c r="BD12" i="93" s="1"/>
  <c r="H18" i="93"/>
  <c r="L18" i="93"/>
  <c r="P18" i="93"/>
  <c r="U18" i="93"/>
  <c r="Y18" i="93"/>
  <c r="AD18" i="93"/>
  <c r="AH18" i="93"/>
  <c r="AL18" i="93"/>
  <c r="AP18" i="93"/>
  <c r="AU18" i="93"/>
  <c r="BQ18" i="93"/>
  <c r="AK47" i="112"/>
  <c r="DN47" i="112"/>
  <c r="N10" i="38"/>
  <c r="N47" i="38" s="1"/>
  <c r="L10" i="38"/>
  <c r="K10" i="38"/>
  <c r="F8" i="43"/>
  <c r="E16" i="43"/>
  <c r="C43" i="104"/>
  <c r="E6" i="43"/>
  <c r="E14" i="43"/>
  <c r="F14" i="43"/>
  <c r="F26" i="43"/>
  <c r="F37" i="43"/>
  <c r="G11" i="104"/>
  <c r="G15" i="104"/>
  <c r="G19" i="104"/>
  <c r="G23" i="104"/>
  <c r="G27" i="104"/>
  <c r="E21" i="43"/>
  <c r="E25" i="43"/>
  <c r="E36" i="43"/>
  <c r="H38" i="104"/>
  <c r="H39" i="104"/>
  <c r="E20" i="43"/>
  <c r="E24" i="43"/>
  <c r="F25" i="43"/>
  <c r="I14" i="104"/>
  <c r="H15" i="104"/>
  <c r="I18" i="104"/>
  <c r="H19" i="104"/>
  <c r="I22" i="104"/>
  <c r="H23" i="104"/>
  <c r="I26" i="104"/>
  <c r="F11" i="43"/>
  <c r="F15" i="43"/>
  <c r="F43" i="104"/>
  <c r="G9" i="104"/>
  <c r="H10" i="104"/>
  <c r="G13" i="104"/>
  <c r="H14" i="104"/>
  <c r="G17" i="104"/>
  <c r="G21" i="104"/>
  <c r="H22" i="104"/>
  <c r="G25" i="104"/>
  <c r="H26" i="104"/>
  <c r="G29" i="104"/>
  <c r="H30" i="104"/>
  <c r="G33" i="104"/>
  <c r="H34" i="104"/>
  <c r="G37" i="104"/>
  <c r="I42" i="104"/>
  <c r="E26" i="43"/>
  <c r="E33" i="43"/>
  <c r="E37" i="43"/>
  <c r="E41" i="43"/>
  <c r="H9" i="104"/>
  <c r="H13" i="104"/>
  <c r="H17" i="104"/>
  <c r="H21" i="104"/>
  <c r="H25" i="104"/>
  <c r="H29" i="104"/>
  <c r="H33" i="104"/>
  <c r="H37" i="104"/>
  <c r="H42" i="104"/>
  <c r="F7" i="43"/>
  <c r="E8" i="43"/>
  <c r="E12" i="43"/>
  <c r="F13" i="43"/>
  <c r="E18" i="43"/>
  <c r="F28" i="43"/>
  <c r="I10" i="104"/>
  <c r="H11" i="104"/>
  <c r="H27" i="104"/>
  <c r="I30" i="104"/>
  <c r="H31" i="104"/>
  <c r="I34" i="104"/>
  <c r="H35" i="104"/>
  <c r="I38" i="104"/>
  <c r="H40" i="104"/>
  <c r="H41" i="104"/>
  <c r="E11" i="43"/>
  <c r="F17" i="43"/>
  <c r="F18" i="43"/>
  <c r="F20" i="43"/>
  <c r="E40" i="43"/>
  <c r="H18" i="104"/>
  <c r="W12" i="110"/>
  <c r="AD12" i="110" s="1"/>
  <c r="W16" i="110"/>
  <c r="AD16" i="110" s="1"/>
  <c r="BF19" i="90"/>
  <c r="BM17" i="90"/>
  <c r="H22" i="75" s="1"/>
  <c r="R22" i="75" s="1"/>
  <c r="BW38" i="112"/>
  <c r="K14" i="38"/>
  <c r="K18" i="38"/>
  <c r="K22" i="38"/>
  <c r="K26" i="38"/>
  <c r="K30" i="38"/>
  <c r="K34" i="38"/>
  <c r="K38" i="38"/>
  <c r="K42" i="38"/>
  <c r="F24" i="68"/>
  <c r="AD15" i="110"/>
  <c r="O47" i="38"/>
  <c r="E9" i="43"/>
  <c r="E13" i="43"/>
  <c r="E32" i="43"/>
  <c r="E38" i="43"/>
  <c r="G31" i="104"/>
  <c r="G35" i="104"/>
  <c r="I40" i="104"/>
  <c r="B9" i="115"/>
  <c r="B18" i="115" s="1"/>
  <c r="D24" i="68"/>
  <c r="F23" i="79"/>
  <c r="I14" i="82"/>
  <c r="U12" i="110"/>
  <c r="V12" i="110" s="1"/>
  <c r="U15" i="110"/>
  <c r="V15" i="110" s="1"/>
  <c r="W20" i="110"/>
  <c r="AD20" i="110" s="1"/>
  <c r="W21" i="110"/>
  <c r="AD21" i="110" s="1"/>
  <c r="BM14" i="90"/>
  <c r="H18" i="75" s="1"/>
  <c r="R18" i="75" s="1"/>
  <c r="BG19" i="90"/>
  <c r="AR10" i="93"/>
  <c r="F37" i="66"/>
  <c r="U13" i="110"/>
  <c r="V13" i="110" s="1"/>
  <c r="AL13" i="110"/>
  <c r="U14" i="110"/>
  <c r="V14" i="110" s="1"/>
  <c r="AL16" i="110"/>
  <c r="W17" i="110"/>
  <c r="AD17" i="110" s="1"/>
  <c r="U18" i="110"/>
  <c r="V18" i="110" s="1"/>
  <c r="Z12" i="101"/>
  <c r="Z21" i="101"/>
  <c r="I23" i="73"/>
  <c r="AA8" i="93"/>
  <c r="AC19" i="90"/>
  <c r="AR9" i="93"/>
  <c r="AR17" i="93"/>
  <c r="AR16" i="93"/>
  <c r="Q47" i="112"/>
  <c r="DA47" i="112"/>
  <c r="D41" i="112"/>
  <c r="C41" i="112" s="1"/>
  <c r="D45" i="112"/>
  <c r="D42" i="98" s="1"/>
  <c r="L12" i="38"/>
  <c r="L14" i="38"/>
  <c r="L16" i="38"/>
  <c r="L18" i="38"/>
  <c r="L20" i="38"/>
  <c r="L22" i="38"/>
  <c r="L24" i="38"/>
  <c r="L26" i="38"/>
  <c r="L28" i="38"/>
  <c r="L30" i="38"/>
  <c r="L32" i="38"/>
  <c r="L34" i="38"/>
  <c r="L36" i="38"/>
  <c r="L38" i="38"/>
  <c r="L40" i="38"/>
  <c r="L42" i="38"/>
  <c r="L44" i="38"/>
  <c r="E47" i="38"/>
  <c r="L49" i="38" s="1"/>
  <c r="G39" i="104"/>
  <c r="G41" i="104"/>
  <c r="BC8" i="93"/>
  <c r="BW37" i="112"/>
  <c r="D40" i="112"/>
  <c r="D37" i="98" s="1"/>
  <c r="D44" i="112"/>
  <c r="D41" i="98" s="1"/>
  <c r="J43" i="98"/>
  <c r="E22" i="43"/>
  <c r="E34" i="43"/>
  <c r="BF8" i="93"/>
  <c r="BG8" i="93" s="1"/>
  <c r="BF10" i="93"/>
  <c r="BG10" i="93" s="1"/>
  <c r="BF12" i="93"/>
  <c r="BG12" i="93" s="1"/>
  <c r="E7" i="43"/>
  <c r="F9" i="43"/>
  <c r="F10" i="43"/>
  <c r="F16" i="43"/>
  <c r="F21" i="43"/>
  <c r="F22" i="43"/>
  <c r="F24" i="43"/>
  <c r="E27" i="43"/>
  <c r="E30" i="43"/>
  <c r="F33" i="43"/>
  <c r="F34" i="43"/>
  <c r="F36" i="43"/>
  <c r="E39" i="43"/>
  <c r="F41" i="43"/>
  <c r="E7" i="104"/>
  <c r="H7" i="104" s="1"/>
  <c r="U9" i="111"/>
  <c r="Y9" i="111" s="1"/>
  <c r="B8" i="111" s="1"/>
  <c r="C8" i="111" s="1"/>
  <c r="BI19" i="90"/>
  <c r="BN17" i="90"/>
  <c r="I22" i="75" s="1"/>
  <c r="T22" i="75" s="1"/>
  <c r="BN10" i="90"/>
  <c r="I14" i="75" s="1"/>
  <c r="T14" i="75" s="1"/>
  <c r="BD9" i="93"/>
  <c r="CS47" i="112"/>
  <c r="D38" i="112"/>
  <c r="D35" i="98" s="1"/>
  <c r="M35" i="98" s="1"/>
  <c r="N35" i="98" s="1"/>
  <c r="D42" i="112"/>
  <c r="C42" i="112" s="1"/>
  <c r="D49" i="112"/>
  <c r="C49" i="112" s="1"/>
  <c r="BW50" i="112"/>
  <c r="F12" i="43"/>
  <c r="F23" i="43"/>
  <c r="F29" i="43"/>
  <c r="F30" i="43"/>
  <c r="F35" i="43"/>
  <c r="G8" i="104"/>
  <c r="G10" i="104"/>
  <c r="G12" i="104"/>
  <c r="G14" i="104"/>
  <c r="G16" i="104"/>
  <c r="G18" i="104"/>
  <c r="G20" i="104"/>
  <c r="G22" i="104"/>
  <c r="G24" i="104"/>
  <c r="G26" i="104"/>
  <c r="G28" i="104"/>
  <c r="G30" i="104"/>
  <c r="G32" i="104"/>
  <c r="G34" i="104"/>
  <c r="G36" i="104"/>
  <c r="C11" i="93"/>
  <c r="C16" i="93"/>
  <c r="C17" i="93"/>
  <c r="BB18" i="93"/>
  <c r="BS18" i="93"/>
  <c r="BE18" i="93"/>
  <c r="C13" i="93"/>
  <c r="K24" i="68"/>
  <c r="B26" i="115"/>
  <c r="B30" i="115" s="1"/>
  <c r="J15" i="68"/>
  <c r="J17" i="68"/>
  <c r="G24" i="68"/>
  <c r="Z17" i="101"/>
  <c r="Z13" i="101"/>
  <c r="B55" i="115"/>
  <c r="Z11" i="101"/>
  <c r="Z14" i="101"/>
  <c r="Z15" i="101"/>
  <c r="Z18" i="101"/>
  <c r="Z20" i="101"/>
  <c r="J14" i="68"/>
  <c r="J16" i="68"/>
  <c r="J18" i="68"/>
  <c r="E23" i="70"/>
  <c r="J19" i="68"/>
  <c r="J20" i="68"/>
  <c r="J21" i="68"/>
  <c r="J22" i="68"/>
  <c r="U16" i="101"/>
  <c r="BE15" i="90"/>
  <c r="F12" i="122"/>
  <c r="BH19" i="90"/>
  <c r="BM10" i="90"/>
  <c r="H14" i="75" s="1"/>
  <c r="R14" i="75" s="1"/>
  <c r="AL21" i="110"/>
  <c r="AL17" i="110"/>
  <c r="AL11" i="110"/>
  <c r="U16" i="110"/>
  <c r="V16" i="110" s="1"/>
  <c r="AR7" i="93"/>
  <c r="AL12" i="110"/>
  <c r="AL20" i="110"/>
  <c r="BM16" i="90"/>
  <c r="BE16" i="90"/>
  <c r="AL14" i="110"/>
  <c r="AL15" i="110"/>
  <c r="W18" i="110"/>
  <c r="AD18" i="110" s="1"/>
  <c r="BE11" i="90"/>
  <c r="E15" i="158" s="1"/>
  <c r="F15" i="158" s="1"/>
  <c r="G15" i="158" s="1"/>
  <c r="BD19" i="90"/>
  <c r="BM8" i="90"/>
  <c r="H12" i="75" s="1"/>
  <c r="R12" i="75" s="1"/>
  <c r="BE8" i="90"/>
  <c r="E12" i="158" s="1"/>
  <c r="BE17" i="90"/>
  <c r="E22" i="158" s="1"/>
  <c r="F22" i="158" s="1"/>
  <c r="G22" i="158" s="1"/>
  <c r="BN14" i="90"/>
  <c r="I18" i="75" s="1"/>
  <c r="T18" i="75" s="1"/>
  <c r="BM9" i="90"/>
  <c r="H13" i="75" s="1"/>
  <c r="R13" i="75" s="1"/>
  <c r="BE9" i="90"/>
  <c r="E13" i="158" s="1"/>
  <c r="F13" i="158" s="1"/>
  <c r="G13" i="158" s="1"/>
  <c r="BC19" i="90"/>
  <c r="BN11" i="90"/>
  <c r="I15" i="75" s="1"/>
  <c r="T15" i="75" s="1"/>
  <c r="BM7" i="90"/>
  <c r="H11" i="75" s="1"/>
  <c r="E11" i="82"/>
  <c r="AR11" i="93"/>
  <c r="C7" i="93"/>
  <c r="BM13" i="90"/>
  <c r="H17" i="75" s="1"/>
  <c r="R17" i="75" s="1"/>
  <c r="BE13" i="90"/>
  <c r="E17" i="158" s="1"/>
  <c r="F17" i="158" s="1"/>
  <c r="G17" i="158" s="1"/>
  <c r="CI47" i="112"/>
  <c r="CG10" i="112"/>
  <c r="BW10" i="112" s="1"/>
  <c r="H39" i="98"/>
  <c r="BW42" i="112"/>
  <c r="CK47" i="112"/>
  <c r="E47" i="112"/>
  <c r="D10" i="112"/>
  <c r="BN47" i="112"/>
  <c r="D11" i="112"/>
  <c r="D12" i="112"/>
  <c r="D13" i="112"/>
  <c r="D14" i="112"/>
  <c r="D15" i="112"/>
  <c r="D16" i="112"/>
  <c r="D17" i="112"/>
  <c r="D18" i="112"/>
  <c r="D19" i="112"/>
  <c r="D20" i="112"/>
  <c r="D21" i="112"/>
  <c r="D22" i="112"/>
  <c r="D23" i="112"/>
  <c r="D24" i="112"/>
  <c r="D25" i="112"/>
  <c r="D26" i="112"/>
  <c r="D27" i="112"/>
  <c r="D28" i="112"/>
  <c r="D29" i="112"/>
  <c r="D30" i="112"/>
  <c r="D31" i="112"/>
  <c r="D32" i="112"/>
  <c r="D33" i="112"/>
  <c r="D34" i="112"/>
  <c r="D35" i="112"/>
  <c r="D36" i="112"/>
  <c r="D37" i="112"/>
  <c r="E10" i="43"/>
  <c r="C42" i="43"/>
  <c r="BX47" i="112"/>
  <c r="BW11" i="112"/>
  <c r="BW12" i="112"/>
  <c r="BW13" i="112"/>
  <c r="BW14" i="112"/>
  <c r="BW15" i="112"/>
  <c r="BW16" i="112"/>
  <c r="BW17" i="112"/>
  <c r="BW18" i="112"/>
  <c r="BW19" i="112"/>
  <c r="BW20" i="112"/>
  <c r="BW21" i="112"/>
  <c r="BW22" i="112"/>
  <c r="BW23" i="112"/>
  <c r="BW24" i="112"/>
  <c r="BW25" i="112"/>
  <c r="BW26" i="112"/>
  <c r="BW27" i="112"/>
  <c r="BW28" i="112"/>
  <c r="BW29" i="112"/>
  <c r="BW30" i="112"/>
  <c r="BW31" i="112"/>
  <c r="BW32" i="112"/>
  <c r="BW33" i="112"/>
  <c r="BW34" i="112"/>
  <c r="BW35" i="112"/>
  <c r="BW36" i="112"/>
  <c r="H36" i="98"/>
  <c r="BW39" i="112"/>
  <c r="H40" i="98"/>
  <c r="BW43" i="112"/>
  <c r="BW49" i="112"/>
  <c r="F43" i="98"/>
  <c r="D39" i="112"/>
  <c r="H38" i="98"/>
  <c r="BW41" i="112"/>
  <c r="H42" i="98"/>
  <c r="BW45" i="112"/>
  <c r="J47" i="38"/>
  <c r="I43" i="98"/>
  <c r="H37" i="98"/>
  <c r="BW40" i="112"/>
  <c r="H41" i="98"/>
  <c r="BW44" i="112"/>
  <c r="L11" i="38"/>
  <c r="K11" i="38"/>
  <c r="L13" i="38"/>
  <c r="K13" i="38"/>
  <c r="L15" i="38"/>
  <c r="K15" i="38"/>
  <c r="L17" i="38"/>
  <c r="K17" i="38"/>
  <c r="L19" i="38"/>
  <c r="K19" i="38"/>
  <c r="L21" i="38"/>
  <c r="K21" i="38"/>
  <c r="L23" i="38"/>
  <c r="K23" i="38"/>
  <c r="L25" i="38"/>
  <c r="K25" i="38"/>
  <c r="L27" i="38"/>
  <c r="K27" i="38"/>
  <c r="L29" i="38"/>
  <c r="K29" i="38"/>
  <c r="L31" i="38"/>
  <c r="K31" i="38"/>
  <c r="L33" i="38"/>
  <c r="K33" i="38"/>
  <c r="L35" i="38"/>
  <c r="K35" i="38"/>
  <c r="L37" i="38"/>
  <c r="K37" i="38"/>
  <c r="L39" i="38"/>
  <c r="K39" i="38"/>
  <c r="L41" i="38"/>
  <c r="K41" i="38"/>
  <c r="L43" i="38"/>
  <c r="K43" i="38"/>
  <c r="L45" i="38"/>
  <c r="K45" i="38"/>
  <c r="E43" i="98"/>
  <c r="E19" i="43"/>
  <c r="E35" i="43"/>
  <c r="C43" i="98"/>
  <c r="G43" i="98"/>
  <c r="K43" i="98"/>
  <c r="D42" i="43"/>
  <c r="E15" i="43"/>
  <c r="E31" i="43"/>
  <c r="L43" i="98"/>
  <c r="F6" i="43"/>
  <c r="I9" i="104"/>
  <c r="I11" i="104"/>
  <c r="I13" i="104"/>
  <c r="I15" i="104"/>
  <c r="I17" i="104"/>
  <c r="I19" i="104"/>
  <c r="I21" i="104"/>
  <c r="I23" i="104"/>
  <c r="I25" i="104"/>
  <c r="I27" i="104"/>
  <c r="I29" i="104"/>
  <c r="I31" i="104"/>
  <c r="I33" i="104"/>
  <c r="I35" i="104"/>
  <c r="I37" i="104"/>
  <c r="I39" i="104"/>
  <c r="I41" i="104"/>
  <c r="B43" i="104"/>
  <c r="D7" i="104"/>
  <c r="J27" i="66" l="1"/>
  <c r="U19" i="101"/>
  <c r="J16" i="74"/>
  <c r="R19" i="101"/>
  <c r="J16" i="71"/>
  <c r="N22" i="71"/>
  <c r="J22" i="71"/>
  <c r="N21" i="71"/>
  <c r="J21" i="71"/>
  <c r="N20" i="71"/>
  <c r="J20" i="71"/>
  <c r="L12" i="101"/>
  <c r="G13" i="65"/>
  <c r="L17" i="101"/>
  <c r="G21" i="65"/>
  <c r="L20" i="101"/>
  <c r="G14" i="65"/>
  <c r="L14" i="101"/>
  <c r="G11" i="65"/>
  <c r="L13" i="101"/>
  <c r="G15" i="65"/>
  <c r="L16" i="101"/>
  <c r="G12" i="65"/>
  <c r="E21" i="158"/>
  <c r="F21" i="158" s="1"/>
  <c r="G21" i="158" s="1"/>
  <c r="H21" i="75"/>
  <c r="R21" i="75" s="1"/>
  <c r="H20" i="75"/>
  <c r="R20" i="75" s="1"/>
  <c r="H19" i="75"/>
  <c r="E20" i="158"/>
  <c r="F20" i="158" s="1"/>
  <c r="G20" i="158" s="1"/>
  <c r="E19" i="158"/>
  <c r="F19" i="158" s="1"/>
  <c r="G19" i="158" s="1"/>
  <c r="E19" i="82"/>
  <c r="F19" i="82" s="1"/>
  <c r="E19" i="61"/>
  <c r="F19" i="61" s="1"/>
  <c r="G19" i="61" s="1"/>
  <c r="E19" i="64"/>
  <c r="F38" i="69"/>
  <c r="E19" i="58"/>
  <c r="E19" i="60"/>
  <c r="E20" i="140"/>
  <c r="F20" i="140" s="1"/>
  <c r="E20" i="141"/>
  <c r="F20" i="141" s="1"/>
  <c r="F19" i="56"/>
  <c r="E19" i="72"/>
  <c r="F19" i="72" s="1"/>
  <c r="E19" i="59"/>
  <c r="F19" i="77"/>
  <c r="H19" i="73"/>
  <c r="J19" i="73" s="1"/>
  <c r="K19" i="73" s="1"/>
  <c r="E19" i="78"/>
  <c r="K19" i="78" s="1"/>
  <c r="F19" i="55"/>
  <c r="E19" i="57"/>
  <c r="E19" i="54"/>
  <c r="G15" i="81"/>
  <c r="I15" i="60" s="1"/>
  <c r="G14" i="81"/>
  <c r="I14" i="60" s="1"/>
  <c r="J33" i="69" s="1"/>
  <c r="G11" i="81"/>
  <c r="I11" i="60" s="1"/>
  <c r="G13" i="81"/>
  <c r="I13" i="60" s="1"/>
  <c r="N60" i="97"/>
  <c r="AH22" i="101"/>
  <c r="G53" i="96" s="1"/>
  <c r="BO14" i="90"/>
  <c r="G18" i="56" s="1"/>
  <c r="E18" i="158"/>
  <c r="F18" i="158" s="1"/>
  <c r="G18" i="158" s="1"/>
  <c r="F12" i="158"/>
  <c r="G12" i="158" s="1"/>
  <c r="U11" i="110"/>
  <c r="V11" i="110" s="1"/>
  <c r="X11" i="110" s="1"/>
  <c r="AE11" i="110" s="1"/>
  <c r="N39" i="124"/>
  <c r="N41" i="124"/>
  <c r="N40" i="124"/>
  <c r="N38" i="124"/>
  <c r="E23" i="74"/>
  <c r="R11" i="75"/>
  <c r="K13" i="75"/>
  <c r="J13" i="75"/>
  <c r="L18" i="75"/>
  <c r="M18" i="75"/>
  <c r="M22" i="75"/>
  <c r="L22" i="75"/>
  <c r="J15" i="75"/>
  <c r="K15" i="75"/>
  <c r="K20" i="75"/>
  <c r="K22" i="75"/>
  <c r="J22" i="75"/>
  <c r="M14" i="75"/>
  <c r="L14" i="75"/>
  <c r="J12" i="75"/>
  <c r="K12" i="75"/>
  <c r="K21" i="75"/>
  <c r="K14" i="75"/>
  <c r="J14" i="75"/>
  <c r="M15" i="75"/>
  <c r="L15" i="75"/>
  <c r="K11" i="75"/>
  <c r="J11" i="75"/>
  <c r="J17" i="75"/>
  <c r="K17" i="75"/>
  <c r="J18" i="75"/>
  <c r="K18" i="75"/>
  <c r="I13" i="74"/>
  <c r="I11" i="74"/>
  <c r="F23" i="80"/>
  <c r="G23" i="80"/>
  <c r="I14" i="74"/>
  <c r="H23" i="74"/>
  <c r="G23" i="74"/>
  <c r="I15" i="74"/>
  <c r="J15" i="74" s="1"/>
  <c r="F23" i="74"/>
  <c r="O27" i="99"/>
  <c r="G11" i="77"/>
  <c r="J11" i="77" s="1"/>
  <c r="O39" i="99"/>
  <c r="H23" i="56"/>
  <c r="O34" i="99"/>
  <c r="G23" i="71"/>
  <c r="O37" i="99"/>
  <c r="O30" i="99"/>
  <c r="O32" i="99"/>
  <c r="O38" i="99"/>
  <c r="O36" i="99"/>
  <c r="O24" i="99"/>
  <c r="O26" i="99"/>
  <c r="O33" i="99"/>
  <c r="O29" i="99"/>
  <c r="O28" i="99"/>
  <c r="I13" i="71"/>
  <c r="O25" i="99"/>
  <c r="O35" i="99"/>
  <c r="O12" i="99"/>
  <c r="O31" i="99"/>
  <c r="O41" i="99"/>
  <c r="O40" i="99"/>
  <c r="I23" i="81"/>
  <c r="C21" i="114" s="1"/>
  <c r="L16" i="97"/>
  <c r="M16" i="97" s="1"/>
  <c r="E21" i="76"/>
  <c r="E22" i="78"/>
  <c r="K22" i="78" s="1"/>
  <c r="F22" i="77"/>
  <c r="Q18" i="75"/>
  <c r="Q15" i="75"/>
  <c r="J37" i="66"/>
  <c r="Q11" i="75"/>
  <c r="E17" i="76"/>
  <c r="F17" i="77"/>
  <c r="E17" i="78"/>
  <c r="K17" i="78" s="1"/>
  <c r="E13" i="76"/>
  <c r="F13" i="77"/>
  <c r="E12" i="76"/>
  <c r="F12" i="77"/>
  <c r="E12" i="78"/>
  <c r="K12" i="78" s="1"/>
  <c r="E15" i="64"/>
  <c r="I15" i="64" s="1"/>
  <c r="E15" i="76"/>
  <c r="F15" i="77"/>
  <c r="E20" i="76"/>
  <c r="F21" i="77"/>
  <c r="E21" i="78"/>
  <c r="K21" i="78" s="1"/>
  <c r="E19" i="76"/>
  <c r="F20" i="77"/>
  <c r="E20" i="78"/>
  <c r="K20" i="78" s="1"/>
  <c r="Q22" i="75"/>
  <c r="F14" i="56"/>
  <c r="E14" i="76"/>
  <c r="F14" i="77"/>
  <c r="E15" i="78"/>
  <c r="K15" i="78" s="1"/>
  <c r="Q17" i="75"/>
  <c r="Q13" i="75"/>
  <c r="Q12" i="75"/>
  <c r="Q21" i="75"/>
  <c r="Q14" i="75"/>
  <c r="S14" i="75"/>
  <c r="K15" i="71"/>
  <c r="R25" i="101" s="1"/>
  <c r="K14" i="71"/>
  <c r="R32" i="101" s="1"/>
  <c r="E14" i="78"/>
  <c r="K14" i="78" s="1"/>
  <c r="S15" i="75"/>
  <c r="S18" i="75"/>
  <c r="S22" i="75"/>
  <c r="E18" i="76"/>
  <c r="E18" i="78"/>
  <c r="K18" i="78" s="1"/>
  <c r="F18" i="77"/>
  <c r="Q20" i="75"/>
  <c r="E13" i="78"/>
  <c r="K13" i="78" s="1"/>
  <c r="O20" i="99"/>
  <c r="O15" i="99"/>
  <c r="O14" i="99"/>
  <c r="N23" i="124"/>
  <c r="N17" i="124"/>
  <c r="N34" i="124"/>
  <c r="N25" i="124"/>
  <c r="N12" i="124"/>
  <c r="O21" i="99"/>
  <c r="N27" i="124"/>
  <c r="N36" i="124"/>
  <c r="N22" i="124"/>
  <c r="N35" i="124"/>
  <c r="N21" i="124"/>
  <c r="O23" i="99"/>
  <c r="O22" i="99"/>
  <c r="N30" i="124"/>
  <c r="N20" i="124"/>
  <c r="N26" i="124"/>
  <c r="N33" i="124"/>
  <c r="N18" i="124"/>
  <c r="N32" i="124"/>
  <c r="O19" i="99"/>
  <c r="N37" i="124"/>
  <c r="N31" i="124"/>
  <c r="N24" i="124"/>
  <c r="N16" i="124"/>
  <c r="N13" i="124"/>
  <c r="N19" i="124"/>
  <c r="N29" i="124"/>
  <c r="N15" i="124"/>
  <c r="N28" i="124"/>
  <c r="N14" i="124"/>
  <c r="K17" i="80"/>
  <c r="K20" i="80"/>
  <c r="K14" i="80"/>
  <c r="K13" i="80"/>
  <c r="AB12" i="101" s="1"/>
  <c r="K15" i="80"/>
  <c r="K11" i="80"/>
  <c r="K19" i="80"/>
  <c r="K18" i="80"/>
  <c r="K16" i="80"/>
  <c r="AB19" i="101" s="1"/>
  <c r="K22" i="80"/>
  <c r="AQ22" i="110"/>
  <c r="J38" i="69"/>
  <c r="K38" i="69" s="1"/>
  <c r="E14" i="82"/>
  <c r="F14" i="82" s="1"/>
  <c r="H23" i="71"/>
  <c r="E14" i="54"/>
  <c r="E14" i="59"/>
  <c r="I15" i="71"/>
  <c r="J15" i="71" s="1"/>
  <c r="K11" i="71"/>
  <c r="R26" i="101" s="1"/>
  <c r="E14" i="140"/>
  <c r="F14" i="140" s="1"/>
  <c r="AF24" i="101" s="1"/>
  <c r="E14" i="141"/>
  <c r="F14" i="141" s="1"/>
  <c r="AG24" i="101" s="1"/>
  <c r="E13" i="141"/>
  <c r="F13" i="141" s="1"/>
  <c r="E13" i="140"/>
  <c r="F13" i="140" s="1"/>
  <c r="E12" i="82"/>
  <c r="F12" i="82" s="1"/>
  <c r="E12" i="54"/>
  <c r="E12" i="58"/>
  <c r="H12" i="58" s="1"/>
  <c r="E12" i="72"/>
  <c r="H12" i="73"/>
  <c r="J12" i="73" s="1"/>
  <c r="K12" i="73" s="1"/>
  <c r="E12" i="61"/>
  <c r="F12" i="61" s="1"/>
  <c r="E12" i="64"/>
  <c r="F31" i="69"/>
  <c r="F12" i="55"/>
  <c r="E12" i="60"/>
  <c r="E12" i="57"/>
  <c r="E12" i="59"/>
  <c r="I12" i="60"/>
  <c r="J12" i="60" s="1"/>
  <c r="I28" i="101" s="1"/>
  <c r="F12" i="56"/>
  <c r="E11" i="60"/>
  <c r="H11" i="73"/>
  <c r="J11" i="73" s="1"/>
  <c r="K11" i="73" s="1"/>
  <c r="E11" i="72"/>
  <c r="I11" i="72" s="1"/>
  <c r="E15" i="59"/>
  <c r="E11" i="57"/>
  <c r="F21" i="56"/>
  <c r="E21" i="57"/>
  <c r="E21" i="60"/>
  <c r="E21" i="61"/>
  <c r="F21" i="61" s="1"/>
  <c r="G21" i="61" s="1"/>
  <c r="I21" i="60"/>
  <c r="H21" i="73"/>
  <c r="J21" i="73" s="1"/>
  <c r="K21" i="73" s="1"/>
  <c r="E21" i="59"/>
  <c r="E21" i="64"/>
  <c r="E22" i="141"/>
  <c r="F22" i="141" s="1"/>
  <c r="E21" i="82"/>
  <c r="F21" i="82" s="1"/>
  <c r="F40" i="69"/>
  <c r="E22" i="140"/>
  <c r="F22" i="140" s="1"/>
  <c r="E21" i="54"/>
  <c r="E21" i="72"/>
  <c r="F21" i="72" s="1"/>
  <c r="F21" i="55"/>
  <c r="E21" i="58"/>
  <c r="H21" i="58" s="1"/>
  <c r="E15" i="141"/>
  <c r="F15" i="141" s="1"/>
  <c r="E15" i="140"/>
  <c r="F15" i="140" s="1"/>
  <c r="K13" i="71"/>
  <c r="R24" i="101" s="1"/>
  <c r="H15" i="73"/>
  <c r="J15" i="73" s="1"/>
  <c r="K15" i="73" s="1"/>
  <c r="E15" i="61"/>
  <c r="F15" i="61" s="1"/>
  <c r="E15" i="58"/>
  <c r="H15" i="58" s="1"/>
  <c r="F15" i="55"/>
  <c r="E11" i="54"/>
  <c r="F33" i="69"/>
  <c r="F30" i="69"/>
  <c r="E11" i="64"/>
  <c r="G11" i="64" s="1"/>
  <c r="H11" i="64" s="1"/>
  <c r="E13" i="59"/>
  <c r="H13" i="59" s="1"/>
  <c r="F14" i="55"/>
  <c r="E13" i="82"/>
  <c r="F13" i="82" s="1"/>
  <c r="E15" i="72"/>
  <c r="E11" i="59"/>
  <c r="F11" i="56"/>
  <c r="F17" i="55"/>
  <c r="I17" i="60"/>
  <c r="J17" i="60" s="1"/>
  <c r="I30" i="101" s="1"/>
  <c r="E17" i="54"/>
  <c r="H17" i="54" s="1"/>
  <c r="E17" i="57"/>
  <c r="E17" i="60"/>
  <c r="E17" i="61"/>
  <c r="F17" i="61" s="1"/>
  <c r="G17" i="61" s="1"/>
  <c r="E17" i="82"/>
  <c r="F17" i="82" s="1"/>
  <c r="E17" i="64"/>
  <c r="H17" i="73"/>
  <c r="J17" i="73" s="1"/>
  <c r="K17" i="73" s="1"/>
  <c r="E18" i="140"/>
  <c r="F18" i="140" s="1"/>
  <c r="F17" i="56"/>
  <c r="F36" i="69"/>
  <c r="E17" i="72"/>
  <c r="E17" i="58"/>
  <c r="H17" i="58" s="1"/>
  <c r="E17" i="59"/>
  <c r="E18" i="141"/>
  <c r="F18" i="141" s="1"/>
  <c r="E20" i="82"/>
  <c r="F20" i="82" s="1"/>
  <c r="E20" i="72"/>
  <c r="F20" i="72" s="1"/>
  <c r="E20" i="58"/>
  <c r="H20" i="58" s="1"/>
  <c r="F39" i="69"/>
  <c r="E20" i="60"/>
  <c r="F20" i="60" s="1"/>
  <c r="E20" i="61"/>
  <c r="E20" i="54"/>
  <c r="E20" i="59"/>
  <c r="F20" i="56"/>
  <c r="H20" i="73"/>
  <c r="J20" i="73" s="1"/>
  <c r="K20" i="73" s="1"/>
  <c r="E21" i="140"/>
  <c r="F21" i="140" s="1"/>
  <c r="I20" i="60"/>
  <c r="E20" i="57"/>
  <c r="F20" i="55"/>
  <c r="E21" i="141"/>
  <c r="F21" i="141" s="1"/>
  <c r="E20" i="64"/>
  <c r="G25" i="66"/>
  <c r="I14" i="71"/>
  <c r="J14" i="71" s="1"/>
  <c r="I11" i="71"/>
  <c r="J11" i="71" s="1"/>
  <c r="K11" i="122"/>
  <c r="K12" i="122" s="1"/>
  <c r="E14" i="64"/>
  <c r="I14" i="64" s="1"/>
  <c r="E11" i="61"/>
  <c r="F11" i="61" s="1"/>
  <c r="E11" i="58"/>
  <c r="H14" i="73"/>
  <c r="J14" i="73" s="1"/>
  <c r="K14" i="73" s="1"/>
  <c r="E14" i="61"/>
  <c r="F14" i="61" s="1"/>
  <c r="E13" i="58"/>
  <c r="H13" i="58" s="1"/>
  <c r="E13" i="54"/>
  <c r="E14" i="72"/>
  <c r="F23" i="71"/>
  <c r="E13" i="61"/>
  <c r="E14" i="58"/>
  <c r="H14" i="58" s="1"/>
  <c r="F13" i="55"/>
  <c r="E12" i="140"/>
  <c r="F12" i="140" s="1"/>
  <c r="E12" i="141"/>
  <c r="E16" i="141"/>
  <c r="F16" i="141" s="1"/>
  <c r="E16" i="140"/>
  <c r="F16" i="140" s="1"/>
  <c r="F22" i="55"/>
  <c r="I22" i="60"/>
  <c r="J41" i="69" s="1"/>
  <c r="F22" i="56"/>
  <c r="E23" i="141"/>
  <c r="F23" i="141" s="1"/>
  <c r="F41" i="69"/>
  <c r="E23" i="140"/>
  <c r="F23" i="140" s="1"/>
  <c r="E22" i="72"/>
  <c r="F22" i="72" s="1"/>
  <c r="E22" i="54"/>
  <c r="E22" i="58"/>
  <c r="E22" i="59"/>
  <c r="E22" i="61"/>
  <c r="E22" i="60"/>
  <c r="F22" i="60" s="1"/>
  <c r="E22" i="64"/>
  <c r="E22" i="82"/>
  <c r="F22" i="82" s="1"/>
  <c r="E22" i="57"/>
  <c r="H22" i="73"/>
  <c r="J22" i="73" s="1"/>
  <c r="K22" i="73" s="1"/>
  <c r="F11" i="82"/>
  <c r="F16" i="82"/>
  <c r="E18" i="59"/>
  <c r="H18" i="73"/>
  <c r="J18" i="73" s="1"/>
  <c r="K18" i="73" s="1"/>
  <c r="E19" i="141"/>
  <c r="F19" i="141" s="1"/>
  <c r="E18" i="82"/>
  <c r="F18" i="82" s="1"/>
  <c r="F37" i="69"/>
  <c r="F18" i="56"/>
  <c r="F18" i="55"/>
  <c r="E18" i="57"/>
  <c r="E18" i="64"/>
  <c r="E19" i="140"/>
  <c r="F19" i="140" s="1"/>
  <c r="I18" i="60"/>
  <c r="J18" i="60" s="1"/>
  <c r="E18" i="72"/>
  <c r="F18" i="72" s="1"/>
  <c r="E18" i="58"/>
  <c r="H18" i="58" s="1"/>
  <c r="E18" i="54"/>
  <c r="E18" i="60"/>
  <c r="E18" i="61"/>
  <c r="F18" i="61" s="1"/>
  <c r="G18" i="61" s="1"/>
  <c r="E23" i="71"/>
  <c r="F15" i="56"/>
  <c r="E13" i="64"/>
  <c r="I13" i="64" s="1"/>
  <c r="E13" i="60"/>
  <c r="F13" i="60" s="1"/>
  <c r="E13" i="57"/>
  <c r="H13" i="57" s="1"/>
  <c r="F11" i="55"/>
  <c r="F34" i="69"/>
  <c r="F32" i="69"/>
  <c r="E15" i="60"/>
  <c r="E14" i="57"/>
  <c r="E15" i="82"/>
  <c r="F15" i="82" s="1"/>
  <c r="H13" i="73"/>
  <c r="J13" i="73" s="1"/>
  <c r="K13" i="73" s="1"/>
  <c r="E13" i="72"/>
  <c r="F13" i="56"/>
  <c r="E14" i="60"/>
  <c r="E15" i="57"/>
  <c r="E15" i="54"/>
  <c r="X19" i="101"/>
  <c r="J35" i="69"/>
  <c r="L13" i="68"/>
  <c r="L27" i="66"/>
  <c r="M24" i="101" s="1"/>
  <c r="L11" i="101"/>
  <c r="M13" i="101"/>
  <c r="L21" i="101"/>
  <c r="M20" i="101"/>
  <c r="L23" i="68"/>
  <c r="M11" i="101"/>
  <c r="M19" i="101"/>
  <c r="L18" i="101"/>
  <c r="L15" i="101"/>
  <c r="L19" i="101"/>
  <c r="H22" i="110"/>
  <c r="M20" i="110"/>
  <c r="J22" i="110"/>
  <c r="U20" i="110"/>
  <c r="U19" i="110"/>
  <c r="V19" i="110" s="1"/>
  <c r="D22" i="76"/>
  <c r="U21" i="101"/>
  <c r="G23" i="75"/>
  <c r="U15" i="101"/>
  <c r="U17" i="101"/>
  <c r="U18" i="101"/>
  <c r="C43" i="112"/>
  <c r="B43" i="112" s="1"/>
  <c r="X13" i="101"/>
  <c r="D39" i="98"/>
  <c r="M39" i="98" s="1"/>
  <c r="N39" i="98" s="1"/>
  <c r="X14" i="110"/>
  <c r="AE14" i="110" s="1"/>
  <c r="B49" i="112"/>
  <c r="X16" i="101"/>
  <c r="C44" i="112"/>
  <c r="B44" i="112" s="1"/>
  <c r="X18" i="101"/>
  <c r="C38" i="112"/>
  <c r="B38" i="112" s="1"/>
  <c r="R33" i="101"/>
  <c r="R23" i="101"/>
  <c r="R29" i="101"/>
  <c r="B50" i="112"/>
  <c r="B42" i="112"/>
  <c r="D38" i="98"/>
  <c r="M38" i="98" s="1"/>
  <c r="N38" i="98" s="1"/>
  <c r="C40" i="112"/>
  <c r="B40" i="112" s="1"/>
  <c r="L33" i="66"/>
  <c r="L32" i="66"/>
  <c r="L30" i="66"/>
  <c r="M31" i="101" s="1"/>
  <c r="L35" i="66"/>
  <c r="X28" i="101"/>
  <c r="X21" i="110"/>
  <c r="AE21" i="110" s="1"/>
  <c r="C10" i="111"/>
  <c r="B25" i="111" s="1"/>
  <c r="R30" i="101"/>
  <c r="J18" i="77"/>
  <c r="E22" i="110"/>
  <c r="L28" i="66"/>
  <c r="L31" i="66"/>
  <c r="M28" i="101" s="1"/>
  <c r="L34" i="66"/>
  <c r="X25" i="101"/>
  <c r="X30" i="101"/>
  <c r="AF31" i="101"/>
  <c r="C22" i="110"/>
  <c r="X13" i="110"/>
  <c r="AE13" i="110" s="1"/>
  <c r="M21" i="110"/>
  <c r="BU18" i="93"/>
  <c r="R28" i="101"/>
  <c r="X15" i="110"/>
  <c r="AE15" i="110" s="1"/>
  <c r="R27" i="101"/>
  <c r="BB19" i="90"/>
  <c r="BN7" i="90"/>
  <c r="I11" i="75" s="1"/>
  <c r="L11" i="75" s="1"/>
  <c r="AA18" i="93"/>
  <c r="N12" i="71"/>
  <c r="BN8" i="90"/>
  <c r="I12" i="75" s="1"/>
  <c r="T12" i="75" s="1"/>
  <c r="L22" i="110"/>
  <c r="BC18" i="93"/>
  <c r="BO10" i="90"/>
  <c r="G14" i="56" s="1"/>
  <c r="BN13" i="90"/>
  <c r="I17" i="75" s="1"/>
  <c r="T17" i="75" s="1"/>
  <c r="F23" i="65"/>
  <c r="X17" i="110"/>
  <c r="AE17" i="110" s="1"/>
  <c r="F23" i="75"/>
  <c r="E23" i="65"/>
  <c r="BN9" i="90"/>
  <c r="I13" i="75" s="1"/>
  <c r="T13" i="75" s="1"/>
  <c r="L17" i="68"/>
  <c r="O19" i="101" s="1"/>
  <c r="L20" i="68"/>
  <c r="BD8" i="93"/>
  <c r="AX14" i="93"/>
  <c r="D14" i="93" s="1"/>
  <c r="BO17" i="90"/>
  <c r="G22" i="56" s="1"/>
  <c r="B65" i="115"/>
  <c r="B68" i="115"/>
  <c r="C10" i="93"/>
  <c r="C45" i="112"/>
  <c r="B45" i="112" s="1"/>
  <c r="E43" i="104"/>
  <c r="BP14" i="93"/>
  <c r="W22" i="110"/>
  <c r="X16" i="110"/>
  <c r="AE16" i="110" s="1"/>
  <c r="C12" i="93"/>
  <c r="BG18" i="93"/>
  <c r="I20" i="77"/>
  <c r="N18" i="71"/>
  <c r="N17" i="71"/>
  <c r="N16" i="71"/>
  <c r="AB16" i="101"/>
  <c r="AX12" i="93"/>
  <c r="D12" i="93" s="1"/>
  <c r="B19" i="115"/>
  <c r="B41" i="115" s="1"/>
  <c r="C9" i="93"/>
  <c r="BF18" i="93"/>
  <c r="X12" i="110"/>
  <c r="AE12" i="110" s="1"/>
  <c r="AX13" i="93"/>
  <c r="D13" i="93" s="1"/>
  <c r="B56" i="115"/>
  <c r="AX8" i="93"/>
  <c r="D8" i="93" s="1"/>
  <c r="B75" i="115"/>
  <c r="BP10" i="93"/>
  <c r="G42" i="124"/>
  <c r="AX17" i="93"/>
  <c r="D17" i="93" s="1"/>
  <c r="BE19" i="90"/>
  <c r="DB18" i="90" s="1"/>
  <c r="BP8" i="93"/>
  <c r="BP9" i="93"/>
  <c r="M40" i="98"/>
  <c r="N40" i="98" s="1"/>
  <c r="AX9" i="93"/>
  <c r="D9" i="93" s="1"/>
  <c r="AX10" i="93"/>
  <c r="D10" i="93" s="1"/>
  <c r="BP13" i="93"/>
  <c r="BP11" i="93"/>
  <c r="BP12" i="93"/>
  <c r="AX16" i="93"/>
  <c r="D16" i="93" s="1"/>
  <c r="H42" i="124"/>
  <c r="J42" i="124"/>
  <c r="I42" i="124"/>
  <c r="I42" i="99"/>
  <c r="BW47" i="112"/>
  <c r="D34" i="98"/>
  <c r="M34" i="98" s="1"/>
  <c r="N34" i="98" s="1"/>
  <c r="C37" i="112"/>
  <c r="B37" i="112" s="1"/>
  <c r="D30" i="98"/>
  <c r="M30" i="98" s="1"/>
  <c r="N30" i="98" s="1"/>
  <c r="C33" i="112"/>
  <c r="B33" i="112" s="1"/>
  <c r="D26" i="98"/>
  <c r="M26" i="98" s="1"/>
  <c r="N26" i="98" s="1"/>
  <c r="C29" i="112"/>
  <c r="B29" i="112" s="1"/>
  <c r="D22" i="98"/>
  <c r="M22" i="98" s="1"/>
  <c r="N22" i="98" s="1"/>
  <c r="C25" i="112"/>
  <c r="B25" i="112" s="1"/>
  <c r="D18" i="98"/>
  <c r="M18" i="98" s="1"/>
  <c r="N18" i="98" s="1"/>
  <c r="C21" i="112"/>
  <c r="B21" i="112" s="1"/>
  <c r="D14" i="98"/>
  <c r="M14" i="98" s="1"/>
  <c r="N14" i="98" s="1"/>
  <c r="C17" i="112"/>
  <c r="B17" i="112" s="1"/>
  <c r="D10" i="98"/>
  <c r="M10" i="98" s="1"/>
  <c r="N10" i="98" s="1"/>
  <c r="C13" i="112"/>
  <c r="B13" i="112" s="1"/>
  <c r="D7" i="98"/>
  <c r="D47" i="112"/>
  <c r="C10" i="112"/>
  <c r="BL18" i="93"/>
  <c r="BM18" i="93"/>
  <c r="AR18" i="93"/>
  <c r="AL22" i="110"/>
  <c r="X18" i="110"/>
  <c r="AE18" i="110" s="1"/>
  <c r="N18" i="99"/>
  <c r="O18" i="99" s="1"/>
  <c r="BO15" i="90"/>
  <c r="F16" i="61"/>
  <c r="G16" i="61" s="1"/>
  <c r="H16" i="58"/>
  <c r="G31" i="101" s="1"/>
  <c r="L15" i="68"/>
  <c r="J23" i="80"/>
  <c r="I23" i="80"/>
  <c r="I24" i="68"/>
  <c r="L14" i="68"/>
  <c r="O12" i="101" s="1"/>
  <c r="D25" i="98"/>
  <c r="M25" i="98" s="1"/>
  <c r="N25" i="98" s="1"/>
  <c r="C28" i="112"/>
  <c r="B28" i="112" s="1"/>
  <c r="AX11" i="93"/>
  <c r="D11" i="93" s="1"/>
  <c r="BO8" i="90"/>
  <c r="G12" i="56" s="1"/>
  <c r="BJ18" i="93"/>
  <c r="BH18" i="93"/>
  <c r="BO11" i="90"/>
  <c r="G15" i="56" s="1"/>
  <c r="BN15" i="90"/>
  <c r="BK18" i="93"/>
  <c r="Z22" i="101"/>
  <c r="Z36" i="101" s="1"/>
  <c r="G51" i="96" s="1"/>
  <c r="H24" i="68"/>
  <c r="L12" i="68"/>
  <c r="Q16" i="101"/>
  <c r="Q12" i="101"/>
  <c r="L22" i="68"/>
  <c r="L21" i="68"/>
  <c r="D29" i="98"/>
  <c r="M29" i="98" s="1"/>
  <c r="N29" i="98" s="1"/>
  <c r="C32" i="112"/>
  <c r="B32" i="112" s="1"/>
  <c r="B41" i="112"/>
  <c r="D32" i="98"/>
  <c r="M32" i="98" s="1"/>
  <c r="N32" i="98" s="1"/>
  <c r="C35" i="112"/>
  <c r="B35" i="112" s="1"/>
  <c r="D28" i="98"/>
  <c r="M28" i="98" s="1"/>
  <c r="N28" i="98" s="1"/>
  <c r="C31" i="112"/>
  <c r="B31" i="112" s="1"/>
  <c r="D24" i="98"/>
  <c r="M24" i="98" s="1"/>
  <c r="N24" i="98" s="1"/>
  <c r="C27" i="112"/>
  <c r="B27" i="112" s="1"/>
  <c r="D20" i="98"/>
  <c r="M20" i="98" s="1"/>
  <c r="N20" i="98" s="1"/>
  <c r="C23" i="112"/>
  <c r="B23" i="112" s="1"/>
  <c r="D16" i="98"/>
  <c r="M16" i="98" s="1"/>
  <c r="N16" i="98" s="1"/>
  <c r="C19" i="112"/>
  <c r="B19" i="112" s="1"/>
  <c r="D12" i="98"/>
  <c r="M12" i="98" s="1"/>
  <c r="N12" i="98" s="1"/>
  <c r="C15" i="112"/>
  <c r="B15" i="112" s="1"/>
  <c r="D8" i="98"/>
  <c r="M8" i="98" s="1"/>
  <c r="N8" i="98" s="1"/>
  <c r="C11" i="112"/>
  <c r="B11" i="112" s="1"/>
  <c r="M41" i="98"/>
  <c r="N41" i="98" s="1"/>
  <c r="M37" i="98"/>
  <c r="N37" i="98" s="1"/>
  <c r="BO13" i="90"/>
  <c r="G17" i="56" s="1"/>
  <c r="H19" i="58"/>
  <c r="N13" i="99"/>
  <c r="O13" i="99" s="1"/>
  <c r="J42" i="99"/>
  <c r="BI18" i="93"/>
  <c r="BO16" i="90"/>
  <c r="BN16" i="90"/>
  <c r="I21" i="75" s="1"/>
  <c r="T21" i="75" s="1"/>
  <c r="U11" i="101"/>
  <c r="L19" i="68"/>
  <c r="L18" i="68"/>
  <c r="D33" i="98"/>
  <c r="M33" i="98" s="1"/>
  <c r="N33" i="98" s="1"/>
  <c r="C36" i="112"/>
  <c r="B36" i="112" s="1"/>
  <c r="D21" i="98"/>
  <c r="M21" i="98" s="1"/>
  <c r="N21" i="98" s="1"/>
  <c r="C24" i="112"/>
  <c r="B24" i="112" s="1"/>
  <c r="D17" i="98"/>
  <c r="M17" i="98" s="1"/>
  <c r="N17" i="98" s="1"/>
  <c r="C20" i="112"/>
  <c r="B20" i="112" s="1"/>
  <c r="D13" i="98"/>
  <c r="M13" i="98" s="1"/>
  <c r="N13" i="98" s="1"/>
  <c r="C16" i="112"/>
  <c r="B16" i="112" s="1"/>
  <c r="D9" i="98"/>
  <c r="M9" i="98" s="1"/>
  <c r="N9" i="98" s="1"/>
  <c r="C12" i="112"/>
  <c r="B12" i="112" s="1"/>
  <c r="D43" i="104"/>
  <c r="G7" i="104"/>
  <c r="I7" i="104"/>
  <c r="E42" i="43"/>
  <c r="F42" i="43"/>
  <c r="L47" i="38"/>
  <c r="K47" i="38"/>
  <c r="D36" i="98"/>
  <c r="M36" i="98" s="1"/>
  <c r="N36" i="98" s="1"/>
  <c r="C39" i="112"/>
  <c r="B39" i="112" s="1"/>
  <c r="M42" i="98"/>
  <c r="N42" i="98" s="1"/>
  <c r="D31" i="98"/>
  <c r="M31" i="98" s="1"/>
  <c r="N31" i="98" s="1"/>
  <c r="C34" i="112"/>
  <c r="B34" i="112" s="1"/>
  <c r="D27" i="98"/>
  <c r="M27" i="98" s="1"/>
  <c r="N27" i="98" s="1"/>
  <c r="C30" i="112"/>
  <c r="B30" i="112" s="1"/>
  <c r="D23" i="98"/>
  <c r="M23" i="98" s="1"/>
  <c r="N23" i="98" s="1"/>
  <c r="C26" i="112"/>
  <c r="B26" i="112" s="1"/>
  <c r="D19" i="98"/>
  <c r="M19" i="98" s="1"/>
  <c r="N19" i="98" s="1"/>
  <c r="C22" i="112"/>
  <c r="B22" i="112" s="1"/>
  <c r="D15" i="98"/>
  <c r="M15" i="98" s="1"/>
  <c r="N15" i="98" s="1"/>
  <c r="C18" i="112"/>
  <c r="B18" i="112" s="1"/>
  <c r="D11" i="98"/>
  <c r="M11" i="98" s="1"/>
  <c r="N11" i="98" s="1"/>
  <c r="C14" i="112"/>
  <c r="B14" i="112" s="1"/>
  <c r="H7" i="98"/>
  <c r="H43" i="98" s="1"/>
  <c r="CG47" i="112"/>
  <c r="BO18" i="93"/>
  <c r="BO7" i="90"/>
  <c r="G11" i="56" s="1"/>
  <c r="BO9" i="90"/>
  <c r="G13" i="56" s="1"/>
  <c r="BN18" i="93"/>
  <c r="H42" i="99"/>
  <c r="AX7" i="93"/>
  <c r="G42" i="99"/>
  <c r="N17" i="99"/>
  <c r="O17" i="99" s="1"/>
  <c r="N16" i="99"/>
  <c r="O16" i="99" s="1"/>
  <c r="H23" i="80"/>
  <c r="J24" i="68"/>
  <c r="L16" i="68"/>
  <c r="M14" i="101" l="1"/>
  <c r="H25" i="66"/>
  <c r="U12" i="101"/>
  <c r="J13" i="74"/>
  <c r="U20" i="101"/>
  <c r="J14" i="74"/>
  <c r="U14" i="101"/>
  <c r="J11" i="74"/>
  <c r="R12" i="101"/>
  <c r="J13" i="71"/>
  <c r="J13" i="101"/>
  <c r="G15" i="61"/>
  <c r="J16" i="101"/>
  <c r="G12" i="61"/>
  <c r="J20" i="101"/>
  <c r="G14" i="61"/>
  <c r="J14" i="101"/>
  <c r="G11" i="61"/>
  <c r="L25" i="66"/>
  <c r="M26" i="101" s="1"/>
  <c r="J21" i="75"/>
  <c r="J20" i="75"/>
  <c r="I20" i="75"/>
  <c r="T20" i="75" s="1"/>
  <c r="I19" i="75"/>
  <c r="G19" i="64"/>
  <c r="H19" i="64" s="1"/>
  <c r="I19" i="64"/>
  <c r="G21" i="56"/>
  <c r="Q19" i="75"/>
  <c r="K19" i="75"/>
  <c r="R19" i="75"/>
  <c r="J19" i="75"/>
  <c r="G20" i="56"/>
  <c r="G19" i="56"/>
  <c r="AI22" i="101"/>
  <c r="AI36" i="101" s="1"/>
  <c r="G52" i="96" s="1"/>
  <c r="E23" i="158"/>
  <c r="F23" i="158"/>
  <c r="G15" i="64"/>
  <c r="G13" i="64"/>
  <c r="H13" i="64" s="1"/>
  <c r="I18" i="64"/>
  <c r="G18" i="64"/>
  <c r="H18" i="64" s="1"/>
  <c r="G14" i="64"/>
  <c r="I20" i="64"/>
  <c r="G20" i="64"/>
  <c r="H20" i="64" s="1"/>
  <c r="G17" i="64"/>
  <c r="H17" i="64" s="1"/>
  <c r="I17" i="64"/>
  <c r="G12" i="64"/>
  <c r="I12" i="64"/>
  <c r="I22" i="64"/>
  <c r="G22" i="64"/>
  <c r="H22" i="64" s="1"/>
  <c r="I11" i="64"/>
  <c r="I21" i="64"/>
  <c r="G21" i="64"/>
  <c r="H21" i="64" s="1"/>
  <c r="AQ19" i="101"/>
  <c r="S11" i="75"/>
  <c r="T11" i="75"/>
  <c r="M13" i="75"/>
  <c r="L13" i="75"/>
  <c r="M11" i="75"/>
  <c r="N11" i="75" s="1"/>
  <c r="L12" i="75"/>
  <c r="M12" i="75"/>
  <c r="M21" i="75"/>
  <c r="L21" i="75"/>
  <c r="L17" i="75"/>
  <c r="M17" i="75"/>
  <c r="I23" i="74"/>
  <c r="U13" i="101"/>
  <c r="K24" i="101"/>
  <c r="F11" i="60"/>
  <c r="E23" i="60"/>
  <c r="X14" i="101"/>
  <c r="N11" i="71"/>
  <c r="N15" i="71"/>
  <c r="F11" i="72"/>
  <c r="O16" i="101"/>
  <c r="N14" i="71"/>
  <c r="K23" i="71"/>
  <c r="S13" i="75"/>
  <c r="S20" i="75"/>
  <c r="S21" i="75"/>
  <c r="G16" i="110"/>
  <c r="G12" i="110"/>
  <c r="AP12" i="110" s="1"/>
  <c r="S17" i="75"/>
  <c r="S12" i="75"/>
  <c r="G15" i="110"/>
  <c r="J22" i="60"/>
  <c r="F17" i="54"/>
  <c r="G17" i="54" s="1"/>
  <c r="J31" i="69"/>
  <c r="K31" i="69" s="1"/>
  <c r="P28" i="101" s="1"/>
  <c r="J36" i="69"/>
  <c r="K36" i="69" s="1"/>
  <c r="P30" i="101" s="1"/>
  <c r="G11" i="72"/>
  <c r="K11" i="72" s="1"/>
  <c r="L11" i="72" s="1"/>
  <c r="J37" i="69"/>
  <c r="K37" i="69" s="1"/>
  <c r="J20" i="60"/>
  <c r="I27" i="101" s="1"/>
  <c r="J39" i="69"/>
  <c r="K39" i="69" s="1"/>
  <c r="P27" i="101" s="1"/>
  <c r="AT22" i="101"/>
  <c r="G7" i="96" s="1"/>
  <c r="J21" i="60"/>
  <c r="J40" i="69"/>
  <c r="K40" i="69" s="1"/>
  <c r="K41" i="69"/>
  <c r="K33" i="69"/>
  <c r="P32" i="101" s="1"/>
  <c r="K35" i="69"/>
  <c r="P31" i="101" s="1"/>
  <c r="J32" i="69"/>
  <c r="J13" i="60"/>
  <c r="I24" i="101" s="1"/>
  <c r="J15" i="60"/>
  <c r="I25" i="101" s="1"/>
  <c r="J34" i="69"/>
  <c r="M12" i="101"/>
  <c r="M22" i="101" s="1"/>
  <c r="J11" i="60"/>
  <c r="I26" i="101" s="1"/>
  <c r="J30" i="69"/>
  <c r="K30" i="69" s="1"/>
  <c r="J14" i="60"/>
  <c r="I32" i="101" s="1"/>
  <c r="L29" i="66"/>
  <c r="M25" i="101" s="1"/>
  <c r="F17" i="78"/>
  <c r="H22" i="57"/>
  <c r="F22" i="57"/>
  <c r="G22" i="57" s="1"/>
  <c r="I17" i="72"/>
  <c r="F17" i="72"/>
  <c r="G17" i="72"/>
  <c r="H22" i="58"/>
  <c r="F22" i="58"/>
  <c r="G22" i="58" s="1"/>
  <c r="F22" i="59"/>
  <c r="G22" i="59" s="1"/>
  <c r="H22" i="59"/>
  <c r="H22" i="61"/>
  <c r="F22" i="61"/>
  <c r="G21" i="77"/>
  <c r="I21" i="77"/>
  <c r="H22" i="54"/>
  <c r="F22" i="54"/>
  <c r="G22" i="54" s="1"/>
  <c r="AG25" i="101"/>
  <c r="AF25" i="101"/>
  <c r="F11" i="78"/>
  <c r="Y24" i="101"/>
  <c r="J18" i="101"/>
  <c r="J19" i="101"/>
  <c r="H11" i="58"/>
  <c r="E23" i="58"/>
  <c r="H13" i="54"/>
  <c r="C24" i="101" s="1"/>
  <c r="F13" i="54"/>
  <c r="G13" i="54" s="1"/>
  <c r="H15" i="54"/>
  <c r="F15" i="54"/>
  <c r="G15" i="54" s="1"/>
  <c r="H13" i="61"/>
  <c r="J24" i="101" s="1"/>
  <c r="F13" i="61"/>
  <c r="I15" i="72"/>
  <c r="G15" i="72"/>
  <c r="H21" i="54"/>
  <c r="F21" i="54"/>
  <c r="G21" i="54" s="1"/>
  <c r="I20" i="72"/>
  <c r="G20" i="72"/>
  <c r="F19" i="60"/>
  <c r="L19" i="60" s="1"/>
  <c r="H14" i="54"/>
  <c r="F14" i="54"/>
  <c r="G14" i="54" s="1"/>
  <c r="F14" i="60"/>
  <c r="I14" i="72"/>
  <c r="G14" i="72"/>
  <c r="F16" i="60"/>
  <c r="I12" i="72"/>
  <c r="G12" i="72"/>
  <c r="H12" i="54"/>
  <c r="F12" i="54"/>
  <c r="G12" i="54" s="1"/>
  <c r="I18" i="72"/>
  <c r="G18" i="72"/>
  <c r="H20" i="61"/>
  <c r="F20" i="61"/>
  <c r="F12" i="60"/>
  <c r="F15" i="60"/>
  <c r="I22" i="72"/>
  <c r="G22" i="72"/>
  <c r="F21" i="60"/>
  <c r="I16" i="72"/>
  <c r="S31" i="101" s="1"/>
  <c r="G16" i="72"/>
  <c r="S19" i="101" s="1"/>
  <c r="F11" i="54"/>
  <c r="G11" i="54" s="1"/>
  <c r="H11" i="54"/>
  <c r="H20" i="54"/>
  <c r="F20" i="54"/>
  <c r="G20" i="54" s="1"/>
  <c r="I13" i="72"/>
  <c r="G13" i="72"/>
  <c r="H19" i="54"/>
  <c r="F19" i="54"/>
  <c r="G19" i="54" s="1"/>
  <c r="F17" i="60"/>
  <c r="H16" i="54"/>
  <c r="C31" i="101" s="1"/>
  <c r="F16" i="54"/>
  <c r="G16" i="54" s="1"/>
  <c r="H18" i="54"/>
  <c r="F18" i="54"/>
  <c r="G18" i="54" s="1"/>
  <c r="F18" i="60"/>
  <c r="I19" i="72"/>
  <c r="G19" i="72"/>
  <c r="I21" i="72"/>
  <c r="G21" i="72"/>
  <c r="V20" i="110"/>
  <c r="X20" i="110" s="1"/>
  <c r="AE20" i="110" s="1"/>
  <c r="N13" i="71"/>
  <c r="M22" i="110"/>
  <c r="X19" i="110"/>
  <c r="AE19" i="110" s="1"/>
  <c r="G11" i="110"/>
  <c r="AP11" i="110" s="1"/>
  <c r="U22" i="110"/>
  <c r="AG19" i="110"/>
  <c r="AF27" i="101"/>
  <c r="AG27" i="101"/>
  <c r="AG28" i="101"/>
  <c r="O20" i="101"/>
  <c r="O18" i="101"/>
  <c r="AB13" i="101"/>
  <c r="Q15" i="101"/>
  <c r="O14" i="101"/>
  <c r="R21" i="101"/>
  <c r="R18" i="101"/>
  <c r="T21" i="101"/>
  <c r="T16" i="101"/>
  <c r="AF28" i="101"/>
  <c r="T18" i="101"/>
  <c r="Q21" i="101"/>
  <c r="AB18" i="101"/>
  <c r="AF29" i="101"/>
  <c r="H23" i="75"/>
  <c r="AB17" i="101"/>
  <c r="L22" i="101"/>
  <c r="L36" i="101" s="1"/>
  <c r="G36" i="96" s="1"/>
  <c r="R16" i="101"/>
  <c r="AG29" i="101"/>
  <c r="M27" i="101"/>
  <c r="O17" i="101"/>
  <c r="R14" i="101"/>
  <c r="AF33" i="101"/>
  <c r="Q13" i="101"/>
  <c r="Q14" i="101"/>
  <c r="T13" i="101"/>
  <c r="T15" i="101"/>
  <c r="AB20" i="101"/>
  <c r="T20" i="101"/>
  <c r="AG33" i="101"/>
  <c r="X26" i="101"/>
  <c r="M33" i="101"/>
  <c r="F12" i="58"/>
  <c r="O21" i="101"/>
  <c r="Q17" i="101"/>
  <c r="O13" i="101"/>
  <c r="R13" i="101"/>
  <c r="AB21" i="101"/>
  <c r="AG32" i="101"/>
  <c r="Q20" i="101"/>
  <c r="Q18" i="101"/>
  <c r="I14" i="77"/>
  <c r="L14" i="77" s="1"/>
  <c r="G14" i="77"/>
  <c r="AB15" i="101"/>
  <c r="R15" i="101"/>
  <c r="R20" i="101"/>
  <c r="AG30" i="101"/>
  <c r="M32" i="101"/>
  <c r="AF32" i="101"/>
  <c r="M29" i="101"/>
  <c r="F12" i="57"/>
  <c r="H12" i="57"/>
  <c r="F12" i="72"/>
  <c r="T17" i="101"/>
  <c r="R17" i="101"/>
  <c r="O15" i="101"/>
  <c r="AB14" i="101"/>
  <c r="AF30" i="101"/>
  <c r="M30" i="101"/>
  <c r="F12" i="78"/>
  <c r="I12" i="78" s="1"/>
  <c r="J12" i="78" s="1"/>
  <c r="H12" i="61"/>
  <c r="H12" i="59"/>
  <c r="F12" i="59"/>
  <c r="AG15" i="110"/>
  <c r="AG12" i="110"/>
  <c r="AG14" i="110"/>
  <c r="AG20" i="110"/>
  <c r="AG21" i="110"/>
  <c r="AG18" i="110"/>
  <c r="AG11" i="110"/>
  <c r="AG17" i="110"/>
  <c r="AG13" i="110"/>
  <c r="AG16" i="110"/>
  <c r="R11" i="101"/>
  <c r="R34" i="101"/>
  <c r="F11" i="58"/>
  <c r="E24" i="141"/>
  <c r="F12" i="141"/>
  <c r="AG26" i="101" s="1"/>
  <c r="M23" i="101"/>
  <c r="E24" i="140"/>
  <c r="AF26" i="101"/>
  <c r="H24" i="101"/>
  <c r="G13" i="77"/>
  <c r="X12" i="101" s="1"/>
  <c r="I13" i="77"/>
  <c r="M7" i="98"/>
  <c r="N7" i="98" s="1"/>
  <c r="AP20" i="110"/>
  <c r="F24" i="101"/>
  <c r="G24" i="101"/>
  <c r="F21" i="59"/>
  <c r="G21" i="59" s="1"/>
  <c r="H21" i="59"/>
  <c r="F19" i="57"/>
  <c r="G19" i="57" s="1"/>
  <c r="H19" i="57"/>
  <c r="H21" i="61"/>
  <c r="F20" i="78"/>
  <c r="I20" i="78" s="1"/>
  <c r="J20" i="78" s="1"/>
  <c r="H14" i="61"/>
  <c r="J32" i="101" s="1"/>
  <c r="F11" i="57"/>
  <c r="H11" i="57"/>
  <c r="H11" i="61"/>
  <c r="H19" i="61"/>
  <c r="F19" i="59"/>
  <c r="G19" i="59" s="1"/>
  <c r="H19" i="59"/>
  <c r="F19" i="58"/>
  <c r="G19" i="58" s="1"/>
  <c r="F14" i="57"/>
  <c r="H14" i="57"/>
  <c r="F11" i="59"/>
  <c r="H11" i="59"/>
  <c r="F22" i="78"/>
  <c r="I22" i="78" s="1"/>
  <c r="J22" i="78" s="1"/>
  <c r="K14" i="101"/>
  <c r="F21" i="57"/>
  <c r="G21" i="57" s="1"/>
  <c r="H21" i="57"/>
  <c r="F21" i="58"/>
  <c r="G21" i="58" s="1"/>
  <c r="F14" i="58"/>
  <c r="F14" i="59"/>
  <c r="H14" i="59"/>
  <c r="F14" i="78"/>
  <c r="I14" i="78" s="1"/>
  <c r="J14" i="78" s="1"/>
  <c r="L20" i="77"/>
  <c r="G22" i="77"/>
  <c r="G20" i="77"/>
  <c r="X15" i="101" s="1"/>
  <c r="F16" i="58"/>
  <c r="G16" i="58" s="1"/>
  <c r="K31" i="101"/>
  <c r="F16" i="59"/>
  <c r="H16" i="59"/>
  <c r="H31" i="101" s="1"/>
  <c r="F16" i="78"/>
  <c r="Y31" i="101"/>
  <c r="F16" i="57"/>
  <c r="G16" i="57" s="1"/>
  <c r="H16" i="57"/>
  <c r="F31" i="101" s="1"/>
  <c r="H16" i="61"/>
  <c r="J31" i="101" s="1"/>
  <c r="F21" i="78"/>
  <c r="I21" i="78" s="1"/>
  <c r="J21" i="78" s="1"/>
  <c r="F20" i="59"/>
  <c r="G20" i="59" s="1"/>
  <c r="H20" i="59"/>
  <c r="F20" i="57"/>
  <c r="G20" i="57" s="1"/>
  <c r="H20" i="57"/>
  <c r="F20" i="58"/>
  <c r="G20" i="58" s="1"/>
  <c r="F18" i="57"/>
  <c r="G18" i="57" s="1"/>
  <c r="H18" i="57"/>
  <c r="H18" i="61"/>
  <c r="F18" i="58"/>
  <c r="G18" i="58" s="1"/>
  <c r="F18" i="59"/>
  <c r="G18" i="59" s="1"/>
  <c r="H18" i="59"/>
  <c r="F19" i="78"/>
  <c r="I19" i="78" s="1"/>
  <c r="J19" i="78" s="1"/>
  <c r="F15" i="78"/>
  <c r="I15" i="78" s="1"/>
  <c r="J15" i="78" s="1"/>
  <c r="F15" i="58"/>
  <c r="H15" i="61"/>
  <c r="F15" i="59"/>
  <c r="H15" i="59"/>
  <c r="F15" i="57"/>
  <c r="H15" i="57"/>
  <c r="F17" i="59"/>
  <c r="H17" i="59"/>
  <c r="F17" i="58"/>
  <c r="G17" i="58" s="1"/>
  <c r="F17" i="57"/>
  <c r="G17" i="57" s="1"/>
  <c r="H17" i="57"/>
  <c r="F18" i="78"/>
  <c r="I18" i="78" s="1"/>
  <c r="J18" i="78" s="1"/>
  <c r="G23" i="81"/>
  <c r="H17" i="61"/>
  <c r="U18" i="75"/>
  <c r="V18" i="75" s="1"/>
  <c r="E22" i="76"/>
  <c r="E23" i="54"/>
  <c r="DB7" i="90"/>
  <c r="I11" i="56" s="1"/>
  <c r="K60" i="97"/>
  <c r="AQ14" i="101"/>
  <c r="DB15" i="90"/>
  <c r="I19" i="56" s="1"/>
  <c r="F23" i="56"/>
  <c r="DB8" i="90"/>
  <c r="I12" i="56" s="1"/>
  <c r="DB10" i="90"/>
  <c r="I14" i="56" s="1"/>
  <c r="DB9" i="90"/>
  <c r="DB11" i="90"/>
  <c r="I15" i="56" s="1"/>
  <c r="DB13" i="90"/>
  <c r="I17" i="56" s="1"/>
  <c r="DB17" i="90"/>
  <c r="DB16" i="90"/>
  <c r="DB14" i="90"/>
  <c r="E23" i="81"/>
  <c r="BD18" i="93"/>
  <c r="C8" i="93"/>
  <c r="C18" i="93" s="1"/>
  <c r="I23" i="71"/>
  <c r="M42" i="99"/>
  <c r="N42" i="99"/>
  <c r="B69" i="115"/>
  <c r="N18" i="75"/>
  <c r="O18" i="75" s="1"/>
  <c r="P18" i="75" s="1"/>
  <c r="G37" i="66"/>
  <c r="F23" i="77"/>
  <c r="AQ15" i="101"/>
  <c r="L42" i="124"/>
  <c r="AX18" i="93"/>
  <c r="D7" i="93"/>
  <c r="D18" i="93" s="1"/>
  <c r="H23" i="73"/>
  <c r="F23" i="55"/>
  <c r="F13" i="58"/>
  <c r="G13" i="58" s="1"/>
  <c r="F13" i="78"/>
  <c r="E23" i="78"/>
  <c r="L24" i="68"/>
  <c r="O11" i="101"/>
  <c r="M42" i="124"/>
  <c r="K23" i="80"/>
  <c r="AB11" i="101"/>
  <c r="F13" i="59"/>
  <c r="G13" i="59" s="1"/>
  <c r="E23" i="59"/>
  <c r="E23" i="61"/>
  <c r="E23" i="64"/>
  <c r="F15" i="72"/>
  <c r="L23" i="97"/>
  <c r="M23" i="97" s="1"/>
  <c r="L54" i="97"/>
  <c r="M54" i="97" s="1"/>
  <c r="L41" i="97"/>
  <c r="M41" i="97" s="1"/>
  <c r="L28" i="97"/>
  <c r="M28" i="97" s="1"/>
  <c r="L42" i="99"/>
  <c r="K42" i="124"/>
  <c r="L55" i="97"/>
  <c r="M55" i="97" s="1"/>
  <c r="L57" i="97"/>
  <c r="M57" i="97" s="1"/>
  <c r="BP18" i="93"/>
  <c r="N43" i="96" s="1"/>
  <c r="C47" i="112"/>
  <c r="B10" i="112"/>
  <c r="B47" i="112" s="1"/>
  <c r="F13" i="57"/>
  <c r="G13" i="57" s="1"/>
  <c r="E23" i="57"/>
  <c r="E23" i="82"/>
  <c r="F42" i="69"/>
  <c r="F13" i="72"/>
  <c r="E23" i="72"/>
  <c r="L40" i="97"/>
  <c r="M40" i="97" s="1"/>
  <c r="F23" i="70"/>
  <c r="Q11" i="101"/>
  <c r="K42" i="99"/>
  <c r="F14" i="72"/>
  <c r="L17" i="97"/>
  <c r="M17" i="97" s="1"/>
  <c r="L18" i="97"/>
  <c r="M18" i="97" s="1"/>
  <c r="D43" i="98"/>
  <c r="L24" i="97"/>
  <c r="M24" i="97" s="1"/>
  <c r="L25" i="97"/>
  <c r="M25" i="97" s="1"/>
  <c r="L26" i="97"/>
  <c r="M26" i="97" s="1"/>
  <c r="U22" i="101" l="1"/>
  <c r="U36" i="101" s="1"/>
  <c r="G46" i="96" s="1"/>
  <c r="M20" i="75"/>
  <c r="J12" i="101"/>
  <c r="G13" i="61"/>
  <c r="J21" i="101"/>
  <c r="G20" i="61"/>
  <c r="J17" i="101"/>
  <c r="G22" i="61"/>
  <c r="H16" i="101"/>
  <c r="G12" i="59"/>
  <c r="H13" i="101"/>
  <c r="G15" i="59"/>
  <c r="H18" i="101"/>
  <c r="G17" i="59"/>
  <c r="H19" i="101"/>
  <c r="G16" i="59"/>
  <c r="H20" i="101"/>
  <c r="G14" i="59"/>
  <c r="H14" i="101"/>
  <c r="G11" i="59"/>
  <c r="G20" i="101"/>
  <c r="G14" i="58"/>
  <c r="G13" i="101"/>
  <c r="G15" i="58"/>
  <c r="G14" i="101"/>
  <c r="G11" i="58"/>
  <c r="G16" i="101"/>
  <c r="G12" i="58"/>
  <c r="F14" i="101"/>
  <c r="G11" i="57"/>
  <c r="F20" i="101"/>
  <c r="G14" i="57"/>
  <c r="F16" i="101"/>
  <c r="G12" i="57"/>
  <c r="F13" i="101"/>
  <c r="G15" i="57"/>
  <c r="C14" i="101"/>
  <c r="G17" i="55"/>
  <c r="G22" i="55"/>
  <c r="C12" i="101"/>
  <c r="C20" i="101"/>
  <c r="L20" i="75"/>
  <c r="K16" i="101"/>
  <c r="H12" i="64"/>
  <c r="K13" i="101"/>
  <c r="H15" i="64"/>
  <c r="K20" i="101"/>
  <c r="H14" i="64"/>
  <c r="I29" i="101"/>
  <c r="P29" i="101"/>
  <c r="P33" i="101"/>
  <c r="J22" i="77"/>
  <c r="X23" i="101" s="1"/>
  <c r="X11" i="101"/>
  <c r="P23" i="101"/>
  <c r="I23" i="101"/>
  <c r="J11" i="101"/>
  <c r="I33" i="101"/>
  <c r="I21" i="56"/>
  <c r="I20" i="56"/>
  <c r="H17" i="101"/>
  <c r="T19" i="75"/>
  <c r="T23" i="75" s="1"/>
  <c r="L19" i="75"/>
  <c r="M19" i="75"/>
  <c r="S19" i="75"/>
  <c r="S23" i="75" s="1"/>
  <c r="H15" i="101"/>
  <c r="H21" i="101"/>
  <c r="F23" i="60"/>
  <c r="AL22" i="101"/>
  <c r="N12" i="110"/>
  <c r="O12" i="110" s="1"/>
  <c r="Q12" i="110" s="1"/>
  <c r="AK12" i="110" s="1"/>
  <c r="N23" i="71"/>
  <c r="H23" i="58"/>
  <c r="L22" i="60"/>
  <c r="I23" i="64"/>
  <c r="K23" i="78"/>
  <c r="H23" i="59"/>
  <c r="H23" i="61"/>
  <c r="L18" i="60"/>
  <c r="H23" i="54"/>
  <c r="L37" i="66"/>
  <c r="H23" i="57"/>
  <c r="L17" i="60"/>
  <c r="AS22" i="101"/>
  <c r="N15" i="110"/>
  <c r="O15" i="110" s="1"/>
  <c r="Q15" i="110" s="1"/>
  <c r="AK15" i="110" s="1"/>
  <c r="AP15" i="110"/>
  <c r="N16" i="110"/>
  <c r="O16" i="110" s="1"/>
  <c r="Q16" i="110" s="1"/>
  <c r="AK16" i="110" s="1"/>
  <c r="AP16" i="110"/>
  <c r="L20" i="60"/>
  <c r="J23" i="60"/>
  <c r="L13" i="60"/>
  <c r="S14" i="101"/>
  <c r="G17" i="101"/>
  <c r="I13" i="78"/>
  <c r="J13" i="78" s="1"/>
  <c r="L21" i="60"/>
  <c r="I17" i="78"/>
  <c r="AU22" i="101"/>
  <c r="G8" i="96" s="1"/>
  <c r="K17" i="101"/>
  <c r="U20" i="75"/>
  <c r="V20" i="75" s="1"/>
  <c r="I22" i="56"/>
  <c r="J22" i="56" s="1"/>
  <c r="K22" i="56" s="1"/>
  <c r="I16" i="78"/>
  <c r="I18" i="56"/>
  <c r="F11" i="101"/>
  <c r="I13" i="56"/>
  <c r="J13" i="56" s="1"/>
  <c r="I11" i="78"/>
  <c r="J11" i="78" s="1"/>
  <c r="K34" i="69"/>
  <c r="P25" i="101" s="1"/>
  <c r="K32" i="69"/>
  <c r="J42" i="69"/>
  <c r="K21" i="101"/>
  <c r="K18" i="72"/>
  <c r="J22" i="54"/>
  <c r="J22" i="59"/>
  <c r="F17" i="101"/>
  <c r="L15" i="60"/>
  <c r="G11" i="101"/>
  <c r="G15" i="101"/>
  <c r="G14" i="55"/>
  <c r="L11" i="60"/>
  <c r="N31" i="101"/>
  <c r="K17" i="72"/>
  <c r="L17" i="72" s="1"/>
  <c r="C11" i="101"/>
  <c r="J22" i="61"/>
  <c r="J22" i="58"/>
  <c r="P26" i="101"/>
  <c r="H11" i="101"/>
  <c r="F15" i="101"/>
  <c r="K22" i="64"/>
  <c r="J21" i="77"/>
  <c r="L21" i="77"/>
  <c r="N20" i="75"/>
  <c r="O20" i="75" s="1"/>
  <c r="P20" i="75" s="1"/>
  <c r="J13" i="61"/>
  <c r="K11" i="101"/>
  <c r="T11" i="101"/>
  <c r="J23" i="73"/>
  <c r="K19" i="72"/>
  <c r="J22" i="57"/>
  <c r="K15" i="101"/>
  <c r="K18" i="101"/>
  <c r="K19" i="101"/>
  <c r="K13" i="64"/>
  <c r="K12" i="101"/>
  <c r="J15" i="101"/>
  <c r="J20" i="61"/>
  <c r="L16" i="60"/>
  <c r="J13" i="59"/>
  <c r="H12" i="101"/>
  <c r="G18" i="101"/>
  <c r="G19" i="101"/>
  <c r="G21" i="101"/>
  <c r="J13" i="58"/>
  <c r="G12" i="101"/>
  <c r="F23" i="58"/>
  <c r="F18" i="101"/>
  <c r="F19" i="101"/>
  <c r="F21" i="101"/>
  <c r="J13" i="57"/>
  <c r="F12" i="101"/>
  <c r="C18" i="101"/>
  <c r="C19" i="101"/>
  <c r="G20" i="55"/>
  <c r="C21" i="101"/>
  <c r="G19" i="55"/>
  <c r="C15" i="101"/>
  <c r="J13" i="54"/>
  <c r="G18" i="55"/>
  <c r="G12" i="55"/>
  <c r="C16" i="101"/>
  <c r="G21" i="55"/>
  <c r="C17" i="101"/>
  <c r="G15" i="55"/>
  <c r="C13" i="101"/>
  <c r="S23" i="101"/>
  <c r="J11" i="54"/>
  <c r="L12" i="60"/>
  <c r="L14" i="60"/>
  <c r="X18" i="75"/>
  <c r="X20" i="101"/>
  <c r="V22" i="110"/>
  <c r="AE22" i="110"/>
  <c r="X22" i="110"/>
  <c r="G18" i="110"/>
  <c r="G13" i="110"/>
  <c r="G17" i="110"/>
  <c r="G21" i="110"/>
  <c r="N20" i="110"/>
  <c r="O20" i="110" s="1"/>
  <c r="Q20" i="110" s="1"/>
  <c r="N19" i="110"/>
  <c r="O19" i="110" s="1"/>
  <c r="Q19" i="110" s="1"/>
  <c r="I23" i="77"/>
  <c r="Y32" i="101"/>
  <c r="Y27" i="101"/>
  <c r="C23" i="101"/>
  <c r="K28" i="101"/>
  <c r="S20" i="101"/>
  <c r="U14" i="75"/>
  <c r="V14" i="75" s="1"/>
  <c r="N14" i="75"/>
  <c r="O14" i="75" s="1"/>
  <c r="P14" i="75" s="1"/>
  <c r="K26" i="101"/>
  <c r="S16" i="101"/>
  <c r="R23" i="75"/>
  <c r="K29" i="101"/>
  <c r="K32" i="101"/>
  <c r="Y28" i="101"/>
  <c r="Y29" i="101"/>
  <c r="M34" i="101"/>
  <c r="M36" i="101" s="1"/>
  <c r="G37" i="96" s="1"/>
  <c r="I23" i="75"/>
  <c r="J23" i="75"/>
  <c r="K23" i="75"/>
  <c r="S17" i="101"/>
  <c r="Q23" i="75"/>
  <c r="Y26" i="101"/>
  <c r="S15" i="101"/>
  <c r="K27" i="101"/>
  <c r="R22" i="101"/>
  <c r="R36" i="101" s="1"/>
  <c r="G43" i="96" s="1"/>
  <c r="Q22" i="101"/>
  <c r="AB22" i="101"/>
  <c r="G23" i="101"/>
  <c r="J12" i="58"/>
  <c r="J12" i="61"/>
  <c r="J12" i="56"/>
  <c r="K12" i="56" s="1"/>
  <c r="Y11" i="101"/>
  <c r="K12" i="72"/>
  <c r="L12" i="72" s="1"/>
  <c r="K12" i="64"/>
  <c r="K23" i="101"/>
  <c r="K25" i="101"/>
  <c r="K33" i="101"/>
  <c r="S13" i="101"/>
  <c r="S18" i="101"/>
  <c r="J14" i="77"/>
  <c r="S11" i="101"/>
  <c r="X21" i="101"/>
  <c r="X17" i="101"/>
  <c r="Y21" i="101"/>
  <c r="S21" i="101"/>
  <c r="Y13" i="101"/>
  <c r="Y23" i="101"/>
  <c r="K30" i="101"/>
  <c r="J12" i="59"/>
  <c r="M12" i="78"/>
  <c r="J12" i="54"/>
  <c r="T14" i="101"/>
  <c r="G16" i="55"/>
  <c r="AB22" i="110"/>
  <c r="AG22" i="110"/>
  <c r="AD22" i="110"/>
  <c r="U15" i="75"/>
  <c r="V15" i="75" s="1"/>
  <c r="N15" i="75"/>
  <c r="O15" i="75" s="1"/>
  <c r="P15" i="75" s="1"/>
  <c r="J11" i="58"/>
  <c r="G23" i="77"/>
  <c r="J17" i="61"/>
  <c r="H26" i="101"/>
  <c r="J15" i="59"/>
  <c r="H29" i="101"/>
  <c r="J18" i="59"/>
  <c r="L13" i="77"/>
  <c r="J13" i="77"/>
  <c r="X24" i="101" s="1"/>
  <c r="F24" i="140"/>
  <c r="AF23" i="101"/>
  <c r="AF34" i="101" s="1"/>
  <c r="AF36" i="101" s="1"/>
  <c r="N27" i="96" s="1"/>
  <c r="J20" i="77"/>
  <c r="X27" i="101" s="1"/>
  <c r="M14" i="78"/>
  <c r="Y25" i="101"/>
  <c r="H25" i="101"/>
  <c r="J14" i="59"/>
  <c r="J17" i="59"/>
  <c r="H32" i="101"/>
  <c r="J20" i="59"/>
  <c r="H27" i="101"/>
  <c r="J16" i="59"/>
  <c r="M22" i="78"/>
  <c r="Y33" i="101"/>
  <c r="H23" i="101"/>
  <c r="J11" i="59"/>
  <c r="H30" i="101"/>
  <c r="J19" i="59"/>
  <c r="M20" i="78"/>
  <c r="Y30" i="101"/>
  <c r="H33" i="101"/>
  <c r="J21" i="59"/>
  <c r="F24" i="141"/>
  <c r="AG23" i="101"/>
  <c r="AG34" i="101" s="1"/>
  <c r="AG36" i="101" s="1"/>
  <c r="N28" i="96" s="1"/>
  <c r="AQ13" i="101"/>
  <c r="K15" i="64"/>
  <c r="K19" i="64"/>
  <c r="K21" i="64"/>
  <c r="K17" i="64"/>
  <c r="K20" i="64"/>
  <c r="K18" i="64"/>
  <c r="K11" i="64"/>
  <c r="K14" i="64"/>
  <c r="K16" i="64"/>
  <c r="J29" i="101"/>
  <c r="J18" i="61"/>
  <c r="J27" i="101"/>
  <c r="J16" i="61"/>
  <c r="J30" i="101"/>
  <c r="J19" i="61"/>
  <c r="J26" i="101"/>
  <c r="J15" i="61"/>
  <c r="J23" i="101"/>
  <c r="J11" i="61"/>
  <c r="J25" i="101"/>
  <c r="J14" i="61"/>
  <c r="J33" i="101"/>
  <c r="J21" i="61"/>
  <c r="J12" i="57"/>
  <c r="F33" i="101"/>
  <c r="J21" i="57"/>
  <c r="F25" i="101"/>
  <c r="J14" i="57"/>
  <c r="F23" i="101"/>
  <c r="J11" i="57"/>
  <c r="F27" i="101"/>
  <c r="J16" i="57"/>
  <c r="F26" i="101"/>
  <c r="J15" i="57"/>
  <c r="F29" i="101"/>
  <c r="J18" i="57"/>
  <c r="F32" i="101"/>
  <c r="J20" i="57"/>
  <c r="J17" i="57"/>
  <c r="F30" i="101"/>
  <c r="J19" i="57"/>
  <c r="G11" i="55"/>
  <c r="N24" i="101"/>
  <c r="J17" i="58"/>
  <c r="G27" i="101"/>
  <c r="J16" i="58"/>
  <c r="G33" i="101"/>
  <c r="J21" i="58"/>
  <c r="G32" i="101"/>
  <c r="J20" i="58"/>
  <c r="G30" i="101"/>
  <c r="J19" i="58"/>
  <c r="G26" i="101"/>
  <c r="J15" i="58"/>
  <c r="G29" i="101"/>
  <c r="J18" i="58"/>
  <c r="G25" i="101"/>
  <c r="J14" i="58"/>
  <c r="C27" i="101"/>
  <c r="J16" i="54"/>
  <c r="J19" i="54"/>
  <c r="C30" i="101"/>
  <c r="K22" i="72"/>
  <c r="L22" i="72" s="1"/>
  <c r="S33" i="101"/>
  <c r="K14" i="72"/>
  <c r="S25" i="101"/>
  <c r="J21" i="54"/>
  <c r="C33" i="101"/>
  <c r="K20" i="72"/>
  <c r="S30" i="101"/>
  <c r="C32" i="101"/>
  <c r="J20" i="54"/>
  <c r="J17" i="54"/>
  <c r="C26" i="101"/>
  <c r="J15" i="54"/>
  <c r="C29" i="101"/>
  <c r="J18" i="54"/>
  <c r="J14" i="54"/>
  <c r="C25" i="101"/>
  <c r="AQ17" i="101"/>
  <c r="N13" i="75"/>
  <c r="O13" i="75" s="1"/>
  <c r="P13" i="75" s="1"/>
  <c r="S27" i="101"/>
  <c r="K16" i="72"/>
  <c r="Y15" i="101"/>
  <c r="S32" i="101"/>
  <c r="K21" i="72"/>
  <c r="Y20" i="101"/>
  <c r="M21" i="78"/>
  <c r="S24" i="101"/>
  <c r="K13" i="72"/>
  <c r="L13" i="72" s="1"/>
  <c r="Y17" i="101"/>
  <c r="M19" i="78"/>
  <c r="S29" i="101"/>
  <c r="U22" i="75"/>
  <c r="V22" i="75" s="1"/>
  <c r="S26" i="101"/>
  <c r="K15" i="72"/>
  <c r="L15" i="72" s="1"/>
  <c r="M15" i="78"/>
  <c r="S28" i="101"/>
  <c r="I23" i="72"/>
  <c r="Y16" i="101"/>
  <c r="M18" i="78"/>
  <c r="U13" i="75"/>
  <c r="V13" i="75" s="1"/>
  <c r="C28" i="101"/>
  <c r="J28" i="101"/>
  <c r="F28" i="101"/>
  <c r="H28" i="101"/>
  <c r="G28" i="101"/>
  <c r="AQ20" i="101"/>
  <c r="AQ18" i="101"/>
  <c r="N42" i="124"/>
  <c r="AQ12" i="101"/>
  <c r="AQ16" i="101"/>
  <c r="AQ21" i="101"/>
  <c r="AQ11" i="101"/>
  <c r="O42" i="99"/>
  <c r="M11" i="122"/>
  <c r="N11" i="122" s="1"/>
  <c r="L14" i="97"/>
  <c r="M14" i="97" s="1"/>
  <c r="L50" i="97"/>
  <c r="M50" i="97" s="1"/>
  <c r="L56" i="97"/>
  <c r="M56" i="97" s="1"/>
  <c r="L22" i="97"/>
  <c r="M22" i="97" s="1"/>
  <c r="BV18" i="93"/>
  <c r="L35" i="97"/>
  <c r="M35" i="97" s="1"/>
  <c r="L51" i="97"/>
  <c r="M51" i="97" s="1"/>
  <c r="L30" i="97"/>
  <c r="M30" i="97" s="1"/>
  <c r="L44" i="97"/>
  <c r="M44" i="97" s="1"/>
  <c r="L45" i="97"/>
  <c r="M45" i="97" s="1"/>
  <c r="G23" i="64"/>
  <c r="T12" i="101"/>
  <c r="L29" i="97"/>
  <c r="M29" i="97" s="1"/>
  <c r="F23" i="57"/>
  <c r="L42" i="97"/>
  <c r="M42" i="97" s="1"/>
  <c r="L46" i="97"/>
  <c r="M46" i="97" s="1"/>
  <c r="L32" i="97"/>
  <c r="M32" i="97" s="1"/>
  <c r="L39" i="97"/>
  <c r="M39" i="97" s="1"/>
  <c r="O22" i="101"/>
  <c r="G13" i="55"/>
  <c r="F23" i="54"/>
  <c r="L27" i="97"/>
  <c r="M27" i="97" s="1"/>
  <c r="L52" i="97"/>
  <c r="M52" i="97" s="1"/>
  <c r="L53" i="97"/>
  <c r="M53" i="97" s="1"/>
  <c r="L31" i="97"/>
  <c r="M31" i="97" s="1"/>
  <c r="F23" i="72"/>
  <c r="AD22" i="101"/>
  <c r="AD36" i="101" s="1"/>
  <c r="F23" i="82"/>
  <c r="L58" i="97"/>
  <c r="M58" i="97" s="1"/>
  <c r="L20" i="97"/>
  <c r="M20" i="97" s="1"/>
  <c r="L21" i="97"/>
  <c r="M21" i="97" s="1"/>
  <c r="L33" i="97"/>
  <c r="M33" i="97" s="1"/>
  <c r="L36" i="97"/>
  <c r="M36" i="97" s="1"/>
  <c r="F23" i="61"/>
  <c r="F23" i="59"/>
  <c r="N22" i="75"/>
  <c r="O22" i="75" s="1"/>
  <c r="P22" i="75" s="1"/>
  <c r="L19" i="97"/>
  <c r="M19" i="97" s="1"/>
  <c r="M43" i="98"/>
  <c r="N43" i="98"/>
  <c r="L15" i="97"/>
  <c r="M15" i="97" s="1"/>
  <c r="S12" i="101"/>
  <c r="G23" i="72"/>
  <c r="L43" i="97"/>
  <c r="M43" i="97" s="1"/>
  <c r="L37" i="97"/>
  <c r="M37" i="97" s="1"/>
  <c r="L38" i="97"/>
  <c r="M38" i="97" s="1"/>
  <c r="L47" i="97"/>
  <c r="M47" i="97" s="1"/>
  <c r="L49" i="97"/>
  <c r="M49" i="97" s="1"/>
  <c r="L34" i="97"/>
  <c r="M34" i="97" s="1"/>
  <c r="L48" i="97"/>
  <c r="M48" i="97" s="1"/>
  <c r="F23" i="78"/>
  <c r="I23" i="78" s="1"/>
  <c r="AQ9" i="101" l="1"/>
  <c r="W107" i="96"/>
  <c r="W121" i="96" s="1"/>
  <c r="M17" i="78"/>
  <c r="J17" i="78"/>
  <c r="Y19" i="101"/>
  <c r="J16" i="78"/>
  <c r="E12" i="101"/>
  <c r="K13" i="56"/>
  <c r="I34" i="101"/>
  <c r="N19" i="75"/>
  <c r="O19" i="75" s="1"/>
  <c r="P19" i="75" s="1"/>
  <c r="T22" i="101"/>
  <c r="T36" i="101" s="1"/>
  <c r="G45" i="96" s="1"/>
  <c r="N12" i="122"/>
  <c r="J18" i="56"/>
  <c r="M23" i="78"/>
  <c r="N34" i="96"/>
  <c r="AL36" i="101"/>
  <c r="Q36" i="101"/>
  <c r="G42" i="96" s="1"/>
  <c r="M11" i="78"/>
  <c r="P12" i="110"/>
  <c r="R12" i="110" s="1"/>
  <c r="M47" i="99"/>
  <c r="K23" i="64"/>
  <c r="J23" i="61"/>
  <c r="J23" i="54"/>
  <c r="J23" i="57"/>
  <c r="J23" i="59"/>
  <c r="J23" i="58"/>
  <c r="AB36" i="101"/>
  <c r="N23" i="96" s="1"/>
  <c r="C22" i="114"/>
  <c r="P16" i="110"/>
  <c r="R16" i="110" s="1"/>
  <c r="P15" i="110"/>
  <c r="R15" i="110" s="1"/>
  <c r="N13" i="110"/>
  <c r="O13" i="110" s="1"/>
  <c r="Q13" i="110" s="1"/>
  <c r="AK13" i="110" s="1"/>
  <c r="AP13" i="110"/>
  <c r="N17" i="110"/>
  <c r="O17" i="110" s="1"/>
  <c r="Q17" i="110" s="1"/>
  <c r="AK17" i="110" s="1"/>
  <c r="AP17" i="110"/>
  <c r="N14" i="110"/>
  <c r="O14" i="110" s="1"/>
  <c r="P14" i="110" s="1"/>
  <c r="AP14" i="110"/>
  <c r="N21" i="110"/>
  <c r="O21" i="110" s="1"/>
  <c r="Q21" i="110" s="1"/>
  <c r="AK21" i="110" s="1"/>
  <c r="AP21" i="110"/>
  <c r="N18" i="110"/>
  <c r="O18" i="110" s="1"/>
  <c r="Q18" i="110" s="1"/>
  <c r="AK18" i="110" s="1"/>
  <c r="AP18" i="110"/>
  <c r="M16" i="78"/>
  <c r="Y14" i="101"/>
  <c r="L23" i="60"/>
  <c r="H22" i="55"/>
  <c r="H13" i="55"/>
  <c r="L13" i="97"/>
  <c r="M13" i="97" s="1"/>
  <c r="K42" i="69"/>
  <c r="P24" i="101"/>
  <c r="P34" i="101" s="1"/>
  <c r="Y18" i="101"/>
  <c r="X20" i="75"/>
  <c r="H12" i="55"/>
  <c r="E16" i="101"/>
  <c r="I22" i="101"/>
  <c r="J15" i="56"/>
  <c r="K15" i="56" s="1"/>
  <c r="J11" i="56"/>
  <c r="J19" i="56"/>
  <c r="K19" i="56" s="1"/>
  <c r="J16" i="56"/>
  <c r="K16" i="56" s="1"/>
  <c r="J14" i="56"/>
  <c r="K14" i="56" s="1"/>
  <c r="J20" i="56"/>
  <c r="K20" i="56" s="1"/>
  <c r="J17" i="56"/>
  <c r="K17" i="56" s="1"/>
  <c r="J21" i="56"/>
  <c r="P19" i="110"/>
  <c r="P20" i="110"/>
  <c r="R20" i="110" s="1"/>
  <c r="AK19" i="110"/>
  <c r="AK20" i="110"/>
  <c r="X22" i="75"/>
  <c r="V25" i="101"/>
  <c r="AA25" i="101" s="1"/>
  <c r="X15" i="75"/>
  <c r="X14" i="75"/>
  <c r="N11" i="110"/>
  <c r="O11" i="110" s="1"/>
  <c r="Q11" i="110" s="1"/>
  <c r="O36" i="101"/>
  <c r="G40" i="96" s="1"/>
  <c r="U16" i="75"/>
  <c r="N17" i="75"/>
  <c r="O17" i="75" s="1"/>
  <c r="P17" i="75" s="1"/>
  <c r="U17" i="75"/>
  <c r="V17" i="75" s="1"/>
  <c r="U19" i="75"/>
  <c r="V19" i="75" s="1"/>
  <c r="N16" i="75"/>
  <c r="X32" i="101"/>
  <c r="M23" i="75"/>
  <c r="G22" i="101"/>
  <c r="X22" i="101"/>
  <c r="L23" i="75"/>
  <c r="K34" i="101"/>
  <c r="J22" i="101"/>
  <c r="S22" i="101"/>
  <c r="H22" i="101"/>
  <c r="U12" i="75"/>
  <c r="V12" i="75" s="1"/>
  <c r="N12" i="75"/>
  <c r="O12" i="75" s="1"/>
  <c r="P12" i="75" s="1"/>
  <c r="U21" i="75"/>
  <c r="V21" i="75" s="1"/>
  <c r="V29" i="101" s="1"/>
  <c r="N21" i="75"/>
  <c r="X33" i="101"/>
  <c r="X29" i="101"/>
  <c r="O11" i="75"/>
  <c r="P11" i="75" s="1"/>
  <c r="U11" i="75"/>
  <c r="V11" i="75" s="1"/>
  <c r="V13" i="101"/>
  <c r="Y34" i="101"/>
  <c r="J23" i="77"/>
  <c r="H34" i="101"/>
  <c r="J34" i="101"/>
  <c r="N27" i="101"/>
  <c r="F22" i="101"/>
  <c r="N23" i="101"/>
  <c r="K22" i="101"/>
  <c r="F34" i="101"/>
  <c r="N33" i="101"/>
  <c r="N29" i="101"/>
  <c r="N26" i="101"/>
  <c r="N32" i="101"/>
  <c r="G34" i="101"/>
  <c r="N30" i="101"/>
  <c r="N25" i="101"/>
  <c r="AM19" i="101"/>
  <c r="G9" i="96"/>
  <c r="F7" i="96" s="1"/>
  <c r="K23" i="72"/>
  <c r="Y12" i="101"/>
  <c r="M13" i="78"/>
  <c r="L23" i="77"/>
  <c r="N25" i="96"/>
  <c r="S34" i="101"/>
  <c r="N28" i="101"/>
  <c r="C34" i="101"/>
  <c r="AM18" i="101"/>
  <c r="AM20" i="101"/>
  <c r="AM15" i="101"/>
  <c r="AQ22" i="101"/>
  <c r="AM14" i="101"/>
  <c r="AM12" i="101"/>
  <c r="AM13" i="101"/>
  <c r="AM16" i="101"/>
  <c r="M12" i="122"/>
  <c r="G23" i="55"/>
  <c r="V12" i="101"/>
  <c r="G22" i="110"/>
  <c r="C22" i="101"/>
  <c r="I22" i="55" l="1"/>
  <c r="J22" i="55"/>
  <c r="K22" i="55"/>
  <c r="E17" i="101"/>
  <c r="K21" i="56"/>
  <c r="I13" i="55"/>
  <c r="D12" i="101" s="1"/>
  <c r="N12" i="101" s="1"/>
  <c r="F13" i="76" s="1"/>
  <c r="J13" i="76" s="1"/>
  <c r="J13" i="55"/>
  <c r="K13" i="55"/>
  <c r="H18" i="55"/>
  <c r="K18" i="56"/>
  <c r="J12" i="55"/>
  <c r="K12" i="55"/>
  <c r="E14" i="101"/>
  <c r="K11" i="56"/>
  <c r="AQ36" i="101"/>
  <c r="G16" i="96"/>
  <c r="AJ25" i="101"/>
  <c r="M60" i="97"/>
  <c r="AM11" i="101"/>
  <c r="AM9" i="101" s="1"/>
  <c r="Y22" i="101"/>
  <c r="Y36" i="101" s="1"/>
  <c r="G50" i="96" s="1"/>
  <c r="AF20" i="110"/>
  <c r="AI20" i="110" s="1"/>
  <c r="AM20" i="110"/>
  <c r="AF15" i="110"/>
  <c r="AI15" i="110" s="1"/>
  <c r="AM15" i="110"/>
  <c r="AF12" i="110"/>
  <c r="AI12" i="110" s="1"/>
  <c r="AM12" i="110"/>
  <c r="AF16" i="110"/>
  <c r="AI16" i="110" s="1"/>
  <c r="AM16" i="110"/>
  <c r="V16" i="75"/>
  <c r="V31" i="101" s="1"/>
  <c r="AA31" i="101" s="1"/>
  <c r="AJ31" i="101" s="1"/>
  <c r="T12" i="110"/>
  <c r="AC12" i="110" s="1"/>
  <c r="P18" i="110"/>
  <c r="R18" i="110" s="1"/>
  <c r="P13" i="110"/>
  <c r="R13" i="110" s="1"/>
  <c r="Q14" i="110"/>
  <c r="AK14" i="110" s="1"/>
  <c r="AP22" i="110"/>
  <c r="P17" i="110"/>
  <c r="R17" i="110" s="1"/>
  <c r="P21" i="110"/>
  <c r="R21" i="110" s="1"/>
  <c r="I36" i="101"/>
  <c r="G33" i="96" s="1"/>
  <c r="V20" i="101"/>
  <c r="O21" i="75"/>
  <c r="P21" i="75" s="1"/>
  <c r="O16" i="75"/>
  <c r="J60" i="97"/>
  <c r="H20" i="55"/>
  <c r="H16" i="55"/>
  <c r="E19" i="101"/>
  <c r="H15" i="55"/>
  <c r="E13" i="101"/>
  <c r="H14" i="55"/>
  <c r="E20" i="101"/>
  <c r="H21" i="55"/>
  <c r="E21" i="101"/>
  <c r="H17" i="55"/>
  <c r="E18" i="101"/>
  <c r="H19" i="55"/>
  <c r="E11" i="101"/>
  <c r="H11" i="55"/>
  <c r="E15" i="101"/>
  <c r="V16" i="101"/>
  <c r="P11" i="110"/>
  <c r="V23" i="101"/>
  <c r="AA23" i="101" s="1"/>
  <c r="AJ23" i="101" s="1"/>
  <c r="X17" i="75"/>
  <c r="V24" i="101"/>
  <c r="AA24" i="101" s="1"/>
  <c r="AJ24" i="101" s="1"/>
  <c r="X13" i="75"/>
  <c r="V28" i="101"/>
  <c r="AA28" i="101" s="1"/>
  <c r="AJ28" i="101" s="1"/>
  <c r="X12" i="75"/>
  <c r="V27" i="101"/>
  <c r="AA27" i="101" s="1"/>
  <c r="AJ27" i="101" s="1"/>
  <c r="X19" i="75"/>
  <c r="V32" i="101"/>
  <c r="AA32" i="101" s="1"/>
  <c r="AJ32" i="101" s="1"/>
  <c r="V30" i="101"/>
  <c r="AA30" i="101" s="1"/>
  <c r="AJ30" i="101" s="1"/>
  <c r="V26" i="101"/>
  <c r="AA26" i="101" s="1"/>
  <c r="AJ26" i="101" s="1"/>
  <c r="X11" i="75"/>
  <c r="AJ15" i="110"/>
  <c r="T15" i="110"/>
  <c r="AC15" i="110" s="1"/>
  <c r="R19" i="110"/>
  <c r="V11" i="101"/>
  <c r="G36" i="101"/>
  <c r="G31" i="96" s="1"/>
  <c r="X34" i="101"/>
  <c r="X36" i="101" s="1"/>
  <c r="G49" i="96" s="1"/>
  <c r="H36" i="101"/>
  <c r="G32" i="96" s="1"/>
  <c r="K36" i="101"/>
  <c r="G35" i="96" s="1"/>
  <c r="J36" i="101"/>
  <c r="G34" i="96" s="1"/>
  <c r="V15" i="101"/>
  <c r="U23" i="75"/>
  <c r="S36" i="101"/>
  <c r="G44" i="96" s="1"/>
  <c r="J23" i="56"/>
  <c r="N23" i="75"/>
  <c r="AA29" i="101"/>
  <c r="AJ29" i="101" s="1"/>
  <c r="V18" i="101"/>
  <c r="V14" i="101"/>
  <c r="I12" i="55"/>
  <c r="V33" i="101"/>
  <c r="AA33" i="101" s="1"/>
  <c r="AJ33" i="101" s="1"/>
  <c r="T16" i="110"/>
  <c r="AJ16" i="110"/>
  <c r="AJ12" i="110"/>
  <c r="T20" i="110"/>
  <c r="AC20" i="110" s="1"/>
  <c r="AJ20" i="110"/>
  <c r="F36" i="101"/>
  <c r="G30" i="96" s="1"/>
  <c r="C36" i="101"/>
  <c r="G27" i="96" s="1"/>
  <c r="N34" i="101"/>
  <c r="F8" i="96"/>
  <c r="AM21" i="101"/>
  <c r="AM17" i="101"/>
  <c r="N44" i="96"/>
  <c r="AC22" i="101"/>
  <c r="AC36" i="101" s="1"/>
  <c r="N22" i="110"/>
  <c r="L60" i="97"/>
  <c r="V19" i="101" l="1"/>
  <c r="P16" i="75"/>
  <c r="J11" i="55"/>
  <c r="K11" i="55"/>
  <c r="C12" i="83"/>
  <c r="D12" i="83" s="1"/>
  <c r="AE12" i="101" s="1"/>
  <c r="I14" i="55"/>
  <c r="D20" i="101" s="1"/>
  <c r="N20" i="101" s="1"/>
  <c r="J14" i="55"/>
  <c r="K14" i="55"/>
  <c r="I17" i="55"/>
  <c r="D18" i="101" s="1"/>
  <c r="J17" i="55"/>
  <c r="K17" i="55"/>
  <c r="I16" i="55"/>
  <c r="J16" i="55"/>
  <c r="K16" i="55"/>
  <c r="I19" i="55"/>
  <c r="D15" i="101" s="1"/>
  <c r="N15" i="101" s="1"/>
  <c r="K19" i="55"/>
  <c r="J19" i="55"/>
  <c r="I15" i="55"/>
  <c r="D13" i="101" s="1"/>
  <c r="J15" i="55"/>
  <c r="K15" i="55"/>
  <c r="I20" i="55"/>
  <c r="D21" i="101" s="1"/>
  <c r="N21" i="101" s="1"/>
  <c r="J20" i="55"/>
  <c r="K20" i="55"/>
  <c r="I21" i="55"/>
  <c r="D17" i="101" s="1"/>
  <c r="N17" i="101" s="1"/>
  <c r="F21" i="76" s="1"/>
  <c r="J21" i="76" s="1"/>
  <c r="J21" i="55"/>
  <c r="K21" i="55"/>
  <c r="I18" i="55"/>
  <c r="J18" i="55"/>
  <c r="K18" i="55"/>
  <c r="V21" i="101"/>
  <c r="V17" i="101"/>
  <c r="AJ34" i="101"/>
  <c r="V23" i="75"/>
  <c r="R14" i="110"/>
  <c r="AF14" i="110" s="1"/>
  <c r="AI14" i="110" s="1"/>
  <c r="AR31" i="101"/>
  <c r="AF21" i="110"/>
  <c r="AI21" i="110" s="1"/>
  <c r="AM21" i="110"/>
  <c r="AF13" i="110"/>
  <c r="AI13" i="110" s="1"/>
  <c r="AM13" i="110"/>
  <c r="AF17" i="110"/>
  <c r="AI17" i="110" s="1"/>
  <c r="AM17" i="110"/>
  <c r="AF18" i="110"/>
  <c r="AI18" i="110" s="1"/>
  <c r="AM18" i="110"/>
  <c r="AF19" i="110"/>
  <c r="AI19" i="110" s="1"/>
  <c r="AM19" i="110"/>
  <c r="AJ19" i="110"/>
  <c r="T18" i="110"/>
  <c r="AC18" i="110" s="1"/>
  <c r="AJ13" i="110"/>
  <c r="T17" i="110"/>
  <c r="AC17" i="110" s="1"/>
  <c r="AC16" i="110"/>
  <c r="AH16" i="110" s="1"/>
  <c r="AN16" i="110" s="1"/>
  <c r="AS16" i="110" s="1"/>
  <c r="X16" i="75"/>
  <c r="O23" i="75"/>
  <c r="I11" i="55"/>
  <c r="H23" i="55"/>
  <c r="AR25" i="101"/>
  <c r="AR30" i="101"/>
  <c r="AR32" i="101"/>
  <c r="AR28" i="101"/>
  <c r="AR29" i="101"/>
  <c r="AR26" i="101"/>
  <c r="AR33" i="101"/>
  <c r="AR27" i="101"/>
  <c r="AR24" i="101"/>
  <c r="AR23" i="101"/>
  <c r="N13" i="101"/>
  <c r="X21" i="75"/>
  <c r="D11" i="101"/>
  <c r="N11" i="101" s="1"/>
  <c r="F18" i="76" s="1"/>
  <c r="J18" i="76" s="1"/>
  <c r="D19" i="101"/>
  <c r="N19" i="101" s="1"/>
  <c r="E22" i="101"/>
  <c r="E36" i="101" s="1"/>
  <c r="G29" i="96" s="1"/>
  <c r="AJ18" i="110"/>
  <c r="AJ17" i="110"/>
  <c r="AH15" i="110"/>
  <c r="T13" i="110"/>
  <c r="AC13" i="110" s="1"/>
  <c r="T21" i="110"/>
  <c r="AC21" i="110" s="1"/>
  <c r="AJ21" i="110"/>
  <c r="T19" i="110"/>
  <c r="AC19" i="110" s="1"/>
  <c r="V34" i="101"/>
  <c r="AA34" i="101"/>
  <c r="AH20" i="110"/>
  <c r="AH12" i="110"/>
  <c r="AM22" i="101"/>
  <c r="N24" i="96"/>
  <c r="R11" i="110"/>
  <c r="AM11" i="110" s="1"/>
  <c r="O22" i="110"/>
  <c r="AM36" i="101" l="1"/>
  <c r="N33" i="96"/>
  <c r="C17" i="83"/>
  <c r="V22" i="101"/>
  <c r="N18" i="101"/>
  <c r="C18" i="83" s="1"/>
  <c r="AJ14" i="110"/>
  <c r="T14" i="110"/>
  <c r="AC14" i="110" s="1"/>
  <c r="AH14" i="110" s="1"/>
  <c r="AM14" i="110"/>
  <c r="AR34" i="101"/>
  <c r="C16" i="108"/>
  <c r="AR16" i="110"/>
  <c r="AN16" i="101" s="1"/>
  <c r="X23" i="75"/>
  <c r="AF11" i="110"/>
  <c r="AI11" i="110" s="1"/>
  <c r="AH17" i="110"/>
  <c r="AN17" i="110" s="1"/>
  <c r="C19" i="83"/>
  <c r="D19" i="83" s="1"/>
  <c r="AE19" i="101" s="1"/>
  <c r="F16" i="76"/>
  <c r="J16" i="76" s="1"/>
  <c r="C20" i="83"/>
  <c r="D20" i="83" s="1"/>
  <c r="AE20" i="101" s="1"/>
  <c r="F14" i="76"/>
  <c r="J14" i="76" s="1"/>
  <c r="C15" i="83"/>
  <c r="D15" i="83" s="1"/>
  <c r="AE15" i="101" s="1"/>
  <c r="F19" i="76"/>
  <c r="J19" i="76" s="1"/>
  <c r="C21" i="83"/>
  <c r="D21" i="83" s="1"/>
  <c r="AE21" i="101" s="1"/>
  <c r="F20" i="76"/>
  <c r="J20" i="76" s="1"/>
  <c r="C13" i="83"/>
  <c r="D13" i="83" s="1"/>
  <c r="AE13" i="101" s="1"/>
  <c r="F15" i="76"/>
  <c r="J15" i="76" s="1"/>
  <c r="AH18" i="110"/>
  <c r="AN18" i="110" s="1"/>
  <c r="AS18" i="110" s="1"/>
  <c r="D14" i="101"/>
  <c r="N14" i="101" s="1"/>
  <c r="I23" i="55"/>
  <c r="AO16" i="101"/>
  <c r="AK16" i="101" s="1"/>
  <c r="AN20" i="110"/>
  <c r="AN15" i="110"/>
  <c r="AN12" i="110"/>
  <c r="D17" i="83"/>
  <c r="AE17" i="101" s="1"/>
  <c r="AH13" i="110"/>
  <c r="AH21" i="110"/>
  <c r="AH19" i="110"/>
  <c r="V36" i="101"/>
  <c r="G47" i="96" s="1"/>
  <c r="D16" i="101"/>
  <c r="P22" i="110"/>
  <c r="C11" i="83"/>
  <c r="D11" i="83" s="1"/>
  <c r="Q22" i="110"/>
  <c r="AK11" i="110"/>
  <c r="AK22" i="110" s="1"/>
  <c r="BC16" i="101" l="1"/>
  <c r="F17" i="76"/>
  <c r="J17" i="76" s="1"/>
  <c r="AN14" i="110"/>
  <c r="AR14" i="110" s="1"/>
  <c r="AN14" i="101" s="1"/>
  <c r="BB16" i="101"/>
  <c r="AR15" i="110"/>
  <c r="AN15" i="101" s="1"/>
  <c r="AS15" i="110"/>
  <c r="AO15" i="101" s="1"/>
  <c r="AK15" i="101" s="1"/>
  <c r="AR20" i="110"/>
  <c r="AN20" i="101" s="1"/>
  <c r="AS20" i="110"/>
  <c r="AO20" i="101" s="1"/>
  <c r="AK20" i="101" s="1"/>
  <c r="AR12" i="110"/>
  <c r="AN12" i="101" s="1"/>
  <c r="AS12" i="110"/>
  <c r="AO12" i="101" s="1"/>
  <c r="AK12" i="101" s="1"/>
  <c r="AR17" i="110"/>
  <c r="AN17" i="101" s="1"/>
  <c r="AS17" i="110"/>
  <c r="AO17" i="101" s="1"/>
  <c r="AK17" i="101" s="1"/>
  <c r="C18" i="108"/>
  <c r="AR18" i="110"/>
  <c r="AN18" i="101" s="1"/>
  <c r="C14" i="83"/>
  <c r="D14" i="83" s="1"/>
  <c r="AE14" i="101" s="1"/>
  <c r="F11" i="76"/>
  <c r="J11" i="76" s="1"/>
  <c r="AP16" i="101"/>
  <c r="AO18" i="101"/>
  <c r="AK18" i="101" s="1"/>
  <c r="AN13" i="110"/>
  <c r="AN19" i="110"/>
  <c r="C12" i="108"/>
  <c r="C17" i="108"/>
  <c r="C15" i="108"/>
  <c r="AN21" i="110"/>
  <c r="C20" i="108"/>
  <c r="D18" i="83"/>
  <c r="AE18" i="101" s="1"/>
  <c r="T11" i="110"/>
  <c r="AC11" i="110" s="1"/>
  <c r="N16" i="101"/>
  <c r="F12" i="76" s="1"/>
  <c r="J12" i="76" s="1"/>
  <c r="D22" i="101"/>
  <c r="R22" i="110"/>
  <c r="AJ11" i="110"/>
  <c r="AJ22" i="110" s="1"/>
  <c r="AM22" i="110"/>
  <c r="BC20" i="101" l="1"/>
  <c r="BC18" i="101"/>
  <c r="BC15" i="101"/>
  <c r="BC17" i="101"/>
  <c r="BC12" i="101"/>
  <c r="C14" i="108"/>
  <c r="AS14" i="110"/>
  <c r="AO14" i="101" s="1"/>
  <c r="AK14" i="101" s="1"/>
  <c r="BB12" i="101"/>
  <c r="BB17" i="101"/>
  <c r="BB15" i="101"/>
  <c r="BB18" i="101"/>
  <c r="BB20" i="101"/>
  <c r="AR21" i="110"/>
  <c r="AN21" i="101" s="1"/>
  <c r="AS21" i="110"/>
  <c r="AO21" i="101" s="1"/>
  <c r="AK21" i="101" s="1"/>
  <c r="AR19" i="110"/>
  <c r="AN19" i="101" s="1"/>
  <c r="AS19" i="110"/>
  <c r="AO19" i="101" s="1"/>
  <c r="AK19" i="101" s="1"/>
  <c r="AR13" i="110"/>
  <c r="AN13" i="101" s="1"/>
  <c r="AS13" i="110"/>
  <c r="AO13" i="101" s="1"/>
  <c r="AK13" i="101" s="1"/>
  <c r="C19" i="108"/>
  <c r="C21" i="108"/>
  <c r="AP18" i="101"/>
  <c r="AP17" i="101"/>
  <c r="C13" i="108"/>
  <c r="D36" i="101"/>
  <c r="G28" i="96" s="1"/>
  <c r="C16" i="83"/>
  <c r="D16" i="83" s="1"/>
  <c r="F22" i="76"/>
  <c r="N22" i="101"/>
  <c r="AF22" i="110"/>
  <c r="AI22" i="110"/>
  <c r="T22" i="110"/>
  <c r="AE11" i="101"/>
  <c r="G22" i="76" l="1"/>
  <c r="H22" i="76"/>
  <c r="BC21" i="101"/>
  <c r="BC19" i="101"/>
  <c r="BC13" i="101"/>
  <c r="C19" i="114"/>
  <c r="AP14" i="101"/>
  <c r="BB14" i="101"/>
  <c r="BB13" i="101"/>
  <c r="BB19" i="101"/>
  <c r="BB21" i="101"/>
  <c r="AH11" i="110"/>
  <c r="AN11" i="110" s="1"/>
  <c r="AP20" i="101"/>
  <c r="AP21" i="101"/>
  <c r="AP19" i="101"/>
  <c r="AP13" i="101"/>
  <c r="AP15" i="101"/>
  <c r="AP12" i="101"/>
  <c r="D22" i="83"/>
  <c r="C22" i="83"/>
  <c r="N36" i="101"/>
  <c r="G26" i="96" s="1"/>
  <c r="AC22" i="110"/>
  <c r="BC14" i="101" l="1"/>
  <c r="AR11" i="110"/>
  <c r="AN11" i="101" s="1"/>
  <c r="AS11" i="110"/>
  <c r="AO11" i="101" s="1"/>
  <c r="AO9" i="101" s="1"/>
  <c r="AK9" i="101" s="1"/>
  <c r="I22" i="76"/>
  <c r="AE16" i="101"/>
  <c r="AE22" i="101" s="1"/>
  <c r="AE36" i="101" s="1"/>
  <c r="AH22" i="110"/>
  <c r="AK11" i="101" l="1"/>
  <c r="AK22" i="101" s="1"/>
  <c r="AP11" i="101"/>
  <c r="W22" i="101"/>
  <c r="AN22" i="101"/>
  <c r="AR22" i="110"/>
  <c r="AS22" i="110"/>
  <c r="AO22" i="101"/>
  <c r="BB11" i="101"/>
  <c r="AN22" i="110"/>
  <c r="C11" i="108"/>
  <c r="BC11" i="101" l="1"/>
  <c r="N35" i="96"/>
  <c r="G14" i="96" s="1"/>
  <c r="AK36" i="101"/>
  <c r="W36" i="101"/>
  <c r="G48" i="96" s="1"/>
  <c r="AZ22" i="101"/>
  <c r="N26" i="96"/>
  <c r="N29" i="96" s="1"/>
  <c r="C22" i="108"/>
  <c r="AP22" i="101" l="1"/>
  <c r="G15" i="96" l="1"/>
  <c r="N39" i="96"/>
  <c r="AP36" i="101"/>
  <c r="R110" i="126"/>
  <c r="E12" i="126" l="1"/>
  <c r="E14" i="126" s="1"/>
  <c r="E15" i="126" s="1"/>
  <c r="E55" i="126"/>
  <c r="N111" i="126"/>
  <c r="O130" i="126" s="1"/>
  <c r="N143" i="126"/>
  <c r="N145" i="126" s="1"/>
  <c r="B60" i="115"/>
  <c r="E65" i="126" l="1"/>
  <c r="E24" i="126"/>
  <c r="E27" i="126"/>
  <c r="E56" i="126"/>
  <c r="N112" i="126"/>
  <c r="N117" i="126" s="1"/>
  <c r="N152" i="126"/>
  <c r="N150" i="126"/>
  <c r="N148" i="126"/>
  <c r="N154" i="126"/>
  <c r="O117" i="126" l="1"/>
  <c r="N125" i="126" s="1"/>
  <c r="R125" i="126"/>
  <c r="R129" i="126" s="1"/>
  <c r="E28" i="126"/>
  <c r="N115" i="126"/>
  <c r="O115" i="126" s="1"/>
  <c r="N124" i="126" s="1"/>
  <c r="N121" i="126"/>
  <c r="O121" i="126" s="1"/>
  <c r="N127" i="126" s="1"/>
  <c r="N119" i="126"/>
  <c r="O119" i="126" s="1"/>
  <c r="N126" i="126" s="1"/>
  <c r="N156" i="126"/>
  <c r="N130" i="126" l="1"/>
  <c r="F22" i="69"/>
  <c r="G25" i="69" l="1"/>
  <c r="G27" i="69"/>
  <c r="H41" i="69" l="1"/>
  <c r="H38" i="69"/>
  <c r="H31" i="69"/>
  <c r="H30" i="69"/>
  <c r="H35" i="69"/>
  <c r="G30" i="69"/>
  <c r="G39" i="69"/>
  <c r="G41" i="69"/>
  <c r="H39" i="69"/>
  <c r="H36" i="69" l="1"/>
  <c r="I39" i="69"/>
  <c r="L39" i="69" s="1"/>
  <c r="I30" i="69"/>
  <c r="I41" i="69"/>
  <c r="H33" i="69"/>
  <c r="H34" i="69"/>
  <c r="H40" i="69"/>
  <c r="H32" i="69"/>
  <c r="G38" i="69"/>
  <c r="I38" i="69" s="1"/>
  <c r="L38" i="69" s="1"/>
  <c r="G37" i="69"/>
  <c r="G36" i="69"/>
  <c r="G35" i="69"/>
  <c r="I35" i="69" s="1"/>
  <c r="L35" i="69" s="1"/>
  <c r="H37" i="69"/>
  <c r="G31" i="69"/>
  <c r="I31" i="69" s="1"/>
  <c r="L31" i="69" s="1"/>
  <c r="G33" i="69"/>
  <c r="G32" i="69"/>
  <c r="G40" i="69"/>
  <c r="G34" i="69"/>
  <c r="M41" i="69" l="1"/>
  <c r="L41" i="69"/>
  <c r="P14" i="101"/>
  <c r="AA14" i="101" s="1"/>
  <c r="L30" i="69"/>
  <c r="P15" i="101"/>
  <c r="M30" i="69"/>
  <c r="I36" i="69"/>
  <c r="BA14" i="101"/>
  <c r="I33" i="69"/>
  <c r="H42" i="69"/>
  <c r="I32" i="69"/>
  <c r="I40" i="69"/>
  <c r="I37" i="69"/>
  <c r="I34" i="69"/>
  <c r="M39" i="69"/>
  <c r="G42" i="69"/>
  <c r="P19" i="101"/>
  <c r="M35" i="69"/>
  <c r="M38" i="69"/>
  <c r="P13" i="101" l="1"/>
  <c r="L34" i="69"/>
  <c r="M36" i="69"/>
  <c r="L36" i="69"/>
  <c r="P21" i="101"/>
  <c r="BA21" i="101" s="1"/>
  <c r="L40" i="69"/>
  <c r="P11" i="101"/>
  <c r="AA11" i="101" s="1"/>
  <c r="AJ11" i="101" s="1"/>
  <c r="L37" i="69"/>
  <c r="P12" i="101"/>
  <c r="BA12" i="101" s="1"/>
  <c r="L32" i="69"/>
  <c r="M33" i="69"/>
  <c r="L33" i="69"/>
  <c r="AA15" i="101"/>
  <c r="AJ15" i="101" s="1"/>
  <c r="BA15" i="101"/>
  <c r="P17" i="101"/>
  <c r="BA17" i="101" s="1"/>
  <c r="AJ14" i="101"/>
  <c r="AR14" i="101" s="1"/>
  <c r="AV14" i="101" s="1"/>
  <c r="P18" i="101"/>
  <c r="P20" i="101"/>
  <c r="BA13" i="101"/>
  <c r="M40" i="69"/>
  <c r="M37" i="69"/>
  <c r="I42" i="69"/>
  <c r="BA11" i="101"/>
  <c r="M34" i="69"/>
  <c r="BA19" i="101"/>
  <c r="AA12" i="101"/>
  <c r="AJ12" i="101" s="1"/>
  <c r="AA13" i="101"/>
  <c r="AA19" i="101"/>
  <c r="AJ19" i="101" s="1"/>
  <c r="M32" i="69"/>
  <c r="P16" i="101"/>
  <c r="M31" i="69"/>
  <c r="AA21" i="101" l="1"/>
  <c r="AJ21" i="101" s="1"/>
  <c r="AZ15" i="101"/>
  <c r="E10" i="159" s="1"/>
  <c r="D10" i="159" s="1"/>
  <c r="AA17" i="101"/>
  <c r="AJ17" i="101" s="1"/>
  <c r="AR15" i="101"/>
  <c r="AV15" i="101" s="1"/>
  <c r="AZ14" i="101"/>
  <c r="E9" i="159" s="1"/>
  <c r="D9" i="159" s="1"/>
  <c r="AJ13" i="101"/>
  <c r="M42" i="69"/>
  <c r="AR21" i="101"/>
  <c r="AV21" i="101" s="1"/>
  <c r="AR12" i="101"/>
  <c r="AV12" i="101" s="1"/>
  <c r="AA18" i="101"/>
  <c r="BA18" i="101"/>
  <c r="AA20" i="101"/>
  <c r="BA20" i="101"/>
  <c r="AZ21" i="101"/>
  <c r="E16" i="159" s="1"/>
  <c r="D16" i="159" s="1"/>
  <c r="AZ12" i="101"/>
  <c r="E7" i="159" s="1"/>
  <c r="D7" i="159" s="1"/>
  <c r="BA16" i="101"/>
  <c r="AA16" i="101"/>
  <c r="P22" i="101"/>
  <c r="AA22" i="101" s="1"/>
  <c r="AJ22" i="101" s="1"/>
  <c r="AZ17" i="101" l="1"/>
  <c r="E12" i="159" s="1"/>
  <c r="D12" i="159" s="1"/>
  <c r="AR17" i="101"/>
  <c r="AV17" i="101" s="1"/>
  <c r="AZ13" i="101"/>
  <c r="E8" i="159" s="1"/>
  <c r="D8" i="159" s="1"/>
  <c r="AR13" i="101"/>
  <c r="AV13" i="101" s="1"/>
  <c r="AJ18" i="101"/>
  <c r="AJ16" i="101"/>
  <c r="AJ20" i="101"/>
  <c r="AR19" i="101"/>
  <c r="AV19" i="101" s="1"/>
  <c r="AR11" i="101"/>
  <c r="AV11" i="101" s="1"/>
  <c r="AZ11" i="101"/>
  <c r="E6" i="159" s="1"/>
  <c r="AZ19" i="101"/>
  <c r="E14" i="159" s="1"/>
  <c r="D14" i="159" s="1"/>
  <c r="P36" i="101"/>
  <c r="G41" i="96" s="1"/>
  <c r="AZ20" i="101" l="1"/>
  <c r="E15" i="159" s="1"/>
  <c r="D15" i="159" s="1"/>
  <c r="AJ36" i="101"/>
  <c r="AR16" i="101"/>
  <c r="AV16" i="101" s="1"/>
  <c r="AZ18" i="101"/>
  <c r="E13" i="159" s="1"/>
  <c r="D13" i="159" s="1"/>
  <c r="AR18" i="101"/>
  <c r="AV18" i="101" s="1"/>
  <c r="AZ16" i="101"/>
  <c r="E11" i="159" s="1"/>
  <c r="D11" i="159" s="1"/>
  <c r="AR20" i="101"/>
  <c r="AV20" i="101" s="1"/>
  <c r="AR22" i="101"/>
  <c r="AR36" i="101" s="1"/>
  <c r="C20" i="114"/>
  <c r="C24" i="114" s="1"/>
  <c r="D13" i="114" s="1"/>
  <c r="AA36" i="101"/>
  <c r="G39" i="96" s="1"/>
  <c r="B58" i="96" s="1"/>
  <c r="G13" i="96" l="1"/>
  <c r="G17" i="96" s="1"/>
  <c r="D6" i="159"/>
  <c r="E17" i="159"/>
  <c r="D17" i="159" s="1"/>
  <c r="AV22" i="101"/>
  <c r="E13" i="114"/>
  <c r="F53" i="96" l="1"/>
  <c r="D46" i="142"/>
  <c r="F52" i="96" l="1"/>
  <c r="F51" i="96"/>
  <c r="C21" i="142"/>
  <c r="D54" i="142" s="1"/>
  <c r="D55" i="142" s="1"/>
  <c r="F55" i="142" s="1"/>
  <c r="L55" i="142" s="1"/>
  <c r="B43" i="126"/>
  <c r="B44" i="126" s="1"/>
  <c r="F15" i="96"/>
  <c r="F16" i="96"/>
  <c r="F43" i="96"/>
  <c r="F42" i="96"/>
  <c r="F28" i="96"/>
  <c r="M24" i="96"/>
  <c r="F36" i="96"/>
  <c r="F14" i="96"/>
  <c r="F32" i="96"/>
  <c r="F27" i="96"/>
  <c r="M25" i="96"/>
  <c r="F89" i="115"/>
  <c r="F39" i="96"/>
  <c r="F50" i="96"/>
  <c r="M26" i="96"/>
  <c r="M44" i="96"/>
  <c r="E77" i="126"/>
  <c r="F29" i="96"/>
  <c r="F41" i="96"/>
  <c r="F26" i="96"/>
  <c r="M35" i="96"/>
  <c r="F34" i="96"/>
  <c r="M33" i="96"/>
  <c r="F49" i="96"/>
  <c r="M28" i="96"/>
  <c r="M34" i="96"/>
  <c r="C103" i="126"/>
  <c r="E17" i="126" s="1"/>
  <c r="E18" i="126" s="1"/>
  <c r="E19" i="126" s="1"/>
  <c r="M39" i="96"/>
  <c r="F46" i="96"/>
  <c r="F40" i="96"/>
  <c r="F35" i="96"/>
  <c r="E36" i="126"/>
  <c r="E37" i="126" s="1"/>
  <c r="E38" i="126" s="1"/>
  <c r="B43" i="115"/>
  <c r="B44" i="115" s="1"/>
  <c r="M22" i="96"/>
  <c r="F31" i="96"/>
  <c r="F47" i="96"/>
  <c r="M27" i="96"/>
  <c r="F33" i="96"/>
  <c r="F37" i="96"/>
  <c r="F30" i="96"/>
  <c r="M23" i="96"/>
  <c r="F44" i="96"/>
  <c r="B77" i="126"/>
  <c r="B78" i="126" s="1"/>
  <c r="B79" i="126" s="1"/>
  <c r="F45" i="96"/>
  <c r="B77" i="115"/>
  <c r="B78" i="115" s="1"/>
  <c r="B79" i="115" s="1"/>
  <c r="F48" i="96"/>
  <c r="F13" i="96"/>
  <c r="D48" i="142"/>
  <c r="D47" i="142"/>
  <c r="D27" i="142"/>
  <c r="D29" i="142" s="1"/>
  <c r="F54" i="142" l="1"/>
  <c r="J55" i="142" s="1"/>
  <c r="J56" i="142" s="1"/>
  <c r="F53" i="142"/>
  <c r="I55" i="142" s="1"/>
  <c r="I56" i="142" s="1"/>
  <c r="F56" i="142"/>
  <c r="M55" i="142" s="1"/>
  <c r="R111" i="126"/>
  <c r="R112" i="126" s="1"/>
  <c r="E67" i="126"/>
  <c r="E68" i="126" s="1"/>
  <c r="E69" i="126" s="1"/>
  <c r="F48" i="142"/>
  <c r="M46" i="142" s="1"/>
  <c r="M47" i="142" s="1"/>
  <c r="F45" i="142"/>
  <c r="I46" i="142" s="1"/>
  <c r="I47" i="142" s="1"/>
  <c r="L56" i="142"/>
  <c r="F46" i="142"/>
  <c r="F47" i="142"/>
  <c r="D38" i="142"/>
  <c r="D39" i="142" s="1"/>
  <c r="D30" i="142"/>
  <c r="D31" i="142"/>
  <c r="D28" i="142"/>
  <c r="D37" i="142"/>
  <c r="F57" i="142" l="1"/>
  <c r="E78" i="126"/>
  <c r="E79" i="126" s="1"/>
  <c r="J46" i="142"/>
  <c r="J47" i="142" s="1"/>
  <c r="L46" i="142"/>
  <c r="L47" i="142" s="1"/>
  <c r="N55" i="142"/>
  <c r="K34" i="142"/>
  <c r="F35" i="142"/>
  <c r="F36" i="142"/>
  <c r="F49" i="142"/>
  <c r="F38" i="142"/>
  <c r="F37" i="142"/>
  <c r="N46" i="142" l="1"/>
  <c r="K36" i="142"/>
  <c r="K45" i="142"/>
  <c r="K54" i="142" s="1"/>
  <c r="F39" i="142"/>
  <c r="K56" i="142" l="1"/>
  <c r="K47" i="142"/>
  <c r="N45" i="142"/>
  <c r="N47" i="142" s="1"/>
  <c r="K51" i="142" s="1"/>
  <c r="M54" i="142" s="1"/>
  <c r="M56" i="142" s="1"/>
  <c r="N54" i="142" l="1"/>
  <c r="N56" i="142" s="1"/>
  <c r="K59" i="1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K45" authorId="0" shapeId="0" xr:uid="{00000000-0006-0000-0500-000001000000}">
      <text>
        <r>
          <rPr>
            <b/>
            <sz val="9"/>
            <color indexed="81"/>
            <rFont val="Tahoma"/>
            <family val="2"/>
          </rPr>
          <t>April Wilson:</t>
        </r>
        <r>
          <rPr>
            <sz val="9"/>
            <color indexed="81"/>
            <rFont val="Tahoma"/>
            <family val="2"/>
          </rPr>
          <t xml:space="preserve">
Adjusted to only include current fiscal year funding (23,393 was removed as it was funding for a correction to an error from previous fiscal)
</t>
        </r>
      </text>
    </comment>
    <comment ref="K54" authorId="0" shapeId="0" xr:uid="{00000000-0006-0000-0500-000002000000}">
      <text>
        <r>
          <rPr>
            <b/>
            <sz val="9"/>
            <color indexed="81"/>
            <rFont val="Tahoma"/>
            <family val="2"/>
          </rPr>
          <t>April Wilson:</t>
        </r>
        <r>
          <rPr>
            <sz val="9"/>
            <color indexed="81"/>
            <rFont val="Tahoma"/>
            <family val="2"/>
          </rPr>
          <t xml:space="preserve">
Adjusted to only include current fiscal year funding (23,393 was removed as it was funding for a correction to an error from previous fiscal)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D12" authorId="0" shapeId="0" xr:uid="{00000000-0006-0000-0600-000001000000}">
      <text>
        <r>
          <rPr>
            <b/>
            <sz val="9"/>
            <color indexed="81"/>
            <rFont val="Tahoma"/>
            <family val="2"/>
          </rPr>
          <t>Alice Wan:</t>
        </r>
        <r>
          <rPr>
            <sz val="9"/>
            <color indexed="81"/>
            <rFont val="Tahoma"/>
            <family val="2"/>
          </rPr>
          <t xml:space="preserve">
Should the amount be $33,060,369? Was 32,380,519 which is the mid year total </t>
        </r>
      </text>
    </comment>
    <comment ref="D13" authorId="0" shapeId="0" xr:uid="{00000000-0006-0000-0600-000002000000}">
      <text>
        <r>
          <rPr>
            <b/>
            <sz val="9"/>
            <color indexed="81"/>
            <rFont val="Tahoma"/>
            <family val="2"/>
          </rPr>
          <t>Alice Wan:</t>
        </r>
        <r>
          <rPr>
            <sz val="9"/>
            <color indexed="81"/>
            <rFont val="Tahoma"/>
            <family val="2"/>
          </rPr>
          <t xml:space="preserve">
Initial.. Mid year..?? Where do we update the amount?? Using the initial for now. </t>
        </r>
      </text>
    </comment>
    <comment ref="E13" authorId="0" shapeId="0" xr:uid="{00000000-0006-0000-0600-000003000000}">
      <text>
        <r>
          <rPr>
            <b/>
            <sz val="9"/>
            <color indexed="81"/>
            <rFont val="Tahoma"/>
            <family val="2"/>
          </rPr>
          <t>Alice Wan:</t>
        </r>
        <r>
          <rPr>
            <sz val="9"/>
            <color indexed="81"/>
            <rFont val="Tahoma"/>
            <family val="2"/>
          </rPr>
          <t xml:space="preserve">
was using 32,380,519</t>
        </r>
      </text>
    </comment>
    <comment ref="D15" authorId="0" shapeId="0" xr:uid="{00000000-0006-0000-0600-000004000000}">
      <text>
        <r>
          <rPr>
            <b/>
            <sz val="9"/>
            <color indexed="81"/>
            <rFont val="Tahoma"/>
            <family val="2"/>
          </rPr>
          <t>Alice Wan:</t>
        </r>
        <r>
          <rPr>
            <sz val="9"/>
            <color indexed="81"/>
            <rFont val="Tahoma"/>
            <family val="2"/>
          </rPr>
          <t xml:space="preserve">
what is thi??
Why is this repreated in H?</t>
        </r>
      </text>
    </comment>
    <comment ref="E15" authorId="0" shapeId="0" xr:uid="{00000000-0006-0000-0600-000005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D17" authorId="0" shapeId="0" xr:uid="{00000000-0006-0000-0600-000006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Y25" authorId="0" shapeId="0" xr:uid="{00000000-0006-0000-0600-000007000000}">
      <text>
        <r>
          <rPr>
            <b/>
            <sz val="9"/>
            <color indexed="81"/>
            <rFont val="Tahoma"/>
            <family val="2"/>
          </rPr>
          <t>Alice Wan:</t>
        </r>
        <r>
          <rPr>
            <sz val="9"/>
            <color indexed="81"/>
            <rFont val="Tahoma"/>
            <family val="2"/>
          </rPr>
          <t xml:space="preserve">
was using 32,380,519</t>
        </r>
      </text>
    </comment>
    <comment ref="A53" authorId="0" shapeId="0" xr:uid="{00000000-0006-0000-0600-000008000000}">
      <text>
        <r>
          <rPr>
            <b/>
            <sz val="9"/>
            <color indexed="81"/>
            <rFont val="Tahoma"/>
            <family val="2"/>
          </rPr>
          <t>Alice Wan:</t>
        </r>
        <r>
          <rPr>
            <sz val="9"/>
            <color indexed="81"/>
            <rFont val="Tahoma"/>
            <family val="2"/>
          </rPr>
          <t xml:space="preserve">
Should the amount be $33,060,369? Was 32,380,519 which is the mid year total </t>
        </r>
      </text>
    </comment>
    <comment ref="A54" authorId="0" shapeId="0" xr:uid="{00000000-0006-0000-0600-000009000000}">
      <text>
        <r>
          <rPr>
            <b/>
            <sz val="9"/>
            <color indexed="81"/>
            <rFont val="Tahoma"/>
            <family val="2"/>
          </rPr>
          <t>Alice Wan:</t>
        </r>
        <r>
          <rPr>
            <sz val="9"/>
            <color indexed="81"/>
            <rFont val="Tahoma"/>
            <family val="2"/>
          </rPr>
          <t xml:space="preserve">
Initial.. Mid year..?? Where do we update the amount?? Using the initial for now. </t>
        </r>
      </text>
    </comment>
    <comment ref="B54" authorId="0" shapeId="0" xr:uid="{00000000-0006-0000-0600-00000A000000}">
      <text>
        <r>
          <rPr>
            <b/>
            <sz val="9"/>
            <color indexed="81"/>
            <rFont val="Tahoma"/>
            <family val="2"/>
          </rPr>
          <t>Alice Wan:</t>
        </r>
        <r>
          <rPr>
            <sz val="9"/>
            <color indexed="81"/>
            <rFont val="Tahoma"/>
            <family val="2"/>
          </rPr>
          <t xml:space="preserve">
was using 32,380,519</t>
        </r>
      </text>
    </comment>
    <comment ref="A56" authorId="0" shapeId="0" xr:uid="{00000000-0006-0000-0600-00000B000000}">
      <text>
        <r>
          <rPr>
            <b/>
            <sz val="9"/>
            <color indexed="81"/>
            <rFont val="Tahoma"/>
            <family val="2"/>
          </rPr>
          <t>Alice Wan:</t>
        </r>
        <r>
          <rPr>
            <sz val="9"/>
            <color indexed="81"/>
            <rFont val="Tahoma"/>
            <family val="2"/>
          </rPr>
          <t xml:space="preserve">
what is thi??
Why is this repreated in H?</t>
        </r>
      </text>
    </comment>
    <comment ref="B56" authorId="0" shapeId="0" xr:uid="{00000000-0006-0000-0600-00000C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A58" authorId="0" shapeId="0" xr:uid="{00000000-0006-0000-0600-00000D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F112" authorId="0" shapeId="0" xr:uid="{00000000-0006-0000-0600-00000E000000}">
      <text>
        <r>
          <rPr>
            <b/>
            <sz val="9"/>
            <color indexed="81"/>
            <rFont val="Tahoma"/>
            <family val="2"/>
          </rPr>
          <t>Alice Wan:</t>
        </r>
        <r>
          <rPr>
            <sz val="9"/>
            <color indexed="81"/>
            <rFont val="Tahoma"/>
            <family val="2"/>
          </rPr>
          <t xml:space="preserve">
Based on the FNSS overview, transfers  and formula updates section, the funding calculations should be based on this value. For some reason, the value in red (33,006,370) was used in the funding services document (10179260)</t>
        </r>
      </text>
    </comment>
    <comment ref="B113" authorId="0" shapeId="0" xr:uid="{00000000-0006-0000-0600-00000F000000}">
      <text>
        <r>
          <rPr>
            <b/>
            <sz val="9"/>
            <color indexed="81"/>
            <rFont val="Tahoma"/>
            <family val="2"/>
          </rPr>
          <t>Alice Wan:</t>
        </r>
        <r>
          <rPr>
            <sz val="9"/>
            <color indexed="81"/>
            <rFont val="Tahoma"/>
            <family val="2"/>
          </rPr>
          <t xml:space="preserve">
From document 10179260 V5B</t>
        </r>
      </text>
    </comment>
    <comment ref="F113" authorId="0" shapeId="0" xr:uid="{00000000-0006-0000-0600-000010000000}">
      <text>
        <r>
          <rPr>
            <b/>
            <sz val="9"/>
            <color indexed="81"/>
            <rFont val="Tahoma"/>
            <family val="2"/>
          </rPr>
          <t>Alice Wan:</t>
        </r>
        <r>
          <rPr>
            <sz val="9"/>
            <color indexed="81"/>
            <rFont val="Tahoma"/>
            <family val="2"/>
          </rPr>
          <t xml:space="preserve">
from page 2 of document 10179260 V5B</t>
        </r>
      </text>
    </comment>
    <comment ref="J113" authorId="0" shapeId="0" xr:uid="{00000000-0006-0000-0600-000011000000}">
      <text>
        <r>
          <rPr>
            <b/>
            <sz val="9"/>
            <color indexed="81"/>
            <rFont val="Tahoma"/>
            <family val="2"/>
          </rPr>
          <t>Alice Wan:</t>
        </r>
        <r>
          <rPr>
            <sz val="9"/>
            <color indexed="81"/>
            <rFont val="Tahoma"/>
            <family val="2"/>
          </rPr>
          <t xml:space="preserve">
from page 2 of document 10645452 V4A- FNSS Funding formula Mid-Year. Cell C31</t>
        </r>
      </text>
    </comment>
    <comment ref="R113" authorId="0" shapeId="0" xr:uid="{00000000-0006-0000-0600-000012000000}">
      <text>
        <r>
          <rPr>
            <b/>
            <sz val="9"/>
            <color indexed="81"/>
            <rFont val="Tahoma"/>
            <family val="2"/>
          </rPr>
          <t>Alice Wan:</t>
        </r>
        <r>
          <rPr>
            <sz val="9"/>
            <color indexed="81"/>
            <rFont val="Tahoma"/>
            <family val="2"/>
          </rPr>
          <t xml:space="preserve">
from page 2 of document 10645452 V4A- FNSS Funding formula Mid-Year. Cell C31</t>
        </r>
      </text>
    </comment>
    <comment ref="G115" authorId="0" shapeId="0" xr:uid="{00000000-0006-0000-0600-000013000000}">
      <text>
        <r>
          <rPr>
            <b/>
            <sz val="9"/>
            <color indexed="81"/>
            <rFont val="Tahoma"/>
            <family val="2"/>
          </rPr>
          <t>Alice Wan:</t>
        </r>
        <r>
          <rPr>
            <sz val="9"/>
            <color indexed="81"/>
            <rFont val="Tahoma"/>
            <family val="2"/>
          </rPr>
          <t xml:space="preserve">
This is the amount to be added to the forecast april amount to get to the new april 1 transfer amount (A2)</t>
        </r>
      </text>
    </comment>
    <comment ref="K115" authorId="0" shapeId="0" xr:uid="{00000000-0006-0000-0600-000014000000}">
      <text>
        <r>
          <rPr>
            <b/>
            <sz val="9"/>
            <color indexed="81"/>
            <rFont val="Tahoma"/>
            <family val="2"/>
          </rPr>
          <t>Alice Wan:</t>
        </r>
        <r>
          <rPr>
            <sz val="9"/>
            <color indexed="81"/>
            <rFont val="Tahoma"/>
            <family val="2"/>
          </rPr>
          <t xml:space="preserve">
We issued a noba in april to bring the april 30% cashflow amount up to A2. July Noba for April now needs to calculate the difference between our A3 and A2 amounts</t>
        </r>
      </text>
    </comment>
    <comment ref="K117" authorId="0" shapeId="0" xr:uid="{00000000-0006-0000-0600-000015000000}">
      <text>
        <r>
          <rPr>
            <b/>
            <sz val="9"/>
            <color indexed="81"/>
            <rFont val="Tahoma"/>
            <family val="2"/>
          </rPr>
          <t>Alice Wan:</t>
        </r>
        <r>
          <rPr>
            <sz val="9"/>
            <color indexed="81"/>
            <rFont val="Tahoma"/>
            <family val="2"/>
          </rPr>
          <t xml:space="preserve">
The July adjusment has not yet been done so we will calculate the noba based on difference of J3 and J1.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A53" authorId="0" shapeId="0" xr:uid="{00000000-0006-0000-0700-000001000000}">
      <text>
        <r>
          <rPr>
            <b/>
            <sz val="9"/>
            <color indexed="81"/>
            <rFont val="Tahoma"/>
            <family val="2"/>
          </rPr>
          <t>Alice Wan:</t>
        </r>
        <r>
          <rPr>
            <sz val="9"/>
            <color indexed="81"/>
            <rFont val="Tahoma"/>
            <family val="2"/>
          </rPr>
          <t xml:space="preserve">
Should the amount be $33,060,369? Was 32,380,519 which is the mid year total </t>
        </r>
      </text>
    </comment>
    <comment ref="A54" authorId="0" shapeId="0" xr:uid="{00000000-0006-0000-0700-000002000000}">
      <text>
        <r>
          <rPr>
            <b/>
            <sz val="9"/>
            <color indexed="81"/>
            <rFont val="Tahoma"/>
            <family val="2"/>
          </rPr>
          <t>Alice Wan:</t>
        </r>
        <r>
          <rPr>
            <sz val="9"/>
            <color indexed="81"/>
            <rFont val="Tahoma"/>
            <family val="2"/>
          </rPr>
          <t xml:space="preserve">
Initial.. Mid year..?? Where do we update the amount?? Using the initial for now. </t>
        </r>
      </text>
    </comment>
    <comment ref="B54" authorId="0" shapeId="0" xr:uid="{00000000-0006-0000-0700-000003000000}">
      <text>
        <r>
          <rPr>
            <b/>
            <sz val="9"/>
            <color indexed="81"/>
            <rFont val="Tahoma"/>
            <family val="2"/>
          </rPr>
          <t>Alice Wan:</t>
        </r>
        <r>
          <rPr>
            <sz val="9"/>
            <color indexed="81"/>
            <rFont val="Tahoma"/>
            <family val="2"/>
          </rPr>
          <t xml:space="preserve">
was using 32,380,519</t>
        </r>
      </text>
    </comment>
    <comment ref="A56" authorId="0" shapeId="0" xr:uid="{00000000-0006-0000-0700-000004000000}">
      <text>
        <r>
          <rPr>
            <b/>
            <sz val="9"/>
            <color indexed="81"/>
            <rFont val="Tahoma"/>
            <family val="2"/>
          </rPr>
          <t>Alice Wan:</t>
        </r>
        <r>
          <rPr>
            <sz val="9"/>
            <color indexed="81"/>
            <rFont val="Tahoma"/>
            <family val="2"/>
          </rPr>
          <t xml:space="preserve">
what is thi??
Why is this repreated in H?</t>
        </r>
      </text>
    </comment>
    <comment ref="B56" authorId="0" shapeId="0" xr:uid="{00000000-0006-0000-0700-000005000000}">
      <text>
        <r>
          <rPr>
            <b/>
            <sz val="9"/>
            <color indexed="81"/>
            <rFont val="Tahoma"/>
            <family val="2"/>
          </rPr>
          <t>Alice Wan:</t>
        </r>
        <r>
          <rPr>
            <sz val="9"/>
            <color indexed="81"/>
            <rFont val="Tahoma"/>
            <family val="2"/>
          </rPr>
          <t xml:space="preserve">
has changed based on updated numbers above. In the Document 10179260 V5B (funding projections 2018-19 FY) dated July 4, 2018, the values used for initial 2018-19 FY is $32,380,519</t>
        </r>
      </text>
    </comment>
    <comment ref="A58" authorId="0" shapeId="0" xr:uid="{00000000-0006-0000-0700-000006000000}">
      <text>
        <r>
          <rPr>
            <b/>
            <sz val="9"/>
            <color indexed="81"/>
            <rFont val="Tahoma"/>
            <family val="2"/>
          </rPr>
          <t>Alice Wan:</t>
        </r>
        <r>
          <rPr>
            <sz val="9"/>
            <color indexed="81"/>
            <rFont val="Tahoma"/>
            <family val="2"/>
          </rPr>
          <t xml:space="preserve">
What is this…
looks like this is the noba amount based on the change to mid year july total for the 30% only..</t>
        </r>
      </text>
    </comment>
    <comment ref="T113" authorId="0" shapeId="0" xr:uid="{00000000-0006-0000-0700-000007000000}">
      <text>
        <r>
          <rPr>
            <b/>
            <sz val="9"/>
            <color indexed="81"/>
            <rFont val="Tahoma"/>
            <family val="2"/>
          </rPr>
          <t>Alice Wan:</t>
        </r>
        <r>
          <rPr>
            <sz val="9"/>
            <color indexed="81"/>
            <rFont val="Tahoma"/>
            <family val="2"/>
          </rPr>
          <t xml:space="preserve">
was using 32,380,519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tc={CDDF7796-6E62-8A4D-A122-65C45427201F}</author>
  </authors>
  <commentList>
    <comment ref="AC61" authorId="0" shapeId="0" xr:uid="{CDDF7796-6E62-8A4D-A122-65C45427201F}">
      <text>
        <t xml:space="preserve">[Threaded comment]
Your version of Excel allows you to read this threaded comment; however, any edits to it will get removed if the file is opened in a newer version of Excel. Learn more: https://go.microsoft.com/fwlink/?linkid=870924
Comment:
    Just averaged, hard to desegregate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Alice Wan</author>
  </authors>
  <commentList>
    <comment ref="AQ10" authorId="0" shapeId="0" xr:uid="{00000000-0006-0000-0900-000001000000}">
      <text>
        <r>
          <rPr>
            <b/>
            <sz val="9"/>
            <color rgb="FF000000"/>
            <rFont val="Tahoma"/>
            <family val="2"/>
          </rPr>
          <t>Alice Wan:</t>
        </r>
        <r>
          <rPr>
            <sz val="9"/>
            <color rgb="FF000000"/>
            <rFont val="Tahoma"/>
            <family val="2"/>
          </rPr>
          <t xml:space="preserve">
</t>
        </r>
        <r>
          <rPr>
            <sz val="9"/>
            <color rgb="FF000000"/>
            <rFont val="Tahoma"/>
            <family val="2"/>
          </rPr>
          <t xml:space="preserve">added PHP students 18-21, which receive slightly less- no chaperones (15- south, 500 north)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J7" authorId="0" shapeId="0" xr:uid="{00000000-0006-0000-1000-000001000000}">
      <text>
        <r>
          <rPr>
            <b/>
            <sz val="9"/>
            <color indexed="81"/>
            <rFont val="Tahoma"/>
            <family val="2"/>
          </rPr>
          <t>April Wilson:</t>
        </r>
        <r>
          <rPr>
            <sz val="9"/>
            <color indexed="81"/>
            <rFont val="Tahoma"/>
            <family val="2"/>
          </rPr>
          <t xml:space="preserve">
Dermined in Regional Workbook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April Wilson</author>
    <author>Author</author>
  </authors>
  <commentList>
    <comment ref="F9" authorId="0" shapeId="0" xr:uid="{00000000-0006-0000-1800-000001000000}">
      <text>
        <r>
          <rPr>
            <b/>
            <sz val="9"/>
            <color indexed="81"/>
            <rFont val="Tahoma"/>
            <family val="2"/>
          </rPr>
          <t>April Wilson:</t>
        </r>
        <r>
          <rPr>
            <sz val="9"/>
            <color indexed="81"/>
            <rFont val="Tahoma"/>
            <family val="2"/>
          </rPr>
          <t xml:space="preserve">
Data from Regional workbook
</t>
        </r>
      </text>
    </comment>
    <comment ref="G25" authorId="1" shapeId="0" xr:uid="{00000000-0006-0000-1800-000002000000}">
      <text>
        <r>
          <rPr>
            <b/>
            <sz val="9"/>
            <color indexed="81"/>
            <rFont val="Tahoma"/>
            <family val="2"/>
          </rPr>
          <t>Author:</t>
        </r>
        <r>
          <rPr>
            <sz val="9"/>
            <color indexed="81"/>
            <rFont val="Tahoma"/>
            <family val="2"/>
          </rPr>
          <t xml:space="preserve">
Check- this was 156.60 last year. 
Rate goes down this year because there are 510 extra students and the total number of students is in the denominator of this equation.</t>
        </r>
      </text>
    </comment>
    <comment ref="G27" authorId="1" shapeId="0" xr:uid="{00000000-0006-0000-1800-000003000000}">
      <text>
        <r>
          <rPr>
            <b/>
            <sz val="9"/>
            <color indexed="81"/>
            <rFont val="Tahoma"/>
            <family val="2"/>
          </rPr>
          <t>Author:</t>
        </r>
        <r>
          <rPr>
            <sz val="9"/>
            <color indexed="81"/>
            <rFont val="Tahoma"/>
            <family val="2"/>
          </rPr>
          <t xml:space="preserve">
check- this was 638.08 last year.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F4" authorId="0" shapeId="0" xr:uid="{00000000-0006-0000-1900-000001000000}">
      <text>
        <r>
          <rPr>
            <b/>
            <sz val="9"/>
            <color indexed="81"/>
            <rFont val="Tahoma"/>
            <family val="2"/>
          </rPr>
          <t>April Wilson:</t>
        </r>
        <r>
          <rPr>
            <sz val="9"/>
            <color indexed="81"/>
            <rFont val="Tahoma"/>
            <family val="2"/>
          </rPr>
          <t xml:space="preserve">
Previous value: $953,948
</t>
        </r>
      </text>
    </comment>
    <comment ref="F5" authorId="0" shapeId="0" xr:uid="{00000000-0006-0000-1900-000002000000}">
      <text>
        <r>
          <rPr>
            <b/>
            <sz val="9"/>
            <color indexed="81"/>
            <rFont val="Tahoma"/>
            <family val="2"/>
          </rPr>
          <t>April Wilson:</t>
        </r>
        <r>
          <rPr>
            <sz val="9"/>
            <color indexed="81"/>
            <rFont val="Tahoma"/>
            <family val="2"/>
          </rPr>
          <t xml:space="preserve">
Prev: 2841
Previous Value: 2,913
</t>
        </r>
      </text>
    </comment>
    <comment ref="F6" authorId="0" shapeId="0" xr:uid="{00000000-0006-0000-1900-000003000000}">
      <text>
        <r>
          <rPr>
            <b/>
            <sz val="9"/>
            <color indexed="81"/>
            <rFont val="Tahoma"/>
            <family val="2"/>
          </rPr>
          <t>April Wilson:</t>
        </r>
        <r>
          <rPr>
            <sz val="9"/>
            <color indexed="81"/>
            <rFont val="Tahoma"/>
            <family val="2"/>
          </rPr>
          <t xml:space="preserve">
Previous value: $327.48
Prvious Value 2018: 478.63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I4" authorId="0" shapeId="0" xr:uid="{00000000-0006-0000-1A00-000001000000}">
      <text>
        <r>
          <rPr>
            <b/>
            <sz val="9"/>
            <color indexed="81"/>
            <rFont val="Tahoma"/>
            <family val="2"/>
          </rPr>
          <t>April Wilson:</t>
        </r>
        <r>
          <rPr>
            <sz val="9"/>
            <color indexed="81"/>
            <rFont val="Tahoma"/>
            <family val="2"/>
          </rPr>
          <t xml:space="preserve">
Previous value: 36.8%
previous 27.9%
</t>
        </r>
      </text>
    </comment>
    <comment ref="I5" authorId="0" shapeId="0" xr:uid="{00000000-0006-0000-1A00-000002000000}">
      <text>
        <r>
          <rPr>
            <b/>
            <sz val="9"/>
            <color indexed="81"/>
            <rFont val="Tahoma"/>
            <family val="2"/>
          </rPr>
          <t>April Wilson:</t>
        </r>
        <r>
          <rPr>
            <sz val="9"/>
            <color indexed="81"/>
            <rFont val="Tahoma"/>
            <family val="2"/>
          </rPr>
          <t xml:space="preserve">
Previous Value: 2,256.5
Previous 2018: 2210.9
</t>
        </r>
      </text>
    </comment>
    <comment ref="I6" authorId="0" shapeId="0" xr:uid="{00000000-0006-0000-1A00-000003000000}">
      <text>
        <r>
          <rPr>
            <b/>
            <sz val="9"/>
            <color indexed="81"/>
            <rFont val="Tahoma"/>
            <family val="2"/>
          </rPr>
          <t>April Wilson:</t>
        </r>
        <r>
          <rPr>
            <sz val="9"/>
            <color indexed="81"/>
            <rFont val="Tahoma"/>
            <family val="2"/>
          </rPr>
          <t xml:space="preserve">
Previous Value: 831.4
previous 617.5
</t>
        </r>
      </text>
    </comment>
    <comment ref="I7" authorId="0" shapeId="0" xr:uid="{00000000-0006-0000-1A00-000004000000}">
      <text>
        <r>
          <rPr>
            <b/>
            <sz val="9"/>
            <color indexed="81"/>
            <rFont val="Tahoma"/>
            <family val="2"/>
          </rPr>
          <t>April Wilson:</t>
        </r>
        <r>
          <rPr>
            <sz val="9"/>
            <color indexed="81"/>
            <rFont val="Tahoma"/>
            <family val="2"/>
          </rPr>
          <t xml:space="preserve">
Previous Value: 750
Previous 2018 value: 0
</t>
        </r>
      </text>
    </comment>
    <comment ref="I8" authorId="0" shapeId="0" xr:uid="{00000000-0006-0000-1A00-000005000000}">
      <text>
        <r>
          <rPr>
            <b/>
            <sz val="9"/>
            <color indexed="81"/>
            <rFont val="Tahoma"/>
            <family val="2"/>
          </rPr>
          <t>April Wilson:</t>
        </r>
        <r>
          <rPr>
            <sz val="9"/>
            <color indexed="81"/>
            <rFont val="Tahoma"/>
            <family val="2"/>
          </rPr>
          <t xml:space="preserve">
Previous Value: $0.90
Previous value 2018: 0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4" authorId="0" shapeId="0" xr:uid="{00000000-0006-0000-1B00-000001000000}">
      <text>
        <r>
          <rPr>
            <b/>
            <sz val="9"/>
            <color indexed="81"/>
            <rFont val="Tahoma"/>
            <family val="2"/>
          </rPr>
          <t>April Wilson:</t>
        </r>
        <r>
          <rPr>
            <sz val="9"/>
            <color indexed="81"/>
            <rFont val="Tahoma"/>
            <family val="2"/>
          </rPr>
          <t xml:space="preserve">
Previous value: $851,750
</t>
        </r>
      </text>
    </comment>
    <comment ref="G5" authorId="0" shapeId="0" xr:uid="{00000000-0006-0000-1B00-000002000000}">
      <text>
        <r>
          <rPr>
            <b/>
            <sz val="9"/>
            <color indexed="81"/>
            <rFont val="Tahoma"/>
            <family val="2"/>
          </rPr>
          <t>April Wilson:</t>
        </r>
        <r>
          <rPr>
            <sz val="9"/>
            <color indexed="81"/>
            <rFont val="Tahoma"/>
            <family val="2"/>
          </rPr>
          <t xml:space="preserve">
Previous Value: 2256.5</t>
        </r>
      </text>
    </comment>
    <comment ref="G6" authorId="0" shapeId="0" xr:uid="{00000000-0006-0000-1B00-000003000000}">
      <text>
        <r>
          <rPr>
            <b/>
            <sz val="9"/>
            <color indexed="81"/>
            <rFont val="Tahoma"/>
            <family val="2"/>
          </rPr>
          <t>April Wilson:</t>
        </r>
        <r>
          <rPr>
            <sz val="9"/>
            <color indexed="81"/>
            <rFont val="Tahoma"/>
            <family val="2"/>
          </rPr>
          <t xml:space="preserve">
Previous Value: $443.66
Prev 2018: 452.81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10" authorId="0" shapeId="0" xr:uid="{00000000-0006-0000-1C00-000001000000}">
      <text>
        <r>
          <rPr>
            <b/>
            <sz val="9"/>
            <color indexed="81"/>
            <rFont val="Tahoma"/>
            <family val="2"/>
          </rPr>
          <t>April Wilson:</t>
        </r>
        <r>
          <rPr>
            <sz val="9"/>
            <color indexed="81"/>
            <rFont val="Tahoma"/>
            <family val="2"/>
          </rPr>
          <t xml:space="preserve">
NR template updated from last year and no longer includes this field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2" authorId="0" shapeId="0" xr:uid="{00000000-0006-0000-2000-000001000000}">
      <text>
        <r>
          <rPr>
            <b/>
            <sz val="9"/>
            <color indexed="81"/>
            <rFont val="Tahoma"/>
            <family val="2"/>
          </rPr>
          <t>Author:</t>
        </r>
        <r>
          <rPr>
            <sz val="9"/>
            <color indexed="81"/>
            <rFont val="Tahoma"/>
            <family val="2"/>
          </rPr>
          <t xml:space="preserve">
moved from northern to isolated based on table recommendation Nov 20</t>
        </r>
      </text>
    </comment>
    <comment ref="F43" authorId="0" shapeId="0" xr:uid="{00000000-0006-0000-2000-000002000000}">
      <text>
        <r>
          <rPr>
            <b/>
            <sz val="9"/>
            <color indexed="81"/>
            <rFont val="Tahoma"/>
            <family val="2"/>
          </rPr>
          <t>Author:</t>
        </r>
        <r>
          <rPr>
            <sz val="9"/>
            <color indexed="81"/>
            <rFont val="Tahoma"/>
            <family val="2"/>
          </rPr>
          <t xml:space="preserve">
added 33% to base rate for northern schools</t>
        </r>
      </text>
    </comment>
    <comment ref="C44" authorId="0" shapeId="0" xr:uid="{00000000-0006-0000-2000-000003000000}">
      <text>
        <r>
          <rPr>
            <b/>
            <sz val="9"/>
            <color indexed="81"/>
            <rFont val="Tahoma"/>
            <family val="2"/>
          </rPr>
          <t>Author:</t>
        </r>
        <r>
          <rPr>
            <sz val="9"/>
            <color indexed="81"/>
            <rFont val="Tahoma"/>
            <family val="2"/>
          </rPr>
          <t xml:space="preserve">
moved from isolated to northern based on table recommendation Nov 20</t>
        </r>
      </text>
    </comment>
    <comment ref="F50" authorId="0" shapeId="0" xr:uid="{00000000-0006-0000-2000-000004000000}">
      <text>
        <r>
          <rPr>
            <b/>
            <sz val="9"/>
            <color indexed="81"/>
            <rFont val="Tahoma"/>
            <family val="2"/>
          </rPr>
          <t>Author:</t>
        </r>
        <r>
          <rPr>
            <sz val="9"/>
            <color indexed="81"/>
            <rFont val="Tahoma"/>
            <family val="2"/>
          </rPr>
          <t xml:space="preserve">
based on Funding of Schools Northern Allowance rate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AG3" authorId="0" shapeId="0" xr:uid="{00000000-0006-0000-2400-000001000000}">
      <text>
        <r>
          <rPr>
            <b/>
            <sz val="9"/>
            <color indexed="81"/>
            <rFont val="Tahoma"/>
            <family val="2"/>
          </rPr>
          <t>April Wilson:</t>
        </r>
        <r>
          <rPr>
            <sz val="9"/>
            <color indexed="81"/>
            <rFont val="Tahoma"/>
            <family val="2"/>
          </rPr>
          <t xml:space="preserve">
https://www.edu.gov.mb.ca/k12/schools/gts.html</t>
        </r>
      </text>
    </comment>
    <comment ref="T5" authorId="0" shapeId="0" xr:uid="{00000000-0006-0000-2400-000002000000}">
      <text>
        <r>
          <rPr>
            <b/>
            <sz val="9"/>
            <color indexed="81"/>
            <rFont val="Tahoma"/>
            <family val="2"/>
          </rPr>
          <t>April Wilson:</t>
        </r>
        <r>
          <rPr>
            <sz val="9"/>
            <color indexed="81"/>
            <rFont val="Tahoma"/>
            <family val="2"/>
          </rPr>
          <t xml:space="preserve">
0-99 students
</t>
        </r>
      </text>
    </comment>
    <comment ref="T6" authorId="0" shapeId="0" xr:uid="{00000000-0006-0000-2400-000003000000}">
      <text>
        <r>
          <rPr>
            <b/>
            <sz val="9"/>
            <color indexed="81"/>
            <rFont val="Tahoma"/>
            <family val="2"/>
          </rPr>
          <t>April Wilson:</t>
        </r>
        <r>
          <rPr>
            <sz val="9"/>
            <color indexed="81"/>
            <rFont val="Tahoma"/>
            <family val="2"/>
          </rPr>
          <t xml:space="preserve">
100-199
</t>
        </r>
      </text>
    </comment>
    <comment ref="T7" authorId="0" shapeId="0" xr:uid="{00000000-0006-0000-2400-000004000000}">
      <text>
        <r>
          <rPr>
            <b/>
            <sz val="9"/>
            <color indexed="81"/>
            <rFont val="Tahoma"/>
            <family val="2"/>
          </rPr>
          <t>April Wilson:</t>
        </r>
        <r>
          <rPr>
            <sz val="9"/>
            <color indexed="81"/>
            <rFont val="Tahoma"/>
            <family val="2"/>
          </rPr>
          <t xml:space="preserve">
200+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G4" authorId="0" shapeId="0" xr:uid="{00000000-0006-0000-2800-000001000000}">
      <text>
        <r>
          <rPr>
            <b/>
            <sz val="9"/>
            <color indexed="81"/>
            <rFont val="Tahoma"/>
            <family val="2"/>
          </rPr>
          <t>April Wilson:</t>
        </r>
        <r>
          <rPr>
            <sz val="9"/>
            <color indexed="81"/>
            <rFont val="Tahoma"/>
            <family val="2"/>
          </rPr>
          <t xml:space="preserve">
Prev: 2.22
Previous value: $2.26</t>
        </r>
      </text>
    </comment>
    <comment ref="G5" authorId="0" shapeId="0" xr:uid="{00000000-0006-0000-2800-000002000000}">
      <text>
        <r>
          <rPr>
            <b/>
            <sz val="9"/>
            <color indexed="81"/>
            <rFont val="Tahoma"/>
            <family val="2"/>
          </rPr>
          <t>April Wilson:</t>
        </r>
        <r>
          <rPr>
            <sz val="9"/>
            <color indexed="81"/>
            <rFont val="Tahoma"/>
            <family val="2"/>
          </rPr>
          <t xml:space="preserve">
Previous: 42.88
Previous value: 42.60</t>
        </r>
      </text>
    </comment>
    <comment ref="G6" authorId="0" shapeId="0" xr:uid="{00000000-0006-0000-2800-000003000000}">
      <text>
        <r>
          <rPr>
            <b/>
            <sz val="9"/>
            <color indexed="81"/>
            <rFont val="Tahoma"/>
            <family val="2"/>
          </rPr>
          <t>April Wilson:</t>
        </r>
        <r>
          <rPr>
            <sz val="9"/>
            <color indexed="81"/>
            <rFont val="Tahoma"/>
            <family val="2"/>
          </rPr>
          <t xml:space="preserve">
Prev: 17.82
Previous value: $17.75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4" authorId="0" shapeId="0" xr:uid="{00000000-0006-0000-2C00-000001000000}">
      <text>
        <r>
          <rPr>
            <b/>
            <sz val="9"/>
            <color indexed="81"/>
            <rFont val="Tahoma"/>
            <family val="2"/>
          </rPr>
          <t>April Wilson:</t>
        </r>
        <r>
          <rPr>
            <sz val="9"/>
            <color indexed="81"/>
            <rFont val="Tahoma"/>
            <family val="2"/>
          </rPr>
          <t xml:space="preserve">
Prev Value: 547,036,854</t>
        </r>
      </text>
    </comment>
    <comment ref="F4" authorId="0" shapeId="0" xr:uid="{00000000-0006-0000-2C00-000002000000}">
      <text>
        <r>
          <rPr>
            <b/>
            <sz val="9"/>
            <color indexed="81"/>
            <rFont val="Tahoma"/>
            <family val="2"/>
          </rPr>
          <t>April Wilson:</t>
        </r>
        <r>
          <rPr>
            <sz val="9"/>
            <color indexed="81"/>
            <rFont val="Tahoma"/>
            <family val="2"/>
          </rPr>
          <t xml:space="preserve">
Prev value: 22.22%
Prev 2018: 23.08%</t>
        </r>
      </text>
    </comment>
    <comment ref="D5" authorId="0" shapeId="0" xr:uid="{00000000-0006-0000-2C00-000003000000}">
      <text>
        <r>
          <rPr>
            <b/>
            <sz val="9"/>
            <color indexed="81"/>
            <rFont val="Tahoma"/>
            <family val="2"/>
          </rPr>
          <t>April Wilson:</t>
        </r>
        <r>
          <rPr>
            <sz val="9"/>
            <color indexed="81"/>
            <rFont val="Tahoma"/>
            <family val="2"/>
          </rPr>
          <t xml:space="preserve">
Prev value: 121,571,000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7" authorId="0" shapeId="0" xr:uid="{00000000-0006-0000-2D00-000001000000}">
      <text>
        <r>
          <rPr>
            <b/>
            <sz val="9"/>
            <color indexed="81"/>
            <rFont val="Tahoma"/>
            <family val="2"/>
          </rPr>
          <t>April Wilson:</t>
        </r>
        <r>
          <rPr>
            <sz val="9"/>
            <color indexed="81"/>
            <rFont val="Tahoma"/>
            <family val="2"/>
          </rPr>
          <t xml:space="preserve">
Used to be $604.59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D7" authorId="0" shapeId="0" xr:uid="{00000000-0006-0000-2E00-000001000000}">
      <text>
        <r>
          <rPr>
            <b/>
            <sz val="9"/>
            <color indexed="81"/>
            <rFont val="Tahoma"/>
            <family val="2"/>
          </rPr>
          <t>April Wilson:</t>
        </r>
        <r>
          <rPr>
            <sz val="9"/>
            <color indexed="81"/>
            <rFont val="Tahoma"/>
            <family val="2"/>
          </rPr>
          <t xml:space="preserve">
Was $604.59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April Wilson</author>
    <author>Alice Wan</author>
    <author>Phoebe Mitton</author>
  </authors>
  <commentList>
    <comment ref="BV8" authorId="0" shapeId="0" xr:uid="{00000000-0006-0000-3500-000001000000}">
      <text>
        <r>
          <rPr>
            <b/>
            <sz val="9"/>
            <color indexed="81"/>
            <rFont val="Tahoma"/>
            <family val="2"/>
          </rPr>
          <t>April Wilson:</t>
        </r>
        <r>
          <rPr>
            <sz val="9"/>
            <color indexed="81"/>
            <rFont val="Tahoma"/>
            <family val="2"/>
          </rPr>
          <t xml:space="preserve">
Changed from Lakeshore to Frontier
</t>
        </r>
      </text>
    </comment>
    <comment ref="CW8" authorId="0" shapeId="0" xr:uid="{00000000-0006-0000-3500-000002000000}">
      <text>
        <r>
          <rPr>
            <b/>
            <sz val="9"/>
            <color indexed="81"/>
            <rFont val="Tahoma"/>
            <family val="2"/>
          </rPr>
          <t>April Wilson:</t>
        </r>
        <r>
          <rPr>
            <sz val="9"/>
            <color indexed="81"/>
            <rFont val="Tahoma"/>
            <family val="2"/>
          </rPr>
          <t xml:space="preserve">
Corrected to remove Winnipeg school no longer in use.</t>
        </r>
      </text>
    </comment>
    <comment ref="BR25" authorId="0" shapeId="0" xr:uid="{00000000-0006-0000-3500-000003000000}">
      <text>
        <r>
          <rPr>
            <b/>
            <sz val="9"/>
            <color indexed="81"/>
            <rFont val="Tahoma"/>
            <family val="2"/>
          </rPr>
          <t>April Wilson:</t>
        </r>
        <r>
          <rPr>
            <sz val="9"/>
            <color indexed="81"/>
            <rFont val="Tahoma"/>
            <family val="2"/>
          </rPr>
          <t xml:space="preserve">
Changed from Lakeshore to Frontier
</t>
        </r>
      </text>
    </comment>
    <comment ref="CS25" authorId="1" shapeId="0" xr:uid="{00000000-0006-0000-3500-000004000000}">
      <text>
        <r>
          <rPr>
            <b/>
            <sz val="9"/>
            <color indexed="81"/>
            <rFont val="Tahoma"/>
            <family val="2"/>
          </rPr>
          <t>Alice Wan:</t>
        </r>
        <r>
          <rPr>
            <sz val="9"/>
            <color indexed="81"/>
            <rFont val="Tahoma"/>
            <family val="2"/>
          </rPr>
          <t xml:space="preserve">
updated 2020
 </t>
        </r>
      </text>
    </comment>
    <comment ref="CS27" authorId="0" shapeId="0" xr:uid="{00000000-0006-0000-3500-000005000000}">
      <text>
        <r>
          <rPr>
            <b/>
            <sz val="9"/>
            <color indexed="81"/>
            <rFont val="Tahoma"/>
            <family val="2"/>
          </rPr>
          <t>April Wilson:</t>
        </r>
        <r>
          <rPr>
            <sz val="9"/>
            <color indexed="81"/>
            <rFont val="Tahoma"/>
            <family val="2"/>
          </rPr>
          <t xml:space="preserve">
updated 2020
</t>
        </r>
      </text>
    </comment>
    <comment ref="CL40" authorId="1" shapeId="0" xr:uid="{00000000-0006-0000-3500-000006000000}">
      <text>
        <r>
          <rPr>
            <b/>
            <sz val="9"/>
            <color indexed="81"/>
            <rFont val="Tahoma"/>
            <family val="2"/>
          </rPr>
          <t>Alice Wan:</t>
        </r>
        <r>
          <rPr>
            <sz val="9"/>
            <color indexed="81"/>
            <rFont val="Tahoma"/>
            <family val="2"/>
          </rPr>
          <t xml:space="preserve">
was 17007.7 in 17-18 mid year. Change to reflect the ICMS data in the 19-20 workbook since it represents data we pulled in fall of 2018 and is therefore current and updated. </t>
        </r>
      </text>
    </comment>
    <comment ref="CR40" authorId="1" shapeId="0" xr:uid="{00000000-0006-0000-3500-000007000000}">
      <text>
        <r>
          <rPr>
            <b/>
            <sz val="9"/>
            <color indexed="81"/>
            <rFont val="Tahoma"/>
            <family val="2"/>
          </rPr>
          <t>Alice Wan:</t>
        </r>
        <r>
          <rPr>
            <sz val="9"/>
            <color indexed="81"/>
            <rFont val="Tahoma"/>
            <family val="2"/>
          </rPr>
          <t xml:space="preserve">
was 1</t>
        </r>
      </text>
    </comment>
    <comment ref="S42" authorId="2" shapeId="0" xr:uid="{00000000-0006-0000-3500-000008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Y42" authorId="2" shapeId="0" xr:uid="{00000000-0006-0000-3500-000009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
This was 14 previously</t>
        </r>
      </text>
    </comment>
    <comment ref="AP42" authorId="2" shapeId="0" xr:uid="{00000000-0006-0000-3500-00000A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AV42" authorId="2" shapeId="0" xr:uid="{00000000-0006-0000-3500-00000B000000}">
      <text>
        <r>
          <rPr>
            <b/>
            <sz val="9"/>
            <color indexed="81"/>
            <rFont val="Tahoma"/>
            <family val="2"/>
          </rPr>
          <t>Phoebe Mitton:</t>
        </r>
        <r>
          <rPr>
            <sz val="9"/>
            <color indexed="81"/>
            <rFont val="Tahoma"/>
            <family val="2"/>
          </rPr>
          <t xml:space="preserve">
Half of the students in Grade 12 are assumed to be over the age of 21. Approximately half of the students reported on the 2016-17 NR in Grade 12 were over 21 years old.</t>
        </r>
      </text>
    </comment>
    <comment ref="CL44" authorId="1" shapeId="0" xr:uid="{00000000-0006-0000-3500-00000C000000}">
      <text>
        <r>
          <rPr>
            <b/>
            <sz val="9"/>
            <color indexed="81"/>
            <rFont val="Tahoma"/>
            <family val="2"/>
          </rPr>
          <t>Alice Wan:</t>
        </r>
        <r>
          <rPr>
            <sz val="9"/>
            <color indexed="81"/>
            <rFont val="Tahoma"/>
            <family val="2"/>
          </rPr>
          <t xml:space="preserve">
the new LSM school is up and running. The new Sq. M is 4032. This was previously 2486 in the mid year update from summer. </t>
        </r>
      </text>
    </comment>
    <comment ref="CR46" authorId="1" shapeId="0" xr:uid="{00000000-0006-0000-3500-00000D000000}">
      <text>
        <r>
          <rPr>
            <b/>
            <sz val="9"/>
            <color indexed="81"/>
            <rFont val="Tahoma"/>
            <family val="2"/>
          </rPr>
          <t>Alice Wan:</t>
        </r>
        <r>
          <rPr>
            <sz val="9"/>
            <color indexed="81"/>
            <rFont val="Tahoma"/>
            <family val="2"/>
          </rPr>
          <t xml:space="preserve">
was 2</t>
        </r>
      </text>
    </comment>
    <comment ref="CV47" authorId="1" shapeId="0" xr:uid="{00000000-0006-0000-3500-00000E000000}">
      <text>
        <r>
          <rPr>
            <b/>
            <sz val="9"/>
            <color indexed="81"/>
            <rFont val="Tahoma"/>
            <family val="2"/>
          </rPr>
          <t>Alice Wan:</t>
        </r>
        <r>
          <rPr>
            <sz val="9"/>
            <color indexed="81"/>
            <rFont val="Tahoma"/>
            <family val="2"/>
          </rPr>
          <t xml:space="preserve">
new was 0 before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AV474" authorId="0" shapeId="0" xr:uid="{00000000-0006-0000-3600-000001000000}">
      <text>
        <r>
          <rPr>
            <b/>
            <sz val="9"/>
            <color indexed="81"/>
            <rFont val="Tahoma"/>
            <family val="2"/>
          </rPr>
          <t>Phoebe Mitton:</t>
        </r>
        <r>
          <rPr>
            <sz val="9"/>
            <color indexed="81"/>
            <rFont val="Tahoma"/>
            <family val="2"/>
          </rPr>
          <t xml:space="preserve">
This student would be in PHP by necessity, but was not reported as a PHP student on the nominal roll.</t>
        </r>
      </text>
    </comment>
    <comment ref="AV513" authorId="0" shapeId="0" xr:uid="{00000000-0006-0000-3600-000002000000}">
      <text>
        <r>
          <rPr>
            <b/>
            <sz val="9"/>
            <color indexed="81"/>
            <rFont val="Tahoma"/>
            <family val="2"/>
          </rPr>
          <t>Phoebe Mitton:</t>
        </r>
        <r>
          <rPr>
            <sz val="9"/>
            <color indexed="81"/>
            <rFont val="Tahoma"/>
            <family val="2"/>
          </rPr>
          <t xml:space="preserve">
Student not reported as being in PHP, but would be eligible if all the other students are eligible in the context of flooding.</t>
        </r>
      </text>
    </comment>
    <comment ref="AV519" authorId="0" shapeId="0" xr:uid="{00000000-0006-0000-3600-000003000000}">
      <text>
        <r>
          <rPr>
            <b/>
            <sz val="9"/>
            <color indexed="81"/>
            <rFont val="Tahoma"/>
            <family val="2"/>
          </rPr>
          <t>Phoebe Mitton:</t>
        </r>
        <r>
          <rPr>
            <sz val="9"/>
            <color indexed="81"/>
            <rFont val="Tahoma"/>
            <family val="2"/>
          </rPr>
          <t xml:space="preserve">
This student was not reported as being in PHP, but would by necessity given the distance from the First Nation.</t>
        </r>
      </text>
    </comment>
    <comment ref="AV534" authorId="0" shapeId="0" xr:uid="{00000000-0006-0000-3600-000004000000}">
      <text>
        <r>
          <rPr>
            <b/>
            <sz val="9"/>
            <color indexed="81"/>
            <rFont val="Tahoma"/>
            <family val="2"/>
          </rPr>
          <t>Phoebe Mitton:</t>
        </r>
        <r>
          <rPr>
            <sz val="9"/>
            <color indexed="81"/>
            <rFont val="Tahoma"/>
            <family val="2"/>
          </rPr>
          <t xml:space="preserve">
Attending out of province, but would be eligilble for PHP because the First Nations is remote and all grade 10-12 students need to live outside of the First Nation for high school.</t>
        </r>
      </text>
    </comment>
    <comment ref="AW564" authorId="0" shapeId="0" xr:uid="{00000000-0006-0000-3600-000005000000}">
      <text>
        <r>
          <rPr>
            <b/>
            <sz val="9"/>
            <color indexed="81"/>
            <rFont val="Tahoma"/>
            <family val="2"/>
          </rPr>
          <t xml:space="preserve">Phoebe Mitton:
</t>
        </r>
        <r>
          <rPr>
            <sz val="9"/>
            <color indexed="81"/>
            <rFont val="Tahoma"/>
            <family val="2"/>
          </rPr>
          <t>One student was reported ain 5-day room &amp; board. Student is not</t>
        </r>
        <r>
          <rPr>
            <b/>
            <sz val="9"/>
            <color indexed="81"/>
            <rFont val="Tahoma"/>
            <family val="2"/>
          </rPr>
          <t xml:space="preserve"> </t>
        </r>
        <r>
          <rPr>
            <sz val="9"/>
            <color indexed="81"/>
            <rFont val="Tahoma"/>
            <family val="2"/>
          </rPr>
          <t>eligible for funding because of distance between the First Nation of residence and the provincial school (less than 80 km).</t>
        </r>
      </text>
    </comment>
    <comment ref="AT568" authorId="0" shapeId="0" xr:uid="{00000000-0006-0000-3600-000006000000}">
      <text>
        <r>
          <rPr>
            <b/>
            <sz val="9"/>
            <color indexed="81"/>
            <rFont val="Tahoma"/>
            <family val="2"/>
          </rPr>
          <t>Phoebe Mitton:</t>
        </r>
        <r>
          <rPr>
            <sz val="9"/>
            <color indexed="81"/>
            <rFont val="Tahoma"/>
            <family val="2"/>
          </rPr>
          <t xml:space="preserve">
This student would be in PHP by necessity, but was not reported as a PHP student on the nominal roll.</t>
        </r>
      </text>
    </comment>
    <comment ref="AT607" authorId="0" shapeId="0" xr:uid="{00000000-0006-0000-3600-000007000000}">
      <text>
        <r>
          <rPr>
            <b/>
            <sz val="9"/>
            <color indexed="81"/>
            <rFont val="Tahoma"/>
            <family val="2"/>
          </rPr>
          <t>Phoebe Mitton:</t>
        </r>
        <r>
          <rPr>
            <sz val="9"/>
            <color indexed="81"/>
            <rFont val="Tahoma"/>
            <family val="2"/>
          </rPr>
          <t xml:space="preserve">
Student not reported as being in PHP, but would be eligible if all the other students are eligible in the context of flooding.</t>
        </r>
      </text>
    </comment>
    <comment ref="AT613" authorId="0" shapeId="0" xr:uid="{00000000-0006-0000-3600-000008000000}">
      <text>
        <r>
          <rPr>
            <b/>
            <sz val="9"/>
            <color indexed="81"/>
            <rFont val="Tahoma"/>
            <family val="2"/>
          </rPr>
          <t>Phoebe Mitton:</t>
        </r>
        <r>
          <rPr>
            <sz val="9"/>
            <color indexed="81"/>
            <rFont val="Tahoma"/>
            <family val="2"/>
          </rPr>
          <t xml:space="preserve">
This student was not reported as being in PHP, but would by necessity given the distance from the First Nation.</t>
        </r>
      </text>
    </comment>
    <comment ref="AT628" authorId="0" shapeId="0" xr:uid="{00000000-0006-0000-3600-000009000000}">
      <text>
        <r>
          <rPr>
            <b/>
            <sz val="9"/>
            <color indexed="81"/>
            <rFont val="Tahoma"/>
            <family val="2"/>
          </rPr>
          <t>Phoebe Mitton:</t>
        </r>
        <r>
          <rPr>
            <sz val="9"/>
            <color indexed="81"/>
            <rFont val="Tahoma"/>
            <family val="2"/>
          </rPr>
          <t xml:space="preserve">
Attending out of province, but would be eligilble for PHP because the First Nations is remote and all grade 10-12 students need to live outside of the First Nation for high school.</t>
        </r>
      </text>
    </comment>
    <comment ref="AU630" authorId="0" shapeId="0" xr:uid="{00000000-0006-0000-3600-00000A000000}">
      <text>
        <r>
          <rPr>
            <b/>
            <sz val="9"/>
            <color indexed="81"/>
            <rFont val="Tahoma"/>
            <family val="2"/>
          </rPr>
          <t>Phoebe Mitton:</t>
        </r>
        <r>
          <rPr>
            <sz val="9"/>
            <color indexed="81"/>
            <rFont val="Tahoma"/>
            <family val="2"/>
          </rPr>
          <t xml:space="preserve">
One student was reported in student residence. The student is not eligible for funding because of the distance between the First Nation of residence and the provincial school attended (less than 80 km).</t>
        </r>
      </text>
    </comment>
    <comment ref="A634" authorId="0" shapeId="0" xr:uid="{00000000-0006-0000-3600-00000B000000}">
      <text>
        <r>
          <rPr>
            <b/>
            <sz val="9"/>
            <color indexed="81"/>
            <rFont val="Tahoma"/>
            <family val="2"/>
          </rPr>
          <t>Phoebe Mitton:</t>
        </r>
        <r>
          <rPr>
            <sz val="9"/>
            <color indexed="81"/>
            <rFont val="Tahoma"/>
            <family val="2"/>
          </rPr>
          <t xml:space="preserve">
Includes the 1 student reported with #261 as their reserve of residence and the 21 students reported with #327 as their reserve of residence. This was an interim fix from EIS because of school coding issues.</t>
        </r>
      </text>
    </comment>
    <comment ref="AT636" authorId="0" shapeId="0" xr:uid="{00000000-0006-0000-3600-00000C000000}">
      <text>
        <r>
          <rPr>
            <b/>
            <sz val="9"/>
            <color indexed="81"/>
            <rFont val="Tahoma"/>
            <family val="2"/>
          </rPr>
          <t>Phoebe Mitton:</t>
        </r>
        <r>
          <rPr>
            <sz val="9"/>
            <color indexed="81"/>
            <rFont val="Tahoma"/>
            <family val="2"/>
          </rPr>
          <t xml:space="preserve">
Are these students adults? They are attending Brokenhead Ojibway East Resource Centre - http://www.brokenheadojibwaynation.net/bon-east-resource-center/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Phoebe Mitton</author>
    <author>April Wilson</author>
  </authors>
  <commentList>
    <comment ref="BP6" authorId="0" shapeId="0" xr:uid="{00000000-0006-0000-3900-000001000000}">
      <text>
        <r>
          <rPr>
            <b/>
            <sz val="9"/>
            <color indexed="81"/>
            <rFont val="Tahoma"/>
            <family val="2"/>
          </rPr>
          <t>Phoebe Mitton:</t>
        </r>
        <r>
          <rPr>
            <sz val="9"/>
            <color indexed="81"/>
            <rFont val="Tahoma"/>
            <family val="2"/>
          </rPr>
          <t xml:space="preserve">
Excludes students 18-21 pending age validation.</t>
        </r>
      </text>
    </comment>
    <comment ref="BR6" authorId="0" shapeId="0" xr:uid="{00000000-0006-0000-3900-000002000000}">
      <text>
        <r>
          <rPr>
            <b/>
            <sz val="9"/>
            <color indexed="81"/>
            <rFont val="Tahoma"/>
            <family val="2"/>
          </rPr>
          <t xml:space="preserve">Phoebe Mitton:
</t>
        </r>
        <r>
          <rPr>
            <sz val="9"/>
            <color indexed="81"/>
            <rFont val="Tahoma"/>
            <family val="2"/>
          </rPr>
          <t>Not linked.</t>
        </r>
      </text>
    </comment>
    <comment ref="BT6" authorId="0" shapeId="0" xr:uid="{00000000-0006-0000-3900-000003000000}">
      <text>
        <r>
          <rPr>
            <b/>
            <sz val="9"/>
            <color indexed="81"/>
            <rFont val="Tahoma"/>
            <family val="2"/>
          </rPr>
          <t>Phoebe Mitton:</t>
        </r>
        <r>
          <rPr>
            <sz val="9"/>
            <color indexed="81"/>
            <rFont val="Tahoma"/>
            <family val="2"/>
          </rPr>
          <t xml:space="preserve">
Not linked</t>
        </r>
      </text>
    </comment>
    <comment ref="BU6" authorId="0" shapeId="0" xr:uid="{00000000-0006-0000-3900-000004000000}">
      <text>
        <r>
          <rPr>
            <b/>
            <sz val="9"/>
            <color indexed="81"/>
            <rFont val="Tahoma"/>
            <family val="2"/>
          </rPr>
          <t>Phoebe Mitton:</t>
        </r>
        <r>
          <rPr>
            <sz val="9"/>
            <color indexed="81"/>
            <rFont val="Tahoma"/>
            <family val="2"/>
          </rPr>
          <t xml:space="preserve">
Excludes students attending Adult Education Centres until student age information is available.</t>
        </r>
      </text>
    </comment>
    <comment ref="BV6" authorId="1" shapeId="0" xr:uid="{00000000-0006-0000-3900-000005000000}">
      <text>
        <r>
          <rPr>
            <b/>
            <sz val="9"/>
            <color indexed="81"/>
            <rFont val="Tahoma"/>
            <family val="2"/>
          </rPr>
          <t>April Wilson:</t>
        </r>
        <r>
          <rPr>
            <sz val="9"/>
            <color indexed="81"/>
            <rFont val="Tahoma"/>
            <family val="2"/>
          </rPr>
          <t xml:space="preserve">
Taken from RFM workbook and not done here due to current time constraints.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April Wilson</author>
  </authors>
  <commentList>
    <comment ref="AG4" authorId="0" shapeId="0" xr:uid="{00000000-0006-0000-3B00-000001000000}">
      <text>
        <r>
          <rPr>
            <b/>
            <sz val="9"/>
            <color indexed="81"/>
            <rFont val="Tahoma"/>
            <family val="2"/>
          </rPr>
          <t>April Wilson:</t>
        </r>
        <r>
          <rPr>
            <sz val="9"/>
            <color indexed="81"/>
            <rFont val="Tahoma"/>
            <family val="2"/>
          </rPr>
          <t xml:space="preserve">
2017/18 - Other Revunue (Includes Education Property Tax Credit, Tax Incentive Grant, Other Revenue, and Other Provincial Revenue
When pulling number exclude Funding of Schools Program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H7" authorId="0" shapeId="0" xr:uid="{00000000-0006-0000-3C00-000001000000}">
      <text>
        <r>
          <rPr>
            <b/>
            <sz val="9"/>
            <color indexed="81"/>
            <rFont val="Tahoma"/>
            <family val="2"/>
          </rPr>
          <t>Phoebe Mitton:</t>
        </r>
        <r>
          <rPr>
            <sz val="9"/>
            <color indexed="81"/>
            <rFont val="Tahoma"/>
            <family val="2"/>
          </rPr>
          <t xml:space="preserve">
Based on Geomatics Analysis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Phoebe Mitton</author>
  </authors>
  <commentList>
    <comment ref="I7" authorId="0" shapeId="0" xr:uid="{00000000-0006-0000-3E00-000001000000}">
      <text>
        <r>
          <rPr>
            <b/>
            <sz val="9"/>
            <color indexed="81"/>
            <rFont val="Tahoma"/>
            <family val="2"/>
          </rPr>
          <t>Phoebe Mitton:</t>
        </r>
        <r>
          <rPr>
            <sz val="9"/>
            <color indexed="81"/>
            <rFont val="Tahoma"/>
            <family val="2"/>
          </rPr>
          <t xml:space="preserve">
Based on Geomatics Analysis</t>
        </r>
      </text>
    </comment>
  </commentList>
</comments>
</file>

<file path=xl/sharedStrings.xml><?xml version="1.0" encoding="utf-8"?>
<sst xmlns="http://schemas.openxmlformats.org/spreadsheetml/2006/main" count="14300" uniqueCount="2686">
  <si>
    <t>Source Data</t>
  </si>
  <si>
    <t>Fiscal Year</t>
  </si>
  <si>
    <t>Estimated or Final Funding</t>
  </si>
  <si>
    <t>Document (source) CIDM</t>
  </si>
  <si>
    <t>Mid Year</t>
  </si>
  <si>
    <t>2017-18</t>
  </si>
  <si>
    <t>Year End</t>
  </si>
  <si>
    <t>Initials</t>
  </si>
  <si>
    <t>2018-19</t>
  </si>
  <si>
    <t>Mid Year (July)</t>
  </si>
  <si>
    <t>10476723 V2</t>
  </si>
  <si>
    <t>10476723 V3</t>
  </si>
  <si>
    <t>Mid Year (Nov)</t>
  </si>
  <si>
    <t>2019-20</t>
  </si>
  <si>
    <t>No longer valid as 2018-19 YE amount changed.</t>
  </si>
  <si>
    <t>Mid-Year (August)</t>
  </si>
  <si>
    <t>Actual Amount Transfer Calculations</t>
  </si>
  <si>
    <t>Mid-Year (Year End)</t>
  </si>
  <si>
    <t>Actuals in agreement:</t>
  </si>
  <si>
    <t>July Upate:</t>
  </si>
  <si>
    <t>Difference to transfer:</t>
  </si>
  <si>
    <t>July Transfer</t>
  </si>
  <si>
    <t>Est. Nov Transfer</t>
  </si>
  <si>
    <t>Est. Feb transfer:</t>
  </si>
  <si>
    <t>Funding  transfered April 1</t>
  </si>
  <si>
    <t>Model Calculations</t>
  </si>
  <si>
    <t>Stage 1: April 1st (A + B) x 30%</t>
  </si>
  <si>
    <t>A: 5/12 2018/19 Final Funding Model</t>
  </si>
  <si>
    <t>B: 7/12 of the Projected 2019/20 initial Funding Model</t>
  </si>
  <si>
    <t>2019-20 Estimated Year Funding</t>
  </si>
  <si>
    <t xml:space="preserve">MFNSS Transfer </t>
  </si>
  <si>
    <t>Funding to transfer April 1</t>
  </si>
  <si>
    <t>Transfer for July Update:</t>
  </si>
  <si>
    <t>Transfer for Dakota Tipi (2/12):</t>
  </si>
  <si>
    <t>Total to be transferred:</t>
  </si>
  <si>
    <t>Funding Currently in Region:</t>
  </si>
  <si>
    <t xml:space="preserve">Stage 2 </t>
  </si>
  <si>
    <t>Difference</t>
  </si>
  <si>
    <t>Dakota Tipi Aug-Dec funding</t>
  </si>
  <si>
    <t>Stage 2: (A +B) x 50% + [(B x 30%) - (Stage 1B x 30%)]</t>
  </si>
  <si>
    <t>Funds included in prev regional transfer:</t>
  </si>
  <si>
    <t>B: 7/12 of the Projected 2019/20 July Funding Model Update</t>
  </si>
  <si>
    <t>2019-20 Estimated Year Funding as of July</t>
  </si>
  <si>
    <t>Funding Required from HQ for July Transfer:</t>
  </si>
  <si>
    <t xml:space="preserve">Calculated Transfer amount July </t>
  </si>
  <si>
    <t>MFNSS July Transfer:</t>
  </si>
  <si>
    <t>NOBA amount for agreement</t>
  </si>
  <si>
    <t>Additional Required from HQ:</t>
  </si>
  <si>
    <t>Stage 3: (A +B) x 50% + [(B x 30%) - (Stage 1B x 30%)]</t>
  </si>
  <si>
    <t xml:space="preserve">Funding  transfered </t>
  </si>
  <si>
    <t>Final Update:</t>
  </si>
  <si>
    <t xml:space="preserve">MFNSS Final Transfer </t>
  </si>
  <si>
    <t>Transfer for Final Update:</t>
  </si>
  <si>
    <t>57577726 V13</t>
  </si>
  <si>
    <t>57577726 V14</t>
  </si>
  <si>
    <t>2020-21</t>
  </si>
  <si>
    <t>Mid Year (Feb)</t>
  </si>
  <si>
    <t>A: 5/12 2019/20 Final Funding Model</t>
  </si>
  <si>
    <t>B: 7/12 of the Projected 2020/21 initial Funding Model</t>
  </si>
  <si>
    <t>2020/21 Estimated Year Funding</t>
  </si>
  <si>
    <t xml:space="preserve">July Funding to be transferred to MFNSS </t>
  </si>
  <si>
    <t>Correction to 2019-20 Funding (Literacy and Numeracy)</t>
  </si>
  <si>
    <t>B: 7/12 of the Projected 2020/21 July Funding Model Update</t>
  </si>
  <si>
    <t>Total July Transfer Required</t>
  </si>
  <si>
    <t>2020/21 Estimated Year Funding as of July</t>
  </si>
  <si>
    <t>Stage 3: (A +B) x 10% + [(B x 80%) - (Stage 1B x 80%)]</t>
  </si>
  <si>
    <t>Stage 3</t>
  </si>
  <si>
    <t>April</t>
  </si>
  <si>
    <t>July</t>
  </si>
  <si>
    <t>August</t>
  </si>
  <si>
    <t>November</t>
  </si>
  <si>
    <t>February</t>
  </si>
  <si>
    <t>Total</t>
  </si>
  <si>
    <t>In Agreement (Dec 15th)</t>
  </si>
  <si>
    <t>B: 7/12 of the Projected 2020/21 November Funding Model Update</t>
  </si>
  <si>
    <t>Stage 3 (Nov)</t>
  </si>
  <si>
    <t>Calculated Transfer amount Nov</t>
  </si>
  <si>
    <t>Due to funding being put in the agreement straying from normal cashflows, a full year transfer allocation calculation has been done in order to stabilize agreement funding levels. Also, some rates for transportation (Safety Inspection, Oil Changes, and Registration/Insurance) have not been finalized, these rate updates will be included in the February update instead and 2019-20 rates are currently being used.</t>
  </si>
  <si>
    <t xml:space="preserve">Amount required for November Update: </t>
  </si>
  <si>
    <t>Stage 4: (A +B) x 10% + [(B x 90%) - (Stage 1B x 90%)]</t>
  </si>
  <si>
    <t>Stage 4</t>
  </si>
  <si>
    <t>B: 7/12 of the Projected 2020/21 February Funding Model Update</t>
  </si>
  <si>
    <t>2020/21 Estimated Year Funding as of November</t>
  </si>
  <si>
    <t>Stage 4 (Feb)</t>
  </si>
  <si>
    <t>Calculated Transfer amount Feb</t>
  </si>
  <si>
    <t xml:space="preserve">Amount required for February Update: </t>
  </si>
  <si>
    <t>2020-21 NR, NR dependent rates, and the 3 transportation rates not included in last update has been updated in February update.</t>
  </si>
  <si>
    <t>Transfer Calculation for the Manitoba First Nations Schools System</t>
  </si>
  <si>
    <t>2017-18 FISCAL YEAR</t>
  </si>
  <si>
    <t>SOURCES:</t>
  </si>
  <si>
    <t>Year 1: 2017-18</t>
  </si>
  <si>
    <t>2016-17 FNSS Model</t>
  </si>
  <si>
    <t>NCR#9616665</t>
  </si>
  <si>
    <t> Month</t>
  </si>
  <si>
    <t>Delayed NOBA Amounts</t>
  </si>
  <si>
    <t>Totals</t>
  </si>
  <si>
    <t>Notes</t>
  </si>
  <si>
    <t>July 2017 Transfer Calculation Summary</t>
  </si>
  <si>
    <t>INITIAL 2017-18 FNSS Model</t>
  </si>
  <si>
    <t>NCR#9494837</t>
  </si>
  <si>
    <t>Funding to Communities</t>
  </si>
  <si>
    <t xml:space="preserve">·      Funding to communities for 25% (3/12ths) of 2017-18 Fiscal-Year funding </t>
  </si>
  <si>
    <r>
      <rPr>
        <b/>
        <sz val="11"/>
        <color theme="1"/>
        <rFont val="Calibri"/>
        <family val="2"/>
        <scheme val="minor"/>
      </rPr>
      <t>A.</t>
    </r>
    <r>
      <rPr>
        <sz val="11"/>
        <color theme="1"/>
        <rFont val="Calibri"/>
        <family val="2"/>
        <scheme val="minor"/>
      </rPr>
      <t xml:space="preserve"> 2/12 of the 2016-17 FNSS Model ($32,605,2019 X 2/12)</t>
    </r>
  </si>
  <si>
    <t xml:space="preserve">MID-YEAR 2017-18 FNSS Model </t>
  </si>
  <si>
    <t>NCR#10118384</t>
  </si>
  <si>
    <t>Funding to FNSS</t>
  </si>
  <si>
    <t>·      2/12 of 2016-17 the total FNSS Funding Model ($32,605,219 X 2/12)</t>
  </si>
  <si>
    <r>
      <rPr>
        <b/>
        <sz val="11"/>
        <color theme="1"/>
        <rFont val="Calibri"/>
        <family val="2"/>
        <scheme val="minor"/>
      </rPr>
      <t>B.</t>
    </r>
    <r>
      <rPr>
        <sz val="11"/>
        <color theme="1"/>
        <rFont val="Calibri"/>
        <family val="2"/>
        <scheme val="minor"/>
      </rPr>
      <t xml:space="preserve"> 7/12 of the INITIAL 2017-18 FNSS Model ($32,127,959 X 7/12)</t>
    </r>
  </si>
  <si>
    <t>YEAR-END 2017-18 FNSS Model</t>
  </si>
  <si>
    <t>NCR#10431491</t>
  </si>
  <si>
    <t>o    MFNERC will transfer funding to the partnering communities to complete salary payments for teacher contracts, where applicable, for July and August 2017</t>
  </si>
  <si>
    <t xml:space="preserve">C. Total Projected for 2017-18 Fiscal </t>
  </si>
  <si>
    <t>·      7/12 of the total 2017-18 FNSS Funding Model ($32,127,959 X 7/12)</t>
  </si>
  <si>
    <t>July Amount Transferred (80% cash flow)</t>
  </si>
  <si>
    <t>2019-20 FISCAL YEAR</t>
  </si>
  <si>
    <t> Cash Flow Transfers to FNSS</t>
  </si>
  <si>
    <t>80% of above Sum</t>
  </si>
  <si>
    <t> 10% of above Sum</t>
  </si>
  <si>
    <t>10% of above Sum</t>
  </si>
  <si>
    <t>2019-20 Fiscal Year Projected Transfers</t>
  </si>
  <si>
    <t>Notice of Budget Adjustments</t>
  </si>
  <si>
    <t xml:space="preserve">5/12 of the 2018-19 FNSS Model </t>
  </si>
  <si>
    <t>Provincial Rates Update</t>
  </si>
  <si>
    <t>Mid-Novemver 2017 Transfer Calculation</t>
  </si>
  <si>
    <t>7/12 of the 2019-20 FNSS Model</t>
  </si>
  <si>
    <t>Provincial Rates Update #2</t>
  </si>
  <si>
    <t>G. 2018-19 Projected Total</t>
  </si>
  <si>
    <t>Total transferred within the 2017-18 FISCAL YEAR</t>
  </si>
  <si>
    <t>November Projected Transfer (C X 10% cash flow)</t>
  </si>
  <si>
    <t>April 1 Amount Transferred (30% cash flow)</t>
  </si>
  <si>
    <t>Nominal Roll Update</t>
  </si>
  <si>
    <t>Transferred June 2018</t>
  </si>
  <si>
    <t>D. MID-YEAR Updated 2017-18 Model Total</t>
  </si>
  <si>
    <t>H. SPRING UPDATE 2017-18 Model (Nominal Roll Update)</t>
  </si>
  <si>
    <t>Revised Nominal Roll Update</t>
  </si>
  <si>
    <t>To be transferred with the Summer 2018 update</t>
  </si>
  <si>
    <t>Updated November Transfer Amount (D X 80% - C X 80% + D X 10%)</t>
  </si>
  <si>
    <t>Updated Spring 2018 Transfer Amount (H X 30%)</t>
  </si>
  <si>
    <t>NOBA Amount</t>
  </si>
  <si>
    <t>Total transferred for the 2017-18 year</t>
  </si>
  <si>
    <t>Mid Year Update (July)</t>
  </si>
  <si>
    <t>Year 2: 2018-19</t>
  </si>
  <si>
    <t>February 2018 Transfer Calculation</t>
  </si>
  <si>
    <t>July Projected Transfer (G X 50% cash flow)</t>
  </si>
  <si>
    <t>·      5/12 of the complete FNSS Funding Model from the previous year ($33,060,369 X 5/12)</t>
  </si>
  <si>
    <t>·      7/12 of the complete FNSS Funding Model from the current year ($33,597,580 X 7/12)</t>
  </si>
  <si>
    <t>February Projected Transfer (C X 10% cash flow)</t>
  </si>
  <si>
    <t>I. MID-YEAR Updated 2017-18 Model (Formula Update)</t>
  </si>
  <si>
    <t>30% of above Sum</t>
  </si>
  <si>
    <t>50% of above Sum</t>
  </si>
  <si>
    <t>Updated July Transfer Amount (I X 80% - G X 80% + I x 50%)</t>
  </si>
  <si>
    <t>E. FISCAL YEAR-END Updated 2017-18 Model Total</t>
  </si>
  <si>
    <t>Updated February Transfer Amount (E X 90% - D X 90% + E X 10%)</t>
  </si>
  <si>
    <t>Update based on the 2017-18 Nominal Roll</t>
  </si>
  <si>
    <t>NOBA Amount*</t>
  </si>
  <si>
    <t>Subtotal 1</t>
  </si>
  <si>
    <t>Actual NOBA*</t>
  </si>
  <si>
    <t>Mid Year Update (Novemver)</t>
  </si>
  <si>
    <t>*NOTE: The actual NOBA and amount transferred in February 2018 was $147,325. This amount flowed as the result of an error in the above calculation.</t>
  </si>
  <si>
    <t>2018-19 Formula Update</t>
  </si>
  <si>
    <t>November Projected Transfer (G X 10% cash flow)</t>
  </si>
  <si>
    <t>2017-18 SCHOOL YEAR</t>
  </si>
  <si>
    <t>Updated November Transfer Amount (D X 90% - C X 90% + D X 10%)</t>
  </si>
  <si>
    <t>Nominal Roll Update to 2017-18 FNSS Model</t>
  </si>
  <si>
    <t>Total Amount Transferred 2017-18 FISCAL YEAR</t>
  </si>
  <si>
    <t>F. SCHOOL YEAR-END 2017-18 Model (Nominal Roll Update)</t>
  </si>
  <si>
    <t>Difference to be transferred (F - Actual total for Fiscl Year)</t>
  </si>
  <si>
    <t>2018-19 FISCAL YEAR</t>
  </si>
  <si>
    <t>2018-19 Fiscal Year Projected Transfers</t>
  </si>
  <si>
    <r>
      <t>5/12 of the 2017-18 FNSS Model (</t>
    </r>
    <r>
      <rPr>
        <sz val="11"/>
        <color rgb="FFFF0000"/>
        <rFont val="Calibri"/>
        <family val="2"/>
        <scheme val="minor"/>
      </rPr>
      <t>$33,060,369</t>
    </r>
    <r>
      <rPr>
        <sz val="11"/>
        <color theme="1"/>
        <rFont val="Calibri"/>
        <family val="2"/>
        <scheme val="minor"/>
      </rPr>
      <t xml:space="preserve"> X 5/12)</t>
    </r>
  </si>
  <si>
    <t>7/12 of the 2018-19 FNSS Model</t>
  </si>
  <si>
    <t>Mid Year Update (November)</t>
  </si>
  <si>
    <t>(26/06/2018)</t>
  </si>
  <si>
    <t>FORECAST for April Transfer</t>
  </si>
  <si>
    <t>APRIL 2018 CALCULATION</t>
  </si>
  <si>
    <t>July 2018 Calculation (updated with new provincial formula)</t>
  </si>
  <si>
    <t>November/February 2018 Calculation (updated with 18/19 NR Data and 2018/19 FRAME Data)</t>
  </si>
  <si>
    <t>July 2019 Calculation (updated with new provincial formula)</t>
  </si>
  <si>
    <t>5/12 of the 2017-18 FNSS Model ($33,060,369 X 5/12)</t>
  </si>
  <si>
    <t>5/12 of the 2018-19 FNSS Model ($33,060,369 X 5/12)</t>
  </si>
  <si>
    <t>7/12 of the 2018-19 FNSS Model (Initial)</t>
  </si>
  <si>
    <t>7/12 of the 2018-19 FNSS Model (Mid-year July Total)</t>
  </si>
  <si>
    <t>7/12 of the 2018-19 FNSS Model (Mid-Year November Total)</t>
  </si>
  <si>
    <t>7/12 of the 2019-20 FNSS Model (Mid-year July Total)</t>
  </si>
  <si>
    <t>AMOUNT ACTUALLY PUT IN FUNDING AGREEMENT JULY 4, 2018</t>
  </si>
  <si>
    <t>AMOUNT ACTUALLY USED TO CALCULATE FUNDING AGREEMENT in Jun, 2018</t>
  </si>
  <si>
    <t>AMOUNT ACTUALLY USED TO CALCULATE FUNDING AGREEMENT August 4, 2018</t>
  </si>
  <si>
    <t>NOBA</t>
  </si>
  <si>
    <t>(A2) April 1 Amount Transferred (30% cash flow)</t>
  </si>
  <si>
    <t xml:space="preserve"> (A3) April 1 Amount Transferred (30% cash flow)</t>
  </si>
  <si>
    <t xml:space="preserve"> (J1) July amount transferred (50% cash flow)</t>
  </si>
  <si>
    <t>(J2) July amount transferred (50% cash flow)</t>
  </si>
  <si>
    <t>(J3) July amount transferred (50% cash flow)</t>
  </si>
  <si>
    <t>July amount transferred (50% cash flow)</t>
  </si>
  <si>
    <t>November amount transferred (10% cash flow)</t>
  </si>
  <si>
    <t>February amount transferred (10% cash flow)</t>
  </si>
  <si>
    <t>April NOBA Adjustment</t>
  </si>
  <si>
    <t>April payment NOBA  for July</t>
  </si>
  <si>
    <t>April payment NOBA for November</t>
  </si>
  <si>
    <t xml:space="preserve">July Transfer (J1) </t>
  </si>
  <si>
    <t>July payment  NOBA for November</t>
  </si>
  <si>
    <t>July paymnet NOBA</t>
  </si>
  <si>
    <t>November Payment NOBA</t>
  </si>
  <si>
    <t xml:space="preserve">February Payment NOBA </t>
  </si>
  <si>
    <t>April Calculated Noba Transfer</t>
  </si>
  <si>
    <t>July Calculated Noba Transfer</t>
  </si>
  <si>
    <t>November Payment (initial agreement)</t>
  </si>
  <si>
    <t>April Actual Transfer (includes $235,112 adjustment for 17-18 year end)</t>
  </si>
  <si>
    <t>NOBA FOR NOVEMBER PAYMENT (TOTAL)</t>
  </si>
  <si>
    <t>(THIS IS BASED ON ASSUMPTION THAT WE ARE USING THE TOTAL FUNDING FROM FNSS SUMMARY IN THIS WORKBOOK AND PRORATED ACCORDING TO OVERVIEW METHOD- 5/12 and 7/12)</t>
  </si>
  <si>
    <t>for each transder you do, after you recalculate the whole year. The difference determines the transfer amount. Every time there is a NOBA the numbers do change.</t>
  </si>
  <si>
    <t>Can't take the summary total.</t>
  </si>
  <si>
    <t>November/February 2018 Calculation (updated with 17/18 Final NR Data)</t>
  </si>
  <si>
    <t>5/12 of the 2018-19 FNSS Model ($ X 5/12)</t>
  </si>
  <si>
    <t xml:space="preserve">Total </t>
  </si>
  <si>
    <t>Nov</t>
  </si>
  <si>
    <t>Feb</t>
  </si>
  <si>
    <r>
      <t xml:space="preserve">Manitoba First Nations School System </t>
    </r>
    <r>
      <rPr>
        <b/>
        <sz val="16"/>
        <color rgb="FFFF0000"/>
        <rFont val="Calibri"/>
        <family val="2"/>
        <scheme val="minor"/>
      </rPr>
      <t>2021-22</t>
    </r>
    <r>
      <rPr>
        <b/>
        <sz val="16"/>
        <color theme="1"/>
        <rFont val="Calibri"/>
        <family val="2"/>
        <scheme val="minor"/>
      </rPr>
      <t xml:space="preserve"> Funding Profile</t>
    </r>
  </si>
  <si>
    <t>2020-21 Nominal Roll, 2021-22 Manitoba Education Funding of Schools, and 2021-22 Manitoba Education FRAME Budget</t>
  </si>
  <si>
    <t>SUMMARY</t>
  </si>
  <si>
    <t>% of Total</t>
  </si>
  <si>
    <t>Estimate</t>
  </si>
  <si>
    <r>
      <t>Funded Enrolment</t>
    </r>
    <r>
      <rPr>
        <b/>
        <vertAlign val="superscript"/>
        <sz val="13"/>
        <color theme="1"/>
        <rFont val="Calibri"/>
        <family val="2"/>
        <scheme val="minor"/>
      </rPr>
      <t>1</t>
    </r>
  </si>
  <si>
    <t>A.  First Nations Schools</t>
  </si>
  <si>
    <t>B.  Provincial &amp; Private Schools</t>
  </si>
  <si>
    <t>Number of Schools</t>
  </si>
  <si>
    <t>Operational Funding</t>
  </si>
  <si>
    <t>1. First Nations Schools</t>
  </si>
  <si>
    <t>2 Tuition</t>
  </si>
  <si>
    <t>3. Transportation (All School Types)</t>
  </si>
  <si>
    <t>4. Student Accommodation/Private Home Placement (All School Types)</t>
  </si>
  <si>
    <t>Total Funding</t>
  </si>
  <si>
    <r>
      <rPr>
        <b/>
        <u/>
        <sz val="13"/>
        <color theme="1"/>
        <rFont val="Calibri"/>
        <family val="2"/>
        <scheme val="minor"/>
      </rPr>
      <t>Note:</t>
    </r>
    <r>
      <rPr>
        <b/>
        <sz val="13"/>
        <color theme="1"/>
        <rFont val="Calibri"/>
        <family val="2"/>
        <scheme val="minor"/>
      </rPr>
      <t xml:space="preserve"> </t>
    </r>
    <r>
      <rPr>
        <sz val="13"/>
        <color theme="1"/>
        <rFont val="Calibri"/>
        <family val="2"/>
        <scheme val="minor"/>
      </rPr>
      <t>The Funding Model is only a method for determining the annual Federal Operational Transfer amount and is not intended to prescribe how the First Nations School System should allocate or expend funding. The First Nations School System has the discretion to allocate and expend the funding based on its own budget and expenditure decisions and Education Programming priorities taking into consideration recommendations from the First Nations’ Local Advisory Representative.</t>
    </r>
  </si>
  <si>
    <t>1. First Nations Schools CONTINUED</t>
  </si>
  <si>
    <t>Formula Guarantee</t>
  </si>
  <si>
    <t>Minor Capital - School Infrastructure</t>
  </si>
  <si>
    <t>Property Tax Components (Now included in the Base and Categorical Components)</t>
  </si>
  <si>
    <t>Other Revenue (Now included in the Base and Categorical Components)</t>
  </si>
  <si>
    <t>Base Support (Sum of Below)</t>
  </si>
  <si>
    <t>Employer Contribution to Pensions (current service teachers)</t>
  </si>
  <si>
    <t>1. Instructional Support</t>
  </si>
  <si>
    <t>Second Level Services</t>
  </si>
  <si>
    <t>2. Additional Instructional Support for Small Schools</t>
  </si>
  <si>
    <t>School Administration</t>
  </si>
  <si>
    <t>3. Sparsity Support</t>
  </si>
  <si>
    <t>4. Curricular Materials</t>
  </si>
  <si>
    <t>5. Information Technology</t>
  </si>
  <si>
    <t>2. Tuition</t>
  </si>
  <si>
    <t>6. Library Services</t>
  </si>
  <si>
    <t>7. Student Services Grant</t>
  </si>
  <si>
    <t>Tuition Funding</t>
  </si>
  <si>
    <t>8. Counselling and Guidance</t>
  </si>
  <si>
    <t>Supports for Students attending Provincial &amp; Private Schools</t>
  </si>
  <si>
    <t>9. Professional Development</t>
  </si>
  <si>
    <t>5% Tuition Administration Support</t>
  </si>
  <si>
    <t>10. Physical Education</t>
  </si>
  <si>
    <t>11. Occupancy</t>
  </si>
  <si>
    <t>Categorical Support (Sum of Below)</t>
  </si>
  <si>
    <t>Total Transportation Funding</t>
  </si>
  <si>
    <t>2. Board and Room</t>
  </si>
  <si>
    <t>3. Special Needs</t>
  </si>
  <si>
    <t>4. Senior Years Technology</t>
  </si>
  <si>
    <r>
      <t xml:space="preserve">4. </t>
    </r>
    <r>
      <rPr>
        <b/>
        <i/>
        <sz val="12"/>
        <color theme="0" tint="-0.499984740745262"/>
        <rFont val="Calibri"/>
        <family val="2"/>
        <scheme val="minor"/>
      </rPr>
      <t>*ENHANCED*</t>
    </r>
    <r>
      <rPr>
        <b/>
        <sz val="12"/>
        <color theme="0" tint="-0.499984740745262"/>
        <rFont val="Calibri"/>
        <family val="2"/>
        <scheme val="minor"/>
      </rPr>
      <t xml:space="preserve"> Student Accommodation/Private Home Placement</t>
    </r>
  </si>
  <si>
    <t>5. English an Additional Language</t>
  </si>
  <si>
    <t>Number of funded Boarded Students (Headcount)</t>
  </si>
  <si>
    <t>6. Aboriginal Academic Achievement</t>
  </si>
  <si>
    <t>Total Student Accommodation/Private Home Placement Funding</t>
  </si>
  <si>
    <r>
      <t xml:space="preserve">7. </t>
    </r>
    <r>
      <rPr>
        <i/>
        <sz val="12"/>
        <color theme="0" tint="-0.499984740745262"/>
        <rFont val="Calibri"/>
        <family val="2"/>
        <scheme val="minor"/>
      </rPr>
      <t>*ENHANCED*</t>
    </r>
    <r>
      <rPr>
        <sz val="12"/>
        <color theme="0" tint="-0.499984740745262"/>
        <rFont val="Calibri"/>
        <family val="2"/>
        <scheme val="minor"/>
      </rPr>
      <t xml:space="preserve"> Aboriginal and International Languages</t>
    </r>
  </si>
  <si>
    <t>8. French Language Education</t>
  </si>
  <si>
    <t>9. Small Schools</t>
  </si>
  <si>
    <t>10. Enrolment Change Support</t>
  </si>
  <si>
    <t>11. Northern Allowance</t>
  </si>
  <si>
    <t>12. Literacy and Numeracy</t>
  </si>
  <si>
    <t>13. Education for Sustainable Development</t>
  </si>
  <si>
    <t>First Nation Student Stpports</t>
  </si>
  <si>
    <t>Menstrual Products</t>
  </si>
  <si>
    <t>[1] INAC, Education Information System: 2019-20 Nominal Roll (Initial -- )). Includes eligible students 22 years and older completing their diploma.</t>
  </si>
  <si>
    <t>E&amp;OE</t>
  </si>
  <si>
    <r>
      <rPr>
        <b/>
        <sz val="14"/>
        <color rgb="FFFF0000"/>
        <rFont val="Calibri"/>
        <family val="2"/>
        <scheme val="minor"/>
      </rPr>
      <t>2019-20</t>
    </r>
    <r>
      <rPr>
        <b/>
        <sz val="14"/>
        <color theme="1"/>
        <rFont val="Calibri"/>
        <family val="2"/>
        <scheme val="minor"/>
      </rPr>
      <t xml:space="preserve"> First Nations School System Funding Formula Summary</t>
    </r>
  </si>
  <si>
    <t>This chart expands to show the breakdown of the funding calculations contained in each of the main spreadsheets for the Manitoba First Nations School System Funding Model.</t>
  </si>
  <si>
    <t>Note that  "Enrolment Change Support" (Categorical Grant #10) and Literacy &amp; Numeracy Salary Allocation (Categorical Grant #12) is added along the totals line and not by community.</t>
  </si>
  <si>
    <t xml:space="preserve">The Funding Model is only a method for determining the annual Federal Operational Transfer amount </t>
  </si>
  <si>
    <t>Currently calculated outside of school year pro ration to ensure funding is provided for the full fiscal year</t>
  </si>
  <si>
    <t>and is not intended to prescribe how the First Nations School System should allocate or expend funding.</t>
  </si>
  <si>
    <t>For FP Workbook</t>
  </si>
  <si>
    <t>Band #</t>
  </si>
  <si>
    <t>First Nation</t>
  </si>
  <si>
    <t xml:space="preserve">7. Student Services Grant </t>
  </si>
  <si>
    <t xml:space="preserve">8. Counselling and Guidance </t>
  </si>
  <si>
    <t>BASE SUPPORT SUBTOTAL</t>
  </si>
  <si>
    <t>4. Senior Years Technology Education</t>
  </si>
  <si>
    <t>5. English as an Additional Language</t>
  </si>
  <si>
    <t>7. Aboriginal Languages</t>
  </si>
  <si>
    <t>8. French Langauge Education</t>
  </si>
  <si>
    <t>CATEGORICAL SUPPORT SUBTOTAL</t>
  </si>
  <si>
    <t>Minor Capital</t>
  </si>
  <si>
    <t>Property Tax</t>
  </si>
  <si>
    <t>Other Revenue</t>
  </si>
  <si>
    <t>Pensions</t>
  </si>
  <si>
    <t>FN Student Supports</t>
  </si>
  <si>
    <t>1. FN SCHOOLS (Excludes Transportation)</t>
  </si>
  <si>
    <t>Tuition Administration Support</t>
  </si>
  <si>
    <t>Supports for Tuition Students</t>
  </si>
  <si>
    <t>2. TUITION (Excludes Transportation)</t>
  </si>
  <si>
    <t>Band-Operated Transportation</t>
  </si>
  <si>
    <t>Provincial Transportation</t>
  </si>
  <si>
    <t>3. TRANSPORTATION</t>
  </si>
  <si>
    <t>4. PHP/STUDENT ACCOMMODATION</t>
  </si>
  <si>
    <t>GRAND TOTAL</t>
  </si>
  <si>
    <t>Boarded Students</t>
  </si>
  <si>
    <t>FN Schools Enrolment</t>
  </si>
  <si>
    <t>Prov/Priv Enrolment</t>
  </si>
  <si>
    <t>Funding per FTE</t>
  </si>
  <si>
    <t xml:space="preserve">Prov Menstrual Prodycts </t>
  </si>
  <si>
    <t>Band Operated Formula Including Transpoortation</t>
  </si>
  <si>
    <t>HCSE Band-OP  Including Tax Base</t>
  </si>
  <si>
    <t>Provincial Formula Including Transportation</t>
  </si>
  <si>
    <t>Provincial Administration (5%)</t>
  </si>
  <si>
    <t>3548</t>
  </si>
  <si>
    <t xml:space="preserve">Total Comparability </t>
  </si>
  <si>
    <t>Dakota Tipi</t>
  </si>
  <si>
    <t>Total Tax Base</t>
  </si>
  <si>
    <t>TOTAL</t>
  </si>
  <si>
    <t>Base Support</t>
  </si>
  <si>
    <t>Instructional Support</t>
  </si>
  <si>
    <t>Tax Base</t>
  </si>
  <si>
    <t>Instructional Support is $1,927 per eligible public pupil at September 30, 2019.</t>
  </si>
  <si>
    <t>Total full-time-equivalent (FTE) enrolment = All students including those 22 and older at 0.5 FTE</t>
  </si>
  <si>
    <t>Rate:</t>
  </si>
  <si>
    <t>Source: Manitoba Education, Funding of Schools 2020-21 Guide, p3</t>
  </si>
  <si>
    <t>School #</t>
  </si>
  <si>
    <t>School Name</t>
  </si>
  <si>
    <t>Eligible FTE</t>
  </si>
  <si>
    <t xml:space="preserve">Tax Base Total </t>
  </si>
  <si>
    <t xml:space="preserve">Instructional Support Total </t>
  </si>
  <si>
    <t>Additional Support for Small Schools</t>
  </si>
  <si>
    <t>Support is the greater of $125,000 – (Instructional Support for each school + Sparsity Support for each school)</t>
  </si>
  <si>
    <t>Adult education programs are not eligible for this component.</t>
  </si>
  <si>
    <t>School Type</t>
  </si>
  <si>
    <t>Sparsity Support</t>
  </si>
  <si>
    <t>Support is provided to school divisions with a dispersion factor less than 10. Dispersion = eligible enrolment at September 30, 2019/area of the school division in square km. Support is calculated for schools that are in areas with less than 10,000 residents and have less than an average of 50 pupils per grade. Adult Education programs are not eligible for this funding.</t>
  </si>
  <si>
    <t>Students per grade:</t>
  </si>
  <si>
    <t>Sparsity Support = [(50 - Average number of pupils per grade) x $11] x Eligible enrolment for each eligible school</t>
  </si>
  <si>
    <t>Avg FTE per Grade</t>
  </si>
  <si>
    <t>2011 NHS Pop.</t>
  </si>
  <si>
    <t>Dispersion Factor</t>
  </si>
  <si>
    <t>Curricular Materials</t>
  </si>
  <si>
    <t>$60 per eligible pupil at September 30, 2019</t>
  </si>
  <si>
    <t>Source: Manitoba Education, Funding of Schools 2020-21 Guide, p4</t>
  </si>
  <si>
    <t xml:space="preserve">Total TAX BASE </t>
  </si>
  <si>
    <t>TOTAL Curricular Materials</t>
  </si>
  <si>
    <t>Information Technology</t>
  </si>
  <si>
    <t>$62 per eligible pupil at September 30, 2019.</t>
  </si>
  <si>
    <t>Total TAX BASE</t>
  </si>
  <si>
    <t>TOTAL Information Technology</t>
  </si>
  <si>
    <t>Library Services</t>
  </si>
  <si>
    <t>$92 per eligible pupil at September 30, 2019</t>
  </si>
  <si>
    <t>TOTAL Library Services</t>
  </si>
  <si>
    <t>Student Services Grant</t>
  </si>
  <si>
    <t>Student Support Services = A + B  + E</t>
  </si>
  <si>
    <t>A = $303 x enrolment, B = enrolment for each school x socio-economic rate per student, E = $500/pupil reported as under the care of Child and Family Services
Source: Manitoba Education, Funding of Schools 2020-21 Guide, p4</t>
  </si>
  <si>
    <t>Frontier's Student Services Grant</t>
  </si>
  <si>
    <t>Source: FRAME 2020-21 Budget, Tab 52</t>
  </si>
  <si>
    <t>Frontier Funded FTEs</t>
  </si>
  <si>
    <t>Frontier Student Services Grant per student rate</t>
  </si>
  <si>
    <t>Tax Base Envelope amount</t>
  </si>
  <si>
    <t>Tax Base Total</t>
  </si>
  <si>
    <t>Total Student Services</t>
  </si>
  <si>
    <t>Migrancy Average</t>
  </si>
  <si>
    <t>A = $303 x enrolment, B = enrolment for each school x socio-economic rate per student, E = $500/pupil reported as under the care of Child and Family Services
Source: Manitoba Education, Funding of Schools 2019-20 Guide, p4</t>
  </si>
  <si>
    <t>CFS Rate per Child</t>
  </si>
  <si>
    <t>Base Rate</t>
  </si>
  <si>
    <t>Socioeconomic Indicator</t>
  </si>
  <si>
    <t>Recipient No.</t>
  </si>
  <si>
    <t>Recipient Name</t>
  </si>
  <si>
    <t>School No.</t>
  </si>
  <si>
    <t>Sum of Total Sum of Final Funding FTE Count</t>
  </si>
  <si>
    <t>Base Allocation</t>
  </si>
  <si>
    <t>Low Income by FN</t>
  </si>
  <si>
    <t>Migrancy</t>
  </si>
  <si>
    <t>Socioeconomic Indicator (75% Low Income + 25% Migrancy)</t>
  </si>
  <si>
    <t>Socioeconomic Indicator Rate</t>
  </si>
  <si>
    <t>Socioeconomic Allocation</t>
  </si>
  <si>
    <t xml:space="preserve">CFS Incidence by Agency </t>
  </si>
  <si>
    <t xml:space="preserve">CFS Rate by Agency </t>
  </si>
  <si>
    <t xml:space="preserve">CFS allocation by agency </t>
  </si>
  <si>
    <t>Total Allocation by with variable data by FN for low income, and CFS</t>
  </si>
  <si>
    <t>Rounded Total</t>
  </si>
  <si>
    <t>Pinaymootang</t>
  </si>
  <si>
    <t>Pinaymootang School</t>
  </si>
  <si>
    <t>Lake St. Martin</t>
  </si>
  <si>
    <t>Lake St. Martin School</t>
  </si>
  <si>
    <t>Bloodvein</t>
  </si>
  <si>
    <t>Miskooseepi School</t>
  </si>
  <si>
    <t>York Factory</t>
  </si>
  <si>
    <t>George Saunders Memorial School</t>
  </si>
  <si>
    <t>Lake Manitoba</t>
  </si>
  <si>
    <t>Lake Manitoba School</t>
  </si>
  <si>
    <t>Dakota Plains</t>
  </si>
  <si>
    <t>Mahpiya Hdega School</t>
  </si>
  <si>
    <t>Brokenhead</t>
  </si>
  <si>
    <t>Sergeant Tommy Prince School</t>
  </si>
  <si>
    <t>Roseau River</t>
  </si>
  <si>
    <t>Ginew School</t>
  </si>
  <si>
    <t>Fox Lake</t>
  </si>
  <si>
    <t>Fox Lake School</t>
  </si>
  <si>
    <t>Keeseekoowenin</t>
  </si>
  <si>
    <t>Keeseekoowenin School</t>
  </si>
  <si>
    <t>Brokenhead Ojibway Nation Adult Learning Centre</t>
  </si>
  <si>
    <t>Dakota Tipi School</t>
  </si>
  <si>
    <t>Counselling and Guidance</t>
  </si>
  <si>
    <t>$83 per eligible pupil at September 30, 2019.</t>
  </si>
  <si>
    <t>Source: Manitoba Education, Funding of Schools 2020-21 Guide, p5</t>
  </si>
  <si>
    <t>TOTAL COUNSELLING AND GUIDANCE</t>
  </si>
  <si>
    <t>=ROUND((FundingRate_ProfDev_perStud+IF(AND([@[Distance to Winnipeg]]&gt;=100,[@[Distance to Winnipeg]]&lt;=350),FundingRate_ProfDev_Distance1,IF([@[Distance to Winnipeg]]&gt;350,FundingRate_ProfDev_Distance2,0)))*[@[Eligible FTE]],0)</t>
  </si>
  <si>
    <t>Professional Development</t>
  </si>
  <si>
    <t>Support is the sum of (A + B) x C, where A = $39, B= $7 for a schools division whose board office is between 100 and 350 km from Winnipeg or $12 for a school division whose board office is more than 350 km from Winnipeg, and C= eligible enrolment at September 30, 2019</t>
  </si>
  <si>
    <t>Base Per Student Rate</t>
  </si>
  <si>
    <t>100 - 350 km</t>
  </si>
  <si>
    <t>Farther than 350 km</t>
  </si>
  <si>
    <t>Distance to Winnipeg</t>
  </si>
  <si>
    <t>TOTAL PROFESSIONAL DEVELOPMENT</t>
  </si>
  <si>
    <t>Physical Education</t>
  </si>
  <si>
    <t>Support is $125 per eligible pupil in grades 11 and 12 at September 30, 2019.</t>
  </si>
  <si>
    <t>Gr. 11-12 Eligible FTE</t>
  </si>
  <si>
    <t>Occupancy</t>
  </si>
  <si>
    <t>Support is the lesser of A. [(% of total active school area x 80%) + (% of total weighted ages of active school buildings x 20%)] x $85,500,000 or B. 68% x (allowable O&amp;M expenses + average 2012/13 and 2013/14 total Operating Fund expenses - total Operating Fund expenses from 2014/15 FRAME financial statements</t>
  </si>
  <si>
    <t>Derived from the average for proximate school divisions to First Nations using maintenance actual expenditure data from the FRAME Actuals 2018/19 available on the MET website.</t>
  </si>
  <si>
    <t>The proposed FNSS funding model applies a rate by proximate school division based on the average amount the province is allocating per square meter by provincial school division. See table below:</t>
  </si>
  <si>
    <t>DIVISION</t>
  </si>
  <si>
    <t>Occupancy Funding 2020-21 (FRAME)</t>
  </si>
  <si>
    <t>Per Sq ft by Division</t>
  </si>
  <si>
    <t>Per sq M rate by Division</t>
  </si>
  <si>
    <t xml:space="preserve">Adjustment: sq.m. </t>
  </si>
  <si>
    <t>Maintenance 2017/18 Actual</t>
  </si>
  <si>
    <t>Cost per Sq. F</t>
  </si>
  <si>
    <t>Cost per Sq mtr</t>
  </si>
  <si>
    <t>Total area Sept 20, 2017</t>
  </si>
  <si>
    <t>BORDER LAND</t>
  </si>
  <si>
    <t>to sq.ft. conversion</t>
  </si>
  <si>
    <t>FORT LA BOSSE</t>
  </si>
  <si>
    <t>FRONTIER</t>
  </si>
  <si>
    <t>LAKESHORE</t>
  </si>
  <si>
    <t>LORD SELKIRK</t>
  </si>
  <si>
    <t>MOUNTAIN VIEW</t>
  </si>
  <si>
    <t>PRAIRIE SPIRIT</t>
  </si>
  <si>
    <t>ROLLING RIVER</t>
  </si>
  <si>
    <t>SUNRISE</t>
  </si>
  <si>
    <t>TURTLE RIVER</t>
  </si>
  <si>
    <t xml:space="preserve">PARK WEST </t>
  </si>
  <si>
    <t>PARK WEST</t>
  </si>
  <si>
    <t>PORTAGE LA PRAIRIE</t>
  </si>
  <si>
    <t xml:space="preserve"> PROVINCE</t>
  </si>
  <si>
    <t>Source: Manitoba Education, Funding of Schools 2020-21 Guide, p6</t>
  </si>
  <si>
    <t>Source: Occupancy, FRAME 2020-21 Budget, Tab 52</t>
  </si>
  <si>
    <t>Proximate School Division</t>
  </si>
  <si>
    <t>School Size Sq M</t>
  </si>
  <si>
    <t>Total Occupancy Base</t>
  </si>
  <si>
    <t>Column1</t>
  </si>
  <si>
    <t>Remoteness Index</t>
  </si>
  <si>
    <t xml:space="preserve">Total Occupancy </t>
  </si>
  <si>
    <t>Total Occupancy Tax Base</t>
  </si>
  <si>
    <t xml:space="preserve"> </t>
  </si>
  <si>
    <t xml:space="preserve">Student Supports for First Nation Students </t>
  </si>
  <si>
    <t>$516 per eligible pupil at September 30, 2020</t>
  </si>
  <si>
    <t>Categorical Support</t>
  </si>
  <si>
    <t>Transportation</t>
  </si>
  <si>
    <t>The provincial funding formula draws on student residential information, detailed loaded kilometer and distance data, and special needs information. Refer to pages 7-9 of the Funding of Schools Program Guide for details.</t>
  </si>
  <si>
    <t>See  Tab "4. Transportation" for the First Nations Schools System approach to funding student transportation for students attending all school types.</t>
  </si>
  <si>
    <t>Board and Room</t>
  </si>
  <si>
    <t>Support is the lesser of $600/month and partial month that the student lives away from home or the sum of actual expenditures. See page 9 of the Manitoba Funding of Schools Guide 2017-18.</t>
  </si>
  <si>
    <t>Rates</t>
  </si>
  <si>
    <t>All</t>
  </si>
  <si>
    <t>South</t>
  </si>
  <si>
    <t>North</t>
  </si>
  <si>
    <t>Boarding/Residence Set Amount</t>
  </si>
  <si>
    <t>This calculation is for board and room funding for students attending band-operated schools. For all other Board and Room funding calculations see Tabs 4 and 4.i.</t>
  </si>
  <si>
    <t>Set per Student Amount</t>
  </si>
  <si>
    <t>Seasonal Transportation</t>
  </si>
  <si>
    <t>Travel Chaperones</t>
  </si>
  <si>
    <t>5-Day Room &amp; Board</t>
  </si>
  <si>
    <t>First Nation of Residence</t>
  </si>
  <si>
    <t>FN of  Res. North/South (North of 53 parallel)</t>
  </si>
  <si>
    <t>Mandatory PHP &lt;18 Headcount</t>
  </si>
  <si>
    <t>Student Residence &lt;18 Headcount</t>
  </si>
  <si>
    <t>Boarding School &lt;18 Headcount</t>
  </si>
  <si>
    <t>5-Day Room &amp; Board &lt;18 Headcount</t>
  </si>
  <si>
    <t>PHP &amp; Residence Set Per Student Amount</t>
  </si>
  <si>
    <t>PHP &amp; Residence Seasonal Transportation</t>
  </si>
  <si>
    <t>5-Day Room &amp; Board Rate</t>
  </si>
  <si>
    <t>TOTAL Board &amp; Room Band-Op Schools &lt;18</t>
  </si>
  <si>
    <t>Special Needs</t>
  </si>
  <si>
    <t>Coordinator/Clinician maximum support is the sum of $75 for school divisions south of the 53rd parallel or $112 for Frontier and school divisions north of the 53rd parallel plus an adjustment for sparsity multiplied by the eligible enrolment. The second portion of this component is support for Level 2 and 3 special needs. Refer to pages 10 and 11 of the Funding of Schools Program 2019-20 guide for details. Students 22 years and older are not eligible for Special Needs Level 2 and 3 Funding.</t>
  </si>
  <si>
    <t>The proposed FNSS funding model applies a per student funding rate based on the total Special Needs allocation to Frontier School Division.</t>
  </si>
  <si>
    <t>Source: Frontier Special Needs Allocation, FRAME 2020-21 Budget, Tab 53</t>
  </si>
  <si>
    <t>Coordinator/ Clinician Amount</t>
  </si>
  <si>
    <t>Level 2 &amp; 3 Amount</t>
  </si>
  <si>
    <t>Proximat SDs to FN-Op Schools</t>
  </si>
  <si>
    <t># of Students in FN-Op</t>
  </si>
  <si>
    <t>Funding of Schools Coordinator/ Clinician Avg</t>
  </si>
  <si>
    <t>Coordinator/ Clinician Ratio to FRONTIER</t>
  </si>
  <si>
    <t>Adjusted Coordinator/Clinician Rate</t>
  </si>
  <si>
    <t>Level 2&amp;3 Ratio to Frontier</t>
  </si>
  <si>
    <t>Funding of Schools Level 2&amp;3 Avg</t>
  </si>
  <si>
    <t>Adjusted Level 2&amp;3 Rate</t>
  </si>
  <si>
    <t xml:space="preserve"> Frontier Special Needs 2021-22 Allocation </t>
  </si>
  <si>
    <t xml:space="preserve"> Frontier Total Funded Enrolment </t>
  </si>
  <si>
    <t xml:space="preserve"> Frontier Proxy Rate </t>
  </si>
  <si>
    <t>Funding Pool</t>
  </si>
  <si>
    <t>Frontier Adjusted Coordinator/Clinician Rate</t>
  </si>
  <si>
    <t>Frontier Adjusted Level 2&amp;3 Rate</t>
  </si>
  <si>
    <t xml:space="preserve">Proximate School Divion </t>
  </si>
  <si>
    <t>Coordinator/Clinician Subtotal</t>
  </si>
  <si>
    <t>Level 2 and 3 Subtotal</t>
  </si>
  <si>
    <t xml:space="preserve">Special Needs TOTAL </t>
  </si>
  <si>
    <t>Total Special Needs</t>
  </si>
  <si>
    <t>Senior Years Technology (SYT)</t>
  </si>
  <si>
    <t>This allocation provides $165 per senior year FTE pupil per Category 1 Unit credit and $55 per FTE pupil per Category II unit credit and $5,500 per approved Vocational/Business Marketing program.</t>
  </si>
  <si>
    <t>River East Transcona SYT 2019-20 Allocation</t>
  </si>
  <si>
    <t>The proposed FNSS funding model applies per student rate based on the total allocation and grade 11 and 12 student enrolment Senior Years Technology for River East Transcona school division.</t>
  </si>
  <si>
    <t>River East Transcona Grade 11-12 Headcount</t>
  </si>
  <si>
    <t>Funding is applied to headcount students in grades 11 and 12 and ungradable secondary.</t>
  </si>
  <si>
    <t>River East Transcona SYT Rate per student:</t>
  </si>
  <si>
    <t>Sources: Total River East Transcona Grade 11 and 12 Headcount, Manitoba Education School Enrollment Report Sept. 30, 2019, Tab 25</t>
  </si>
  <si>
    <t>Source: Total River East Transcona Ssenior Years Technology Allocation, FRAME 2020-21 Budget, Tab 53</t>
  </si>
  <si>
    <t>Gr 11-12 Headcount</t>
  </si>
  <si>
    <t>English as an Additional Language</t>
  </si>
  <si>
    <t>Funding is provided for 4 consecutive years at a rate of $800 per FTE for the first year and $750 per FTE for the next 3 years for students with limited proficiency in the English language who are receiving English as an Additional Language (EAL) curriculum, instruction, and services. Assessment for EAL is done in Kindergarten.</t>
  </si>
  <si>
    <t>Percent of Frontier students in K-Grade 3:</t>
  </si>
  <si>
    <t>Frontier School Division serves as the comparable board for the proxy calculation. Frontier's K to Grade 3 enrolment is used to calculate funding based on K4 to Grade 2 enrolment in First Nations schools.</t>
  </si>
  <si>
    <t>Frontier Eligible Enrolment:</t>
  </si>
  <si>
    <t>Source: Total Frontier Allocation for EAL ($3,000) found in FRAME 2020-21 Budget, Tab 53</t>
  </si>
  <si>
    <t>Estimated Number of Eligible K-Grade 3 students:</t>
  </si>
  <si>
    <t>Source: Percent of Frontier’s headcount enrolment in grades K-3 (31.54%) based on the Manitoba Education School Enrolment Report Sept. 30, 2019, p11</t>
  </si>
  <si>
    <t>Frontier EAL Allocation 2020-21</t>
  </si>
  <si>
    <t xml:space="preserve">Source: Frontier’s Eligible Student Enrolment 2019 count provided directly by the Ministry of Education)
</t>
  </si>
  <si>
    <t>Frontier EAL Funding per Student (K-3):</t>
  </si>
  <si>
    <t>Kindergarten</t>
  </si>
  <si>
    <t>Gr 1 FTE</t>
  </si>
  <si>
    <t>Gr 2 FTE</t>
  </si>
  <si>
    <t>Gr 3 FTE</t>
  </si>
  <si>
    <t>Total English as an Additional Language</t>
  </si>
  <si>
    <t>Aboriginal Academic Achievement</t>
  </si>
  <si>
    <t>Manitoba Education currently allocates $9,000,000 annually for this grant and uses a distribution model to allocate it amongst all school boards based on their relative Aboriginal population. Along with this grant, Manitoba also provides funding through a proposal-based program, the Building Success with Aboriginal Parents (BSSAP) project, which totals approximately $600,000.</t>
  </si>
  <si>
    <t>Frontier School Division AAA Grant 2020-21</t>
  </si>
  <si>
    <t>Frontier’s Eligible Student Enrolment 2019</t>
  </si>
  <si>
    <t xml:space="preserve">According to 2011 Census data, 85.08% of the population under 25 years for the census divisions within Frontier School Division’s territory have Aboriginal identity. Appling this percentage to Frontier’s eligible enrolment results in a per student rate of $472 for Aboriginal Academic Achievement.
</t>
  </si>
  <si>
    <t>Frontier School Division AAA Grant per eligible student:</t>
  </si>
  <si>
    <t>Source: Statistics Canada, 2011 National Household Survey. Catalogue Number 99-011-X2011034. Summary of Census Divisions 19, 21, 22, and 23 (Manitoba Northern Region has a similar geographic area to that of Frontier School Division).</t>
  </si>
  <si>
    <t>Aboriginal identity population under 25:</t>
  </si>
  <si>
    <t>Source: Total Frontier Allocation for AAA found in FRAME 2020-21 Budget, Tab 53</t>
  </si>
  <si>
    <t>Comparability Approach Total</t>
  </si>
  <si>
    <t>Comparability TOTAL</t>
  </si>
  <si>
    <t>AAA TOTAL</t>
  </si>
  <si>
    <t>Aboriginal and International Languages</t>
  </si>
  <si>
    <t>This grant allocates $65 per Kindergarten or $130 per grades 1-12 bilingual Aboriginal or International Language pupil, and $14 for each Aboriginal or International Language course in which an eligible pupil is enrolled.</t>
  </si>
  <si>
    <t>Provincial Rates Aboriginal/ International Language</t>
  </si>
  <si>
    <r>
      <rPr>
        <sz val="10"/>
        <color theme="1"/>
        <rFont val="Calibri"/>
        <family val="2"/>
      </rPr>
      <t xml:space="preserve">● </t>
    </r>
    <r>
      <rPr>
        <sz val="10"/>
        <color theme="1"/>
        <rFont val="Calibri"/>
        <family val="2"/>
        <scheme val="minor"/>
      </rPr>
      <t>The proposed comparability approach uses the “extent of First Nation language instruction” as reported in the Nominal Roll to apply the funding rates outlined for Aboriginal/International language bilingual pupils and Aboriginal and International Language course enrolment in the provincial formula.</t>
    </r>
  </si>
  <si>
    <t>Kindergarten Student</t>
  </si>
  <si>
    <r>
      <rPr>
        <sz val="10"/>
        <color theme="1"/>
        <rFont val="Calibri"/>
        <family val="2"/>
      </rPr>
      <t xml:space="preserve">● </t>
    </r>
    <r>
      <rPr>
        <sz val="10"/>
        <color theme="1"/>
        <rFont val="Calibri"/>
        <family val="2"/>
        <scheme val="minor"/>
      </rPr>
      <t>The Enhanced Aboriginal Languages Grant provides $1,500 per eligible student.</t>
    </r>
  </si>
  <si>
    <t>Gr. 1-12 Student</t>
  </si>
  <si>
    <t>Per Course</t>
  </si>
  <si>
    <t>Source: Manitoba Education, Funding of Schools 2020-21 Guide, p14</t>
  </si>
  <si>
    <t>K4-K5 Eligible Headcount All or More than One Subject</t>
  </si>
  <si>
    <t>Grade 1-12 Eligible Headcount All or More than One Subject</t>
  </si>
  <si>
    <t>K4-12 Eligible Headcount One Subject</t>
  </si>
  <si>
    <t>Total Eligible FTE</t>
  </si>
  <si>
    <t>Comparability Aboriginal Languages TOTAL</t>
  </si>
  <si>
    <t>ENHANCED Aboriginal Languages TOTAL</t>
  </si>
  <si>
    <t>French Language Education</t>
  </si>
  <si>
    <t>Funding is provided by the province based on the type and amount of French language instruction being delivered (e.g. Français, immersion, intensive, or French courses in English schools).</t>
  </si>
  <si>
    <t>The proposed FNSS funding model allocates the English Program rates of the Funding of Schools Program formula and assumes that instruction time in First Nation schools is less than 10% of instruction time.</t>
  </si>
  <si>
    <t>K4 to Grade 3 less than 13.3% instruction time rate</t>
  </si>
  <si>
    <t>Grade 7 to 8 less than 10.6% instruction time rate</t>
  </si>
  <si>
    <t>Grade 4 to 6 less than 10.0% instruction time rate</t>
  </si>
  <si>
    <t>Grade 9 to 12 French per pupil in French 9-Year course</t>
  </si>
  <si>
    <t>Percent of French Instruction Time</t>
  </si>
  <si>
    <t>Source: Manitoba Education, Funding of Schools 2020-21Guide, p16</t>
  </si>
  <si>
    <t>K4 to Grade 3 FTE and Ungrad. Elem.</t>
  </si>
  <si>
    <t>Grade 4-6 FTE</t>
  </si>
  <si>
    <t>Grade 7-8 FTE</t>
  </si>
  <si>
    <t>Grade 9-12 FTE</t>
  </si>
  <si>
    <t>Small Schools</t>
  </si>
  <si>
    <t>This allocation provides funding to eligible rural schools with a low average numbers of pupils per grade. Adult Education programs are not eligible for this funding. Rates are based on the average number of FTEs by grade are applied. In addition, $5,300 is allocated per school if the school qualifies for the small schools support based on their FTEs per grade.</t>
  </si>
  <si>
    <t>Elementary grades with &lt; 5.0 average pupils per grade</t>
  </si>
  <si>
    <t>Adjustment for Elementary grades with 5.0 to &lt; 20.0 average pupils per grade</t>
  </si>
  <si>
    <t>Source: Manitoba Education, Funding of Schools 2020-21 Guide, p17</t>
  </si>
  <si>
    <t>Secondary grades with &lt; 10.0 average pupils per grade</t>
  </si>
  <si>
    <t>Adjustment for Secondary grades with 10.0 to &lt; 50.0 average pupils per grade</t>
  </si>
  <si>
    <t>Per Small School Allocation</t>
  </si>
  <si>
    <t>Elem. FTE</t>
  </si>
  <si>
    <t>Second. FTE</t>
  </si>
  <si>
    <t>Avg Elem. FTEs per Grade</t>
  </si>
  <si>
    <t>Avg Second. FTEs per Grade</t>
  </si>
  <si>
    <t>Elem. Small Schools &lt;5 FTE per Grade</t>
  </si>
  <si>
    <t>Elem. Small Schools 5&lt;20 FTE per Grade</t>
  </si>
  <si>
    <t>Second. Small Schools &lt;10 FTE per Grade</t>
  </si>
  <si>
    <t>Second. Small Schools 10&lt;50 FTE per Grade</t>
  </si>
  <si>
    <t>Small Schools - Per School Allocation</t>
  </si>
  <si>
    <t>Total Small Schools</t>
  </si>
  <si>
    <t>Enrolment Change Support</t>
  </si>
  <si>
    <t>This allocation helps to support schools divisions when adjusting for decreases or increases in their eligible enrolment.</t>
  </si>
  <si>
    <t>This allocation will be applied in future years for the proposed FNSS funding model; the formula generates $0 in year 1.</t>
  </si>
  <si>
    <t>For school divisions with a decrease, support is: (Eligible enrolment in Formula Year-2 - Eligible enrolment in Formula Year-1) x (Current Formula Year Base Support excluding Occupancy)/Eligible enrolment in Formula Year-1</t>
  </si>
  <si>
    <t>For school divisions with an increase, support is: (Eligible enrolment in Current Formula Year - Eligible enrolment in Formula Year-1) x (Current Formula Year Base Support excluding Occupancy)/Eligible enrolment in Formula Year-1</t>
  </si>
  <si>
    <t>Source: Manitoba Education, Funding of Schools 2020-21 Guide, p18</t>
  </si>
  <si>
    <t>Total Enrolment Formula Year - 2019/20</t>
  </si>
  <si>
    <t>Total Enrolment  Formula Year - 2020/21</t>
  </si>
  <si>
    <t>Total Enrolment Current Formula Year - 2021/22</t>
  </si>
  <si>
    <t>Base Support Current Formula Year (excluding Occupancy) 2020-21</t>
  </si>
  <si>
    <t>A. Decrease in NR from 2018 to 2019</t>
  </si>
  <si>
    <t>B. Increase in NR from 2019 to 2020</t>
  </si>
  <si>
    <t>Greater of A and B TOTAL ENROLMENT CHANGE SUPPORT</t>
  </si>
  <si>
    <t>Northern Allowance</t>
  </si>
  <si>
    <t>Funding is provided for Frontier School Division and for schools north of the 53rd parallel at a rate of $670 per FTE.</t>
  </si>
  <si>
    <r>
      <t>This allocation is directly applied in the proposed FNSS funding model. In addition to communities north of the 53</t>
    </r>
    <r>
      <rPr>
        <vertAlign val="superscript"/>
        <sz val="11"/>
        <color theme="1"/>
        <rFont val="Calibri"/>
        <family val="2"/>
        <scheme val="minor"/>
      </rPr>
      <t>rd</t>
    </r>
    <r>
      <rPr>
        <sz val="10"/>
        <color theme="1"/>
        <rFont val="Calibri"/>
        <family val="2"/>
        <scheme val="minor"/>
      </rPr>
      <t xml:space="preserve"> parallel, winter road or fly-in communities below the 53</t>
    </r>
    <r>
      <rPr>
        <vertAlign val="superscript"/>
        <sz val="11"/>
        <color theme="1"/>
        <rFont val="Calibri"/>
        <family val="2"/>
        <scheme val="minor"/>
      </rPr>
      <t>rd</t>
    </r>
    <r>
      <rPr>
        <sz val="10"/>
        <color theme="1"/>
        <rFont val="Calibri"/>
        <family val="2"/>
        <scheme val="minor"/>
      </rPr>
      <t xml:space="preserve"> parallel also receive this allocation.</t>
    </r>
  </si>
  <si>
    <t>North/South of the 53rd Parallel</t>
  </si>
  <si>
    <t>Northern Allowance Tax Base (Full Allocation)</t>
  </si>
  <si>
    <t>Northern Allowance TOTAL</t>
  </si>
  <si>
    <t>Classification</t>
  </si>
  <si>
    <t xml:space="preserve">Band Number </t>
  </si>
  <si>
    <t>Band Name</t>
  </si>
  <si>
    <t>BCM Remoteness Index</t>
  </si>
  <si>
    <t>Relative adjustment factor</t>
  </si>
  <si>
    <t>Per FTE</t>
  </si>
  <si>
    <t>Average FTE by group</t>
  </si>
  <si>
    <t>1 (isolated)</t>
  </si>
  <si>
    <t>Bunibonibee Cree Nation</t>
  </si>
  <si>
    <t>God's Lake First Nation</t>
  </si>
  <si>
    <t>Manto Sipi Cree Nation</t>
  </si>
  <si>
    <t>Red Sucker Lake</t>
  </si>
  <si>
    <t>Wasagamack First Nation</t>
  </si>
  <si>
    <t>Garden Hill First Nations</t>
  </si>
  <si>
    <t>St. Theresa Point</t>
  </si>
  <si>
    <t>Northlands</t>
  </si>
  <si>
    <t>Sayisi Dene First Nation</t>
  </si>
  <si>
    <t>Shamattawa First Nation</t>
  </si>
  <si>
    <t>Little Grand Rapids</t>
  </si>
  <si>
    <t>Pauingassi First Nation</t>
  </si>
  <si>
    <t>Poplar River First Nation</t>
  </si>
  <si>
    <t>Mathias Colomb</t>
  </si>
  <si>
    <t>York Factory First Nation</t>
  </si>
  <si>
    <t>2 (northern)</t>
  </si>
  <si>
    <t>Nisichawayasihk Cree Nation</t>
  </si>
  <si>
    <t>Tataskweyak Cree Nation</t>
  </si>
  <si>
    <t>Chemawawin Cree Nation</t>
  </si>
  <si>
    <t>Cross Lake First Nation</t>
  </si>
  <si>
    <t>Opaskwayak Cree Nation</t>
  </si>
  <si>
    <t>average</t>
  </si>
  <si>
    <t>Literacy and Numeracy</t>
  </si>
  <si>
    <t>Support is $80 per eligible K-12 pupil and an allocation for Reading Recovery® teacher leader training. The proposed FNSS funding model directly applies $80 per FTE.  The Reading Recovery Teacher Leader Support allocation is applied as follows:</t>
  </si>
  <si>
    <t>Funding at a school board level is based on the salary allocation to approved boards with nearest eligible enrolment to the FNSS Board ($63,250) and the travel allocation based on actuals for travel to the FNSS communities as outlined by MFNERC and approved in Structural Readiness Proposals.</t>
  </si>
  <si>
    <t>Salary</t>
  </si>
  <si>
    <t>Source: Manitoba Education, Funding of Schools 2020-21 Guide, p19</t>
  </si>
  <si>
    <t>Literacy and Numeracy Per FTE</t>
  </si>
  <si>
    <t>RRTL Salary Allolcation</t>
  </si>
  <si>
    <t>RRTL Travel Allocation by School</t>
  </si>
  <si>
    <t>Literacy and Numeracy TOTAL</t>
  </si>
  <si>
    <t xml:space="preserve"> $63,250 </t>
  </si>
  <si>
    <t>Education for Sustainable Development</t>
  </si>
  <si>
    <t>Funding is provided to support school divisions in their efforts to incorporate Education for Sustainable Development into all aspects of school division and school activities at a rate of $700 per school.</t>
  </si>
  <si>
    <t>This allocation is directly applied in the proposed FNSS funding model.</t>
  </si>
  <si>
    <t>Per School Rate</t>
  </si>
  <si>
    <t>Source: Manitoba Education, Funding of Schools 2020-21 Guide, p20</t>
  </si>
  <si>
    <t>"EB-PD-EOFIU - Menstrual product amounts - Costing.xlsx" can be accessed via the following link: https://gcdocs.intra.pri/aanc-inac/llisapi.dll/Overview/98818395</t>
  </si>
  <si>
    <t xml:space="preserve">First Nation school </t>
  </si>
  <si>
    <t>Provincial</t>
  </si>
  <si>
    <t>Band no</t>
  </si>
  <si>
    <t>Band-Op Head Count</t>
  </si>
  <si>
    <t>Number of programs</t>
  </si>
  <si>
    <t>New program in 2022-23</t>
  </si>
  <si>
    <t>Pad Cost</t>
  </si>
  <si>
    <t>Tampon Cost</t>
  </si>
  <si>
    <t>Cup Cost</t>
  </si>
  <si>
    <t>Dispenser cost</t>
  </si>
  <si>
    <t>First Nation School Total</t>
  </si>
  <si>
    <t>Prov/Private NR</t>
  </si>
  <si>
    <t>Pad Cost2</t>
  </si>
  <si>
    <t>Tampon Cost3</t>
  </si>
  <si>
    <t>Cup Cost4</t>
  </si>
  <si>
    <t xml:space="preserve">Provincial School Total </t>
  </si>
  <si>
    <t>Total Allocation</t>
  </si>
  <si>
    <t>No</t>
  </si>
  <si>
    <t>% of children attending:</t>
  </si>
  <si>
    <t>% of children attending full day:</t>
  </si>
  <si>
    <t>Number of PD days off:</t>
  </si>
  <si>
    <t>Number of spring break days off:</t>
  </si>
  <si>
    <t>Variable (see rates tab)</t>
  </si>
  <si>
    <t>formula spec ed amount (generated by K4-Gr6) *uptake rate * top up rate</t>
  </si>
  <si>
    <t xml:space="preserve">First Nation BASP </t>
  </si>
  <si>
    <t>BASE BASC</t>
  </si>
  <si>
    <t>Additional Funding for Days Off</t>
  </si>
  <si>
    <t xml:space="preserve">Parental Contribution </t>
  </si>
  <si>
    <t>JK- Half-Day</t>
  </si>
  <si>
    <t>JK- Full-Day</t>
  </si>
  <si>
    <t>K - Half-Day</t>
  </si>
  <si>
    <t>K - Full-Day</t>
  </si>
  <si>
    <t>Grand Total</t>
  </si>
  <si>
    <t>Total HC</t>
  </si>
  <si>
    <t>New Program 2022-23</t>
  </si>
  <si>
    <t>Provincial investment adjustment factor</t>
  </si>
  <si>
    <t>Number of students considered for before/after care</t>
  </si>
  <si>
    <t>30011A - Students enrolled and regularly attending</t>
  </si>
  <si>
    <t>K4 students</t>
  </si>
  <si>
    <t>30011B - Snack Amount</t>
  </si>
  <si>
    <t>30015 - Centres with 200 students or more</t>
  </si>
  <si>
    <t>30016 - Small Center Rate, if qualify</t>
  </si>
  <si>
    <t xml:space="preserve">30016 - Small Centres
</t>
  </si>
  <si>
    <t>30017 - Time for Consultation, Planning and Preparation</t>
  </si>
  <si>
    <t>K4-Gr.6 Spec Ed amount</t>
  </si>
  <si>
    <t>Additional Spec Ed</t>
  </si>
  <si>
    <t>Pensions and Benefits</t>
  </si>
  <si>
    <t>One time Start up</t>
  </si>
  <si>
    <t xml:space="preserve">Subtotal - Base BASC </t>
  </si>
  <si>
    <t>Number of students covered for full day care</t>
  </si>
  <si>
    <t>30013A - Professinal Development Days</t>
  </si>
  <si>
    <t>30013B - Reading Week</t>
  </si>
  <si>
    <t>Subtotal - Additional funding for days off</t>
  </si>
  <si>
    <t>Subtotal for Adjustment Factor</t>
  </si>
  <si>
    <t>Total Base BASC and Days off</t>
  </si>
  <si>
    <t>Base parental contribution</t>
  </si>
  <si>
    <t>Provincial Adjustment Factor Out</t>
  </si>
  <si>
    <t>Subtotal - Parental contribution</t>
  </si>
  <si>
    <t>Total Band-Op BASC</t>
  </si>
  <si>
    <t>Amount per student</t>
  </si>
  <si>
    <t>Total Government subsidy, no spec ed or start up</t>
  </si>
  <si>
    <t>Start up funding</t>
  </si>
  <si>
    <t>Total Parental Contribution</t>
  </si>
  <si>
    <t>TOTAL BAND OP 40%</t>
  </si>
  <si>
    <t>Total Excluding HCSE</t>
  </si>
  <si>
    <t>MANITOBA FIRST NATIONS EDUCATION RESOURCE CENTRE INC.</t>
  </si>
  <si>
    <t xml:space="preserve">Provincial BASP </t>
  </si>
  <si>
    <r>
      <t xml:space="preserve">Total Government subsidy, </t>
    </r>
    <r>
      <rPr>
        <b/>
        <sz val="11"/>
        <color theme="1"/>
        <rFont val="Calibri"/>
        <family val="2"/>
      </rPr>
      <t>no</t>
    </r>
    <r>
      <rPr>
        <sz val="11"/>
        <color theme="1"/>
        <rFont val="Calibri"/>
        <family val="2"/>
      </rPr>
      <t xml:space="preserve"> spec ed or start up</t>
    </r>
  </si>
  <si>
    <t>Brokenhead Ojibway Nation</t>
  </si>
  <si>
    <t>Pinaymootang First Nation</t>
  </si>
  <si>
    <t>Roseau River Anishinabe First Nation Government</t>
  </si>
  <si>
    <t>Stabilization</t>
  </si>
  <si>
    <t>Portion of funding considered</t>
  </si>
  <si>
    <t>Maximum decrease</t>
  </si>
  <si>
    <t>Band No.</t>
  </si>
  <si>
    <t>Previous year - Total Formula for FN Schools (including student accommodations)</t>
  </si>
  <si>
    <t>Decrease Threshold</t>
  </si>
  <si>
    <t>Current year - Total Formula for FN Schools (including student accommodations)</t>
  </si>
  <si>
    <t>Previous year - Stabilization</t>
  </si>
  <si>
    <t>Current year - Stabilization</t>
  </si>
  <si>
    <t>Current year - Total FN School Funding</t>
  </si>
  <si>
    <t>MFNSS</t>
  </si>
  <si>
    <t>No decrease, so Stabilization not reqwuired this year, Calculated at System Level</t>
  </si>
  <si>
    <t>Second Level Services is $2,687 per eligible public pupil at September 30, 2019</t>
  </si>
  <si>
    <t>TOTAL TAX BASE</t>
  </si>
  <si>
    <t>School Administration is $520 per eligible public pupil at September 30, 2018</t>
  </si>
  <si>
    <t>Beyond the Occupancy allocation (operations and maintenance) included in Base Support, funding for “minor capital” projects is included in this proposed model through the following grants:</t>
  </si>
  <si>
    <t>School Building Support per sq. m.</t>
  </si>
  <si>
    <t>Minor Capital ("Other Program") Grants</t>
  </si>
  <si>
    <t>2020-21 Budgeted Allocation</t>
  </si>
  <si>
    <t>TEER per Gr. 9-12 Headcount</t>
  </si>
  <si>
    <t>School Building Support - Section D Grant</t>
  </si>
  <si>
    <t>SSEEF per Gr. 7-12 Headcount</t>
  </si>
  <si>
    <t>Technical Education Equipment Replacement Grant (TEER)</t>
  </si>
  <si>
    <t>Skills Strategy Equipment Enhancement Fund (SSEEF)</t>
  </si>
  <si>
    <t>Source: Manitoba Education, Funding of Schools 2020-21 Guide, p25</t>
  </si>
  <si>
    <t>School Size in Sq. M.</t>
  </si>
  <si>
    <t>Grade 9-12 Headcount &amp; Ungradable Second.</t>
  </si>
  <si>
    <t>Grade 7-12 &amp; Ungradable Second. Headcount</t>
  </si>
  <si>
    <t>School Building Support Total</t>
  </si>
  <si>
    <t>TEER Total</t>
  </si>
  <si>
    <t>SSEEF Total</t>
  </si>
  <si>
    <t>This tab does not influcence funding levels as the tax base is distributed through the "Property Tax Base Component Allocations"</t>
  </si>
  <si>
    <t>Property Tax Related Components</t>
  </si>
  <si>
    <t>The Ministry of Education provides additional grants to offset some of the burden of raising funding through their property tax base for some school divisions. These grants  are included below for the proposed FNSS funding model: Equalization Support, Additional Equalization, Education Property Tax Credit, Tax Incentive Grant, and Municipal Government Revenue.</t>
  </si>
  <si>
    <t>PROXIMATE SCHOOL DIVISION</t>
  </si>
  <si>
    <t>Equalization</t>
  </si>
  <si>
    <t>Additional Equalization and one time top-up</t>
  </si>
  <si>
    <t>Education Property Tax Credit</t>
  </si>
  <si>
    <t>Tax Incentive Grant and Property Tax Off-set Grant</t>
  </si>
  <si>
    <t>Total Municipal Government Revenue</t>
  </si>
  <si>
    <t>Total Tax Base Revenue</t>
  </si>
  <si>
    <t>Funded Headcount</t>
  </si>
  <si>
    <t>Avg per headcount</t>
  </si>
  <si>
    <t>Equalization Only Avg per Headcount</t>
  </si>
  <si>
    <t>Total Eligible Headcount</t>
  </si>
  <si>
    <t xml:space="preserve">Proximate School Divison </t>
  </si>
  <si>
    <t>Envelope Allocation</t>
  </si>
  <si>
    <t xml:space="preserve">Equalization </t>
  </si>
  <si>
    <t>Average</t>
  </si>
  <si>
    <t>Equalization and Additional Equalization Portion</t>
  </si>
  <si>
    <t>Shown for the purposes of calculating the Formula Guarantee</t>
  </si>
  <si>
    <t>Other Support/Revenue from the Ministry of Education</t>
  </si>
  <si>
    <t>The province provides other supports towards the operating costs of school divisions through grants external to the formula for Base and Categorical support. These grants target numerous initiatives and many are specific to only one or a few school divisions. The proposed FNSS funding model take the grand total of all of these components and calculates a per eligible student rate, which is then applied to the total FTE enrolment in First Nations schools.</t>
  </si>
  <si>
    <t>Formula = Total Other Support/Revenue from the Department of Education ($364,913,540) less the Education Property Tax Credit and the Tax Incentive Grant ($248,933,997) ÷ Total eligible enrolment (174,773.6)</t>
  </si>
  <si>
    <t>FRAME Budget 2021/22 Totals</t>
  </si>
  <si>
    <t>Total Other Support/Revenue</t>
  </si>
  <si>
    <t>Less:</t>
  </si>
  <si>
    <t>Tax Incentive Grant</t>
  </si>
  <si>
    <t>TOG</t>
  </si>
  <si>
    <t>Provincial Eligible Pupil Enrolment (FTE)</t>
  </si>
  <si>
    <t>Update results in increase</t>
  </si>
  <si>
    <t>Other Support/Revenue per FTE student rate</t>
  </si>
  <si>
    <t>Sources: Other Department of Education funding to School Divisions total in 2020-21 FRAME Budget Detail Tab 41 and Total provincially supported pupils (174,773.6) actual at September 30, 2019 for 2020/21 funding allocations.</t>
  </si>
  <si>
    <t>To be updated in February Update</t>
  </si>
  <si>
    <t>According to the Manitoba First Nations Schools System Governance Agreement, the funding model will include a formula guarantee adjustment on the same basis as that provided by the Ministry of Education to provincial school divisions.</t>
  </si>
  <si>
    <t xml:space="preserve">Based on the Funding of Schools Guide and Funding of Schools Program Regulation , the Manitoba Ministry of Education allocates an annual Formula Guarantee for school divisions. The guarantee is the greater of 0 or the sum calculated as follows: 
</t>
  </si>
  <si>
    <t>A. 98% of the previous year’s funding to a school division Base, Categorical (which includes Transportation), Equalization, School Buildings (Earned) Support, and Formula Guarantee</t>
  </si>
  <si>
    <t xml:space="preserve">Less: </t>
  </si>
  <si>
    <t>B. Funding added after Sept. 30 of the previous school year for Level 3 Emotionally/Behaviorally Disordered Special Needs support and Unified Referral and Intake System Group A pupils, and</t>
  </si>
  <si>
    <t>C. Current year’s Base, Categorical, Equalization, School Buildings (Earned) Support and Formula Guarantee funding excluding support added after Sept. 30 of the current school year for Level 3 Emotionally/Behaviorally Disordered Special Needs and Unified Referral and Intake System Group A pupils</t>
  </si>
  <si>
    <t>A. As described above X 98%</t>
  </si>
  <si>
    <t>B. As described above</t>
  </si>
  <si>
    <t>C. As described above</t>
  </si>
  <si>
    <t>Manitoba First Nations Schools System</t>
  </si>
  <si>
    <t>2018/19 Final</t>
  </si>
  <si>
    <t>Current</t>
  </si>
  <si>
    <t>Base</t>
  </si>
  <si>
    <t>Categorical (including Transportation)</t>
  </si>
  <si>
    <t>Equalization (including Additional Equalization)</t>
  </si>
  <si>
    <t>School Building (Earned) Support</t>
  </si>
  <si>
    <t>Current Service Teacher Pensions</t>
  </si>
  <si>
    <t>This funding is to provide ministry-level contributions to current service teacher pensions. The proposed FNSS model approximates funding levels for the employer’s contribution to pension plans based on the Province of Manitoba’s expenditures for current service employer contributions to the Teacher’s Retirement Allowances Fund (TRAF) as a percentage of total provincial Funding of Schools Base Support funding. Support is calculated as follows:</t>
  </si>
  <si>
    <t>Manitoba Base Support Funding 2020-21</t>
  </si>
  <si>
    <t>Manitoba Education current service TRAF contributions as a percent of Base Funding</t>
  </si>
  <si>
    <t>Ministry of Education Employer’s Share of current service teachers contributions for TRAF 2019-20 Budget</t>
  </si>
  <si>
    <t>Sources: Total Manitoba Education Base Support Funding to School Divisions found in FRAME 2020-21 Budget, Tab 52</t>
  </si>
  <si>
    <t>TRAF 2019-20 contribution total is provided directly by the Ministry of Education.</t>
  </si>
  <si>
    <t>Total Base Support Funding</t>
  </si>
  <si>
    <t>TOTAL PENSIONS</t>
  </si>
  <si>
    <t>2. Base Tuition and Special Education Tuition Rate for Provincial &amp; Private Schools - Students &lt;22</t>
  </si>
  <si>
    <t>The base tuition rate of the district of the school where the student attends (or the proximate school district for indepenedent and adult ed schools):</t>
  </si>
  <si>
    <t>See Annex I for Base Tuition Rates calculations.</t>
  </si>
  <si>
    <t>Special Education Tuition Rate:</t>
  </si>
  <si>
    <t>Frontier Level 2 and 3 per student rate</t>
  </si>
  <si>
    <t>Student Supports</t>
  </si>
  <si>
    <t>Total &lt;22 Prov&amp;Priv FTE</t>
  </si>
  <si>
    <t>District of the School Attended</t>
  </si>
  <si>
    <t>Proximate Public School District to First Nation of Residence</t>
  </si>
  <si>
    <t>Base Tuition Rate</t>
  </si>
  <si>
    <t>Proximate Tuition Rate for Adult Centres, Private and Unaffiliated Schools</t>
  </si>
  <si>
    <t>BASE TUITION</t>
  </si>
  <si>
    <t>SPEC ED TUITION</t>
  </si>
  <si>
    <t>TOTAL Tuition Funding</t>
  </si>
  <si>
    <t xml:space="preserve">Tuition Administration Support </t>
  </si>
  <si>
    <t>Provincial Student Supports</t>
  </si>
  <si>
    <t>2. Base Tuition for Provincial &amp; Private Schools - STUDENTS 22+</t>
  </si>
  <si>
    <t>Total Prov &amp; Priv FTE 22+</t>
  </si>
  <si>
    <t>Total BASE TUITION 22+</t>
  </si>
  <si>
    <t>Border Land</t>
  </si>
  <si>
    <t>Brandon</t>
  </si>
  <si>
    <t>Evergreen</t>
  </si>
  <si>
    <t>Fort La Bosse</t>
  </si>
  <si>
    <t>Hanover</t>
  </si>
  <si>
    <t>Interlake</t>
  </si>
  <si>
    <t>Kelsey</t>
  </si>
  <si>
    <t>Lakeshore</t>
  </si>
  <si>
    <t>Louis Riel</t>
  </si>
  <si>
    <t>Mountain View</t>
  </si>
  <si>
    <t>Mystery Lake</t>
  </si>
  <si>
    <t>Park West (Dorrell)</t>
  </si>
  <si>
    <t>Portage La Prairie</t>
  </si>
  <si>
    <t>Red River Valley</t>
  </si>
  <si>
    <t>River East Transcone</t>
  </si>
  <si>
    <t>Rolling Rover</t>
  </si>
  <si>
    <t>Selkirk</t>
  </si>
  <si>
    <t>Siene River</t>
  </si>
  <si>
    <t>Seven Oaks</t>
  </si>
  <si>
    <t>St. James Assiniboia</t>
  </si>
  <si>
    <t>Sunrise</t>
  </si>
  <si>
    <t>Swan Valley</t>
  </si>
  <si>
    <t>Turtle Mountain</t>
  </si>
  <si>
    <t xml:space="preserve">Winnipeg </t>
  </si>
  <si>
    <t>Pembina Trails</t>
  </si>
  <si>
    <t>Waywayseecappo (Run by Park West)</t>
  </si>
  <si>
    <t>Frontier - Barren Lands - Brochet School</t>
  </si>
  <si>
    <t>Frontier - Berens River</t>
  </si>
  <si>
    <t>Frontier - Birdtail Sioux</t>
  </si>
  <si>
    <t>Frontier - Black River</t>
  </si>
  <si>
    <t>Frontier - Dauphin River</t>
  </si>
  <si>
    <t>Frontier - Fox Lake - Gillam School</t>
  </si>
  <si>
    <t>Frontier - Grand Rapids</t>
  </si>
  <si>
    <t>Frontier - Wanipagow School</t>
  </si>
  <si>
    <t>Frontier - O-Popon-Na-Piwin - Oscar Balckburn</t>
  </si>
  <si>
    <t>Frontier - Leaf Rapids</t>
  </si>
  <si>
    <t>Frontier - Marcel Colomb - West Lynn Heights School</t>
  </si>
  <si>
    <t>Frontier - Moose Lake - Frontier Mosakahiken School</t>
  </si>
  <si>
    <t>Frontier - Pine Creek - Philomene Chartrand School</t>
  </si>
  <si>
    <t>Frontier - Pine Creek - Minegoziibe School</t>
  </si>
  <si>
    <t>Frontier - Skownan - Rorekton</t>
  </si>
  <si>
    <t>Frontier - Skownan</t>
  </si>
  <si>
    <t>Frontier - Skownan - Waterhen</t>
  </si>
  <si>
    <t>Frontier - Fwar Lake - Julie Lindal School</t>
  </si>
  <si>
    <t>Frontier - Frontier Collegiate Institute</t>
  </si>
  <si>
    <t>Frontier - Duke of Marlborough</t>
  </si>
  <si>
    <t>3. Transportation</t>
  </si>
  <si>
    <t>The FNSS funding model will use the INAC region’s current approach to funding transportation in Manitoba for students attending all school types. This approach provides a higher funding level than the provincial formula to support unique needs for student transportation in First Nations communities.</t>
  </si>
  <si>
    <t>See "Transportation Calculation" Tab for details.</t>
  </si>
  <si>
    <t>2019-20 School Year Allocations</t>
  </si>
  <si>
    <t>Transportation Calculation</t>
  </si>
  <si>
    <t>Student Transportation funding is calculated by First Nation based on the following:</t>
  </si>
  <si>
    <t>Transportation Rates Summary</t>
  </si>
  <si>
    <t>See Tab R. 2017-18 Transportation Rates for details</t>
  </si>
  <si>
    <t>Bus Driver Training - costing estimated per community for on-site training</t>
  </si>
  <si>
    <t>[(Off-Reserve Routes Total + On-Reserve Routes Total + Half-Day Routes + Bus Driver Salaries + Extra-Curricular/Field Trips)</t>
  </si>
  <si>
    <t>School Days</t>
  </si>
  <si>
    <t>Extra-curricular  kms:</t>
  </si>
  <si>
    <t>Training Provider/ Professional Fees</t>
  </si>
  <si>
    <t>One-day, excluding tax</t>
  </si>
  <si>
    <t>x Remoteness Factor] + Bus Replacement Support + Bus Modifications Support + Annual Bus Driver Training</t>
  </si>
  <si>
    <t>Bus Driver Salary Days</t>
  </si>
  <si>
    <t>% of On-Reserve Roads Travelled</t>
  </si>
  <si>
    <t>47-Passenger Bus Replacement:</t>
  </si>
  <si>
    <t>Cultural Protocols</t>
  </si>
  <si>
    <t>Presiding Elder</t>
  </si>
  <si>
    <t>NOTE: Boarded Students are not eligible for regular transportation, funding for boarded student transportation is allocated through Student Accommodation.</t>
  </si>
  <si>
    <t>Maintenance per km:</t>
  </si>
  <si>
    <t>71-Passenger Bus Replacement:</t>
  </si>
  <si>
    <t>Training Facility and Amenities</t>
  </si>
  <si>
    <t>MFNERC approved Structural Readiness Budget</t>
  </si>
  <si>
    <t>Bus Driver Avg Salary:</t>
  </si>
  <si>
    <t>Bus Modifications:</t>
  </si>
  <si>
    <t>per trainee</t>
  </si>
  <si>
    <t>Prov K4 Headcount</t>
  </si>
  <si>
    <t>Prov K4 Program Type</t>
  </si>
  <si>
    <t>Prov K5 Headcount</t>
  </si>
  <si>
    <t>Prov K5 Program Type</t>
  </si>
  <si>
    <t>Transported Prov Headcount Gr.1-12 &lt;22</t>
  </si>
  <si>
    <t>FN Op K4 Headcount</t>
  </si>
  <si>
    <t>FN K4 Program Type</t>
  </si>
  <si>
    <t>FN Op K5 Headcount</t>
  </si>
  <si>
    <t>FN K5 Program Type</t>
  </si>
  <si>
    <t>FN Operated Gr. 1-12 &lt;22</t>
  </si>
  <si>
    <t>Total Kindergarten Enrolment</t>
  </si>
  <si>
    <t>Total Gr. 1-12 Enrolment &lt;22</t>
  </si>
  <si>
    <t>TOTAL Headcount Enrolment &lt;22</t>
  </si>
  <si>
    <t>47-Passenger Buses</t>
  </si>
  <si>
    <t>71-Passenger Buses</t>
  </si>
  <si>
    <t>Total Buses &amp; Drivers</t>
  </si>
  <si>
    <t>No. of Buses on Prov Routes</t>
  </si>
  <si>
    <t>No. of Buses on FN School Routes</t>
  </si>
  <si>
    <t>Students requiring Half-Day Route</t>
  </si>
  <si>
    <t>Total Half-Day Routes</t>
  </si>
  <si>
    <t>Half-Day Buses on Prov Routes</t>
  </si>
  <si>
    <t>Half-Day Buses on FN Routes</t>
  </si>
  <si>
    <t>Off-Reserve Kms Prov Schools</t>
  </si>
  <si>
    <t>On-Reserve Kms (CAIS)</t>
  </si>
  <si>
    <t>Remoteness Factor</t>
  </si>
  <si>
    <t>Off-Reserve Routes</t>
  </si>
  <si>
    <t>On-Reserve Routes</t>
  </si>
  <si>
    <t>Half-Day Off-Reserve Routes</t>
  </si>
  <si>
    <t>Half-Day On-Reserve Routes</t>
  </si>
  <si>
    <t>Bus Driver Salary</t>
  </si>
  <si>
    <t>Extra Curricular &amp; Field Trips</t>
  </si>
  <si>
    <t>Remoteness Applied</t>
  </si>
  <si>
    <t xml:space="preserve">Bus Driver Benefits </t>
  </si>
  <si>
    <t>47-Passenger Recap</t>
  </si>
  <si>
    <t>71-Passenger Recap</t>
  </si>
  <si>
    <t>Bus Modifications</t>
  </si>
  <si>
    <t>Bus Driver Training Support</t>
  </si>
  <si>
    <t>TOTAL TRANSPORTATION</t>
  </si>
  <si>
    <t>Transported Prov Students</t>
  </si>
  <si>
    <t>Transported Band-Op Students</t>
  </si>
  <si>
    <t>FN Transportaiton</t>
  </si>
  <si>
    <t>Prov Transportation</t>
  </si>
  <si>
    <t>4. Private Home Placement/Student Accommodation Funding for Provincial, Private, and non-FNSS Band-Operated Schools - Students &lt;18</t>
  </si>
  <si>
    <t>Set per Student Amount PHP</t>
  </si>
  <si>
    <t xml:space="preserve">Set Per Student Amount </t>
  </si>
  <si>
    <t>Band Number</t>
  </si>
  <si>
    <t>PHP Seasonal Transportation</t>
  </si>
  <si>
    <t>TOTAL Student Accommodation &lt;18</t>
  </si>
  <si>
    <t>Sisler High</t>
  </si>
  <si>
    <t>Children of the Earth High School</t>
  </si>
  <si>
    <t>Elmwood High</t>
  </si>
  <si>
    <t>R. B. Russell Vocational</t>
  </si>
  <si>
    <t>Tech-Vocational High</t>
  </si>
  <si>
    <t>Maples Collegiate</t>
  </si>
  <si>
    <t>Southeast Collegiate</t>
  </si>
  <si>
    <t>Private</t>
  </si>
  <si>
    <t>Yellowquill College</t>
  </si>
  <si>
    <t>Songid'Ewin Alternative School</t>
  </si>
  <si>
    <t>Collège Sturgeon Heights Collegiate #1135</t>
  </si>
  <si>
    <t>Crocus Plains Regional Secondary</t>
  </si>
  <si>
    <t>Kildonan East Collegiate</t>
  </si>
  <si>
    <t>River East Collegiate</t>
  </si>
  <si>
    <t>Garden City Collegiate</t>
  </si>
  <si>
    <t>Vincent Massey High</t>
  </si>
  <si>
    <t>Frontier Collegiate</t>
  </si>
  <si>
    <t>Margaret Barbour Collegiate</t>
  </si>
  <si>
    <t>Duke Of Marlborough</t>
  </si>
  <si>
    <t>Oak Park High</t>
  </si>
  <si>
    <t>R. D. Parker Collegiate</t>
  </si>
  <si>
    <t>MFNERC First Nations School System 2017-18</t>
  </si>
  <si>
    <t>4.i. Private Home Placement/Student Accommodation Funding for Provincial, Private, and non-FNSS Band-Operated Schools - Students 18-21</t>
  </si>
  <si>
    <t>Set per Student Amount Boarding/Residence</t>
  </si>
  <si>
    <t>Mandatory PHP 18-21 Headcount</t>
  </si>
  <si>
    <t>Student Residence 18-21 Headcount</t>
  </si>
  <si>
    <t>Boarding School 18-21 Headcount</t>
  </si>
  <si>
    <t>5-Day Room &amp; Board 18-21 Headcount</t>
  </si>
  <si>
    <t>TOTAL 18-21 PHP/Student Accommodation</t>
  </si>
  <si>
    <t>Copy paste pivot table PHP 18-21 for MFNERC communities data. CIDM 10813432 MB Nominal Roll data 30-07-2018</t>
  </si>
  <si>
    <t>Region (Recipient)</t>
  </si>
  <si>
    <t>(All)</t>
  </si>
  <si>
    <t>Sum of Enrolment Count</t>
  </si>
  <si>
    <t xml:space="preserve">(&lt;18, 18-22) Enrolment Age Groups </t>
  </si>
  <si>
    <t>Accommodation Type</t>
  </si>
  <si>
    <t>PHP 18-21</t>
  </si>
  <si>
    <t>Invalid Value</t>
  </si>
  <si>
    <t>Band No. (Student Band of Residence)</t>
  </si>
  <si>
    <t>Band Name (Student Band of Residence)</t>
  </si>
  <si>
    <t>School Admin. Type</t>
  </si>
  <si>
    <t>Mandatory room and board, mandatory private home placement</t>
  </si>
  <si>
    <t>Room and board (5 days)</t>
  </si>
  <si>
    <t>Student residence</t>
  </si>
  <si>
    <t>(note: no boarding room kids under MFNERC so this category doesn't show up here)</t>
  </si>
  <si>
    <t>261</t>
  </si>
  <si>
    <t>3330</t>
  </si>
  <si>
    <t>JOHN TAYLOR COLLEGIATE</t>
  </si>
  <si>
    <t>Provincial government operated</t>
  </si>
  <si>
    <t>3449</t>
  </si>
  <si>
    <t>LORD SELKIRK REGIONAL SECONDARY</t>
  </si>
  <si>
    <t>267</t>
  </si>
  <si>
    <t>1306</t>
  </si>
  <si>
    <t>TURTLE MOUNTAIN ADULT EDUCATION CENTRE</t>
  </si>
  <si>
    <t>1758</t>
  </si>
  <si>
    <t>FRONTIER COLLEGIATE</t>
  </si>
  <si>
    <t>3282</t>
  </si>
  <si>
    <t>CHILDREN OF THE EARTH HIGH SCHOOL</t>
  </si>
  <si>
    <t>3305</t>
  </si>
  <si>
    <t>DANIEL MCINTYRE COLLEGIATE</t>
  </si>
  <si>
    <t>7502</t>
  </si>
  <si>
    <t>SOUTHEAST COLLEGIATE</t>
  </si>
  <si>
    <t>Privately operated</t>
  </si>
  <si>
    <t>8230</t>
  </si>
  <si>
    <t>STEVENSON-BRITANNIA ADULT LITERACY</t>
  </si>
  <si>
    <t>271</t>
  </si>
  <si>
    <t>2198</t>
  </si>
  <si>
    <t>JAMESWOOD ALTERNATIVE SCHOOL</t>
  </si>
  <si>
    <t>3401</t>
  </si>
  <si>
    <t>YELLOWQUILL SCHOOL</t>
  </si>
  <si>
    <t>3411</t>
  </si>
  <si>
    <t>KELVIN HIGH</t>
  </si>
  <si>
    <t>5725</t>
  </si>
  <si>
    <t>MAPLES COLLEGIATE</t>
  </si>
  <si>
    <t>8930</t>
  </si>
  <si>
    <t>WINNIPEG ADULT EDUCATION CENTRE</t>
  </si>
  <si>
    <t>272</t>
  </si>
  <si>
    <t>1283</t>
  </si>
  <si>
    <t>ADULT EDUCATION CENTRE INC.</t>
  </si>
  <si>
    <t>3310</t>
  </si>
  <si>
    <t>ELMWOOD HIGH</t>
  </si>
  <si>
    <t>3321</t>
  </si>
  <si>
    <t>GORDON BELL HIGH</t>
  </si>
  <si>
    <t>3370</t>
  </si>
  <si>
    <t>SISLER HIGH</t>
  </si>
  <si>
    <t>3379</t>
  </si>
  <si>
    <t>ST JOHNS HIGH</t>
  </si>
  <si>
    <t>273</t>
  </si>
  <si>
    <t>275</t>
  </si>
  <si>
    <t>1048</t>
  </si>
  <si>
    <t>SEVEN OAKS ADULT LEARNING CENTRE INC.</t>
  </si>
  <si>
    <t>3342</t>
  </si>
  <si>
    <t>KILDONAN EAST COLLEGIATE</t>
  </si>
  <si>
    <t>3350</t>
  </si>
  <si>
    <t>NEELIN HIGH</t>
  </si>
  <si>
    <t>3362</t>
  </si>
  <si>
    <t>R B RUSSELL VOCATIONAL</t>
  </si>
  <si>
    <t>3372</t>
  </si>
  <si>
    <t>3400</t>
  </si>
  <si>
    <t>RIVER EAST COLLEGIATE</t>
  </si>
  <si>
    <t>6003</t>
  </si>
  <si>
    <t>ADOLESCENT PARENT CENTRE</t>
  </si>
  <si>
    <t>6178</t>
  </si>
  <si>
    <t>PEMBINA CREST SCHOOL</t>
  </si>
  <si>
    <t>6407</t>
  </si>
  <si>
    <t>ARGYLE HIGH SCHOOL</t>
  </si>
  <si>
    <t>6415</t>
  </si>
  <si>
    <t>SHAFTESBURY HIGH</t>
  </si>
  <si>
    <t>304</t>
  </si>
  <si>
    <t>1138</t>
  </si>
  <si>
    <t>CHEMAWAWIN SCHOOL</t>
  </si>
  <si>
    <t>First Nation operated</t>
  </si>
  <si>
    <t>1339</t>
  </si>
  <si>
    <t>ISAAC BEAULIEU MEMORIAL SCHOOL</t>
  </si>
  <si>
    <t>1765</t>
  </si>
  <si>
    <t>DUKE OF MARLBOROUGH</t>
  </si>
  <si>
    <t>R. D. PARKER COLLEGIATE</t>
  </si>
  <si>
    <t>"ESDPP - EB - Annual National Model Rates.xlsx" can be accessed via the following link: https://gcdocs.intra.pri/aanc-inac/llisapi.dll/Overview/99913032</t>
  </si>
  <si>
    <t>FN NO.</t>
  </si>
  <si>
    <t>FN Name</t>
  </si>
  <si>
    <t>Isolated Post</t>
  </si>
  <si>
    <t>EA Classification of Post</t>
  </si>
  <si>
    <t>Adult VTA Fare (in $)</t>
  </si>
  <si>
    <t>GST and PST</t>
  </si>
  <si>
    <t>Carrier Surcharge</t>
  </si>
  <si>
    <t>NavCan Fees* (to be multiplied by 2 for round trip)</t>
  </si>
  <si>
    <t>Airtravel Security Charge (to be multiplied by 2 for round trip)</t>
  </si>
  <si>
    <t>Airport Improvement Fees (to be multiplied by 2 for round trip)</t>
  </si>
  <si>
    <t>Total cost per round trip</t>
  </si>
  <si>
    <t>Total cost for 4 Round trips</t>
  </si>
  <si>
    <t>Gillam</t>
  </si>
  <si>
    <t>York Landing</t>
  </si>
  <si>
    <t>First Nations Schools and Student Data</t>
  </si>
  <si>
    <t>11 First Nations, 12 Schools</t>
  </si>
  <si>
    <t>Updated Mar 1, 2020</t>
  </si>
  <si>
    <t>FTE Students up to and including 21 years old</t>
  </si>
  <si>
    <t>FTE Students 22 years and older</t>
  </si>
  <si>
    <t>Headcount Enrolment - Students up to and including 21 years old</t>
  </si>
  <si>
    <t>Headcount Students 22 years and older</t>
  </si>
  <si>
    <t>Funded FTE in Sum</t>
  </si>
  <si>
    <t>School Grades</t>
  </si>
  <si>
    <t>School Types</t>
  </si>
  <si>
    <t>Geography and School Building</t>
  </si>
  <si>
    <t>Dispersion</t>
  </si>
  <si>
    <t>Linked to B. School Area</t>
  </si>
  <si>
    <t>Student Accommodation (for students from an FNSS partnering First Nation attending another Band-Operated School)</t>
  </si>
  <si>
    <t>Band No #</t>
  </si>
  <si>
    <t>Operating First Nation</t>
  </si>
  <si>
    <t>First Nation School</t>
  </si>
  <si>
    <t>K4 - Half-Day</t>
  </si>
  <si>
    <t>K4- Full Day</t>
  </si>
  <si>
    <t>K5- Half-Day</t>
  </si>
  <si>
    <t>K5 - Full Day</t>
  </si>
  <si>
    <t>Gr1</t>
  </si>
  <si>
    <t>Gr2</t>
  </si>
  <si>
    <t>Gr3</t>
  </si>
  <si>
    <t>Gr4</t>
  </si>
  <si>
    <t>Gr5</t>
  </si>
  <si>
    <t>Gr6</t>
  </si>
  <si>
    <t>Gr7</t>
  </si>
  <si>
    <t>Gr8</t>
  </si>
  <si>
    <t>Ungrd. Elem.</t>
  </si>
  <si>
    <t>Gr9</t>
  </si>
  <si>
    <t>Gr10</t>
  </si>
  <si>
    <t>Gr11</t>
  </si>
  <si>
    <t>Gr12</t>
  </si>
  <si>
    <t>Ungrd. Sec.</t>
  </si>
  <si>
    <t>FTE &lt;22 Total</t>
  </si>
  <si>
    <t>Gr9 22+</t>
  </si>
  <si>
    <t>Gr10 22+</t>
  </si>
  <si>
    <t>Gr11 22+</t>
  </si>
  <si>
    <t>Gr12 22+</t>
  </si>
  <si>
    <t>Ungrd. Sec. 22+</t>
  </si>
  <si>
    <t>Total FTE</t>
  </si>
  <si>
    <t>K4'- Half-Day</t>
  </si>
  <si>
    <t>K4 Full Day</t>
  </si>
  <si>
    <t>K5 Half Day</t>
  </si>
  <si>
    <t>K5' Full Day</t>
  </si>
  <si>
    <t>Gr1 H</t>
  </si>
  <si>
    <t>Gr2 H</t>
  </si>
  <si>
    <t>Gr3 H</t>
  </si>
  <si>
    <t>Gr4 H</t>
  </si>
  <si>
    <t>Gr5 H</t>
  </si>
  <si>
    <t>Gr6 H</t>
  </si>
  <si>
    <t>Gr7 H</t>
  </si>
  <si>
    <t>Gr8 H</t>
  </si>
  <si>
    <t>Ungrd. Elem. H</t>
  </si>
  <si>
    <t>Gr9 H</t>
  </si>
  <si>
    <t>Gr10 H</t>
  </si>
  <si>
    <t>Gr11 H</t>
  </si>
  <si>
    <t>Gr12 H</t>
  </si>
  <si>
    <t>Ugrd. Sec. H</t>
  </si>
  <si>
    <t>Headcount &lt;22 Total</t>
  </si>
  <si>
    <t>Gr9 H 22+</t>
  </si>
  <si>
    <t>Gr10 H 22+</t>
  </si>
  <si>
    <t>Gr11 H 22+</t>
  </si>
  <si>
    <t>Gr12 H 22+</t>
  </si>
  <si>
    <t>Ungrd. Sec. H 22+</t>
  </si>
  <si>
    <t>Total Headcount</t>
  </si>
  <si>
    <t>Elementary</t>
  </si>
  <si>
    <t>Secondary</t>
  </si>
  <si>
    <t>Total Funded FTE</t>
  </si>
  <si>
    <t>Gr9 FTE Sum</t>
  </si>
  <si>
    <t>Gr10 FTE Sum</t>
  </si>
  <si>
    <t>Gr11 FTE Sum</t>
  </si>
  <si>
    <t>Gr12 FTE Sum</t>
  </si>
  <si>
    <t>No. of Elem Grades</t>
  </si>
  <si>
    <t>No. of Second Grades</t>
  </si>
  <si>
    <t>Total No. of Grades</t>
  </si>
  <si>
    <t>Avg. Elem FTEs per Grade</t>
  </si>
  <si>
    <t>Avg. Second FTEs per Grade</t>
  </si>
  <si>
    <t>Total Avg. FTEs per Grade</t>
  </si>
  <si>
    <t xml:space="preserve">Total FTE K4-Gr.3 and Elementary Ungraded </t>
  </si>
  <si>
    <t>Gr. 4-6 FTE</t>
  </si>
  <si>
    <t>Gr. 7-8 FTE</t>
  </si>
  <si>
    <t>Gr. 9-12 FTE and Sec Ungraded</t>
  </si>
  <si>
    <t xml:space="preserve">Gr. 9-12 HC and Ungradeable </t>
  </si>
  <si>
    <t>Gr. 7-12 HC and Ungradeable</t>
  </si>
  <si>
    <t>Proximate Provincial School Division</t>
  </si>
  <si>
    <t>First Nations Schools System</t>
  </si>
  <si>
    <t>School/ Program Type</t>
  </si>
  <si>
    <t>K4 Program Type</t>
  </si>
  <si>
    <t>K5 Program Type</t>
  </si>
  <si>
    <t>North/South of 53rd Parallel &amp; Fly-in = North</t>
  </si>
  <si>
    <t>Street Address and Number</t>
  </si>
  <si>
    <t>City</t>
  </si>
  <si>
    <t>Province</t>
  </si>
  <si>
    <t>Postal Code</t>
  </si>
  <si>
    <t>Latitude</t>
  </si>
  <si>
    <t>Longitude</t>
  </si>
  <si>
    <t>Geocoding</t>
  </si>
  <si>
    <t>Obs</t>
  </si>
  <si>
    <t>CSDUID</t>
  </si>
  <si>
    <t>CSDNAME</t>
  </si>
  <si>
    <t>Connect</t>
  </si>
  <si>
    <t>X_Albers</t>
  </si>
  <si>
    <t>Y_Albers</t>
  </si>
  <si>
    <t>ID</t>
  </si>
  <si>
    <t>Geographic Index/Zone</t>
  </si>
  <si>
    <t>City Centre</t>
  </si>
  <si>
    <t>Distance to Winnipeg in km</t>
  </si>
  <si>
    <t>Environment</t>
  </si>
  <si>
    <t>Service Centre</t>
  </si>
  <si>
    <t>Remoteness Index (According to the BCM)</t>
  </si>
  <si>
    <t>Remoteness Index (adjusted for Transportation)</t>
  </si>
  <si>
    <t>School size</t>
  </si>
  <si>
    <t>Total Reserve Pop (2011 Census)</t>
  </si>
  <si>
    <t>Area of All Reserves (sq. km)</t>
  </si>
  <si>
    <t>Total Student Population</t>
  </si>
  <si>
    <t>Student Dispersion Factor</t>
  </si>
  <si>
    <t>FNSS Dispersion Factor</t>
  </si>
  <si>
    <t>Mandatory room &amp; board &lt;18</t>
  </si>
  <si>
    <t>Student residence &lt;18</t>
  </si>
  <si>
    <t>Boarding school &lt;18</t>
  </si>
  <si>
    <t>Room and board (5 days) &lt;18</t>
  </si>
  <si>
    <t>Mandatory room &amp; board 18-21</t>
  </si>
  <si>
    <t>Student residence 18-21</t>
  </si>
  <si>
    <t>Boarding school 18-21</t>
  </si>
  <si>
    <t>Room and board (5 days) 18-21</t>
  </si>
  <si>
    <t>MFNERC</t>
  </si>
  <si>
    <t>Combined</t>
  </si>
  <si>
    <t>General Delivery  FAIRFORD Manitoba R0C 0X0</t>
  </si>
  <si>
    <t>FAIRFORD</t>
  </si>
  <si>
    <t>MB</t>
  </si>
  <si>
    <t>R0C 0X0</t>
  </si>
  <si>
    <t>MB_regional_office</t>
  </si>
  <si>
    <t>Fairford (Part) 50</t>
  </si>
  <si>
    <t>main road/ferry network</t>
  </si>
  <si>
    <t>Winnipeg</t>
  </si>
  <si>
    <t>C</t>
  </si>
  <si>
    <t>1970 Ness Avenue  Winnipeg Manitoba R3J 0Y9 (204) 942-2270</t>
  </si>
  <si>
    <t>R3J 0Y9</t>
  </si>
  <si>
    <t>Address_EIS</t>
  </si>
  <si>
    <t>The Narrows 49</t>
  </si>
  <si>
    <t>General Delivery  BLOODVEIN Manitoba R0C 0J0</t>
  </si>
  <si>
    <t>BLOODVEIN</t>
  </si>
  <si>
    <t>R0C 0J0</t>
  </si>
  <si>
    <t>Band Office</t>
  </si>
  <si>
    <t>Bloodvein 12</t>
  </si>
  <si>
    <t>C2</t>
  </si>
  <si>
    <t>General Delivery  YORK LANDING Manitoba R0B 2B0</t>
  </si>
  <si>
    <t>YORK LANDING</t>
  </si>
  <si>
    <t>R0B 2B0</t>
  </si>
  <si>
    <t>Thompson</t>
  </si>
  <si>
    <t>D1</t>
  </si>
  <si>
    <t>Box 1249  Lake Manitoba First Nation Manitoba R0C 3K0 (204) 768-2728</t>
  </si>
  <si>
    <t>Lake Manitoba First Nation</t>
  </si>
  <si>
    <t>R0C 3K0</t>
  </si>
  <si>
    <t>Dog Creek 46</t>
  </si>
  <si>
    <t>Nursery/Kindergarten</t>
  </si>
  <si>
    <t>BOX 100  EDWIN Manitoba R0H 0G0 (204) 252-2895</t>
  </si>
  <si>
    <t>EDWIN</t>
  </si>
  <si>
    <t>R0H 0G0</t>
  </si>
  <si>
    <t>Dakota Plains 6A</t>
  </si>
  <si>
    <t>Box 179  SCANTERBURY Manitoba R0E 1W0</t>
  </si>
  <si>
    <t>SCANTERBURY</t>
  </si>
  <si>
    <t>R0E 1W0</t>
  </si>
  <si>
    <t>Brokenhead 4</t>
  </si>
  <si>
    <t>NA</t>
  </si>
  <si>
    <t>Roseau River 2</t>
  </si>
  <si>
    <t>B</t>
  </si>
  <si>
    <t>P.O. BOX 279  GILLAM Manitoba R0B 0L0 (204) 486-2307</t>
  </si>
  <si>
    <t>GILLAM</t>
  </si>
  <si>
    <t>R0B 0L0</t>
  </si>
  <si>
    <t>D</t>
  </si>
  <si>
    <t>BOX 129  ELPHINSTONE Manitoba R0J 0N0 (204) 625-2062</t>
  </si>
  <si>
    <t>ELPHINSTONE</t>
  </si>
  <si>
    <t>R0J 0N0</t>
  </si>
  <si>
    <t>Keeseekoowenin 61</t>
  </si>
  <si>
    <t>Adult Education</t>
  </si>
  <si>
    <t>2019-20 NR</t>
  </si>
  <si>
    <t>K4</t>
  </si>
  <si>
    <t>K5</t>
  </si>
  <si>
    <t>K4 H</t>
  </si>
  <si>
    <t>K5 H</t>
  </si>
  <si>
    <t>Matching Provincial School Division</t>
  </si>
  <si>
    <t>1140</t>
  </si>
  <si>
    <t>1144</t>
  </si>
  <si>
    <t>1148</t>
  </si>
  <si>
    <t>1166</t>
  </si>
  <si>
    <t>1345</t>
  </si>
  <si>
    <t>1350</t>
  </si>
  <si>
    <t>1486</t>
  </si>
  <si>
    <t>1756</t>
  </si>
  <si>
    <t>50250</t>
  </si>
  <si>
    <t>5717</t>
  </si>
  <si>
    <t>6413</t>
  </si>
  <si>
    <t>8990</t>
  </si>
  <si>
    <t>2017-18 NR Nov Update</t>
  </si>
  <si>
    <t>Remoteness Index (according to BCM)</t>
  </si>
  <si>
    <t>Brokenhead Ojibway</t>
  </si>
  <si>
    <t>SERGEANT TOMMY PRINCE SCHOOL</t>
  </si>
  <si>
    <t>Half-day</t>
  </si>
  <si>
    <t>Full-day</t>
  </si>
  <si>
    <t>MISKOOSEEPI SCHOOL</t>
  </si>
  <si>
    <t>LAKE MANITOBA SCHOOL</t>
  </si>
  <si>
    <t>PINAYMOOTANG SCHOOL</t>
  </si>
  <si>
    <t>GINEW SCHOOL</t>
  </si>
  <si>
    <t>LAKE ST MARTIN SCHOOL</t>
  </si>
  <si>
    <t>ST. JAMES-ASSINIBOIA</t>
  </si>
  <si>
    <t>KEESEEKOOWENIN SCHOOL</t>
  </si>
  <si>
    <t>None</t>
  </si>
  <si>
    <t>MAHPIYA HDEGA SCHOOL</t>
  </si>
  <si>
    <t>GEORGE SAUNDERS MEMORIAL SCHOOL</t>
  </si>
  <si>
    <t>FOX LAKE SCHOOL</t>
  </si>
  <si>
    <t>2017-18 Initial NR (original in this workbook)</t>
  </si>
  <si>
    <t>Provincial and Private School Enrolment Data by First Nation of Residence, Recipient, and School - 21 YEARS and YOUNGER</t>
  </si>
  <si>
    <t>11 First Nations</t>
  </si>
  <si>
    <t xml:space="preserve">2019/20 Nominal Roll </t>
  </si>
  <si>
    <t>19/20 DATA</t>
  </si>
  <si>
    <t>Updated February 14, 2020</t>
  </si>
  <si>
    <t>School District Attended</t>
  </si>
  <si>
    <t>K4 Half-Day</t>
  </si>
  <si>
    <t>K Half -Day</t>
  </si>
  <si>
    <t>K Full -Day</t>
  </si>
  <si>
    <t>Grade 1</t>
  </si>
  <si>
    <t>Grade 2</t>
  </si>
  <si>
    <t>Grade 3</t>
  </si>
  <si>
    <t>Grade 4</t>
  </si>
  <si>
    <t>Grade 5</t>
  </si>
  <si>
    <t>Grade 6</t>
  </si>
  <si>
    <t>Grade 7</t>
  </si>
  <si>
    <t>Grade 8</t>
  </si>
  <si>
    <t>Ungradable Elem FTE</t>
  </si>
  <si>
    <t>Grade 9</t>
  </si>
  <si>
    <t>Grade 10</t>
  </si>
  <si>
    <t>Grade 11</t>
  </si>
  <si>
    <t>Grade 12</t>
  </si>
  <si>
    <t>Ungradable Second FTE</t>
  </si>
  <si>
    <t>TOTAL &lt;22 FTE</t>
  </si>
  <si>
    <t>Grade 1 H</t>
  </si>
  <si>
    <t>Grade 2 H</t>
  </si>
  <si>
    <t>Grade 3 H</t>
  </si>
  <si>
    <t>Grade 4 H</t>
  </si>
  <si>
    <t>Grade 5 H</t>
  </si>
  <si>
    <t>Grade 6 H</t>
  </si>
  <si>
    <t>Grade 7 H</t>
  </si>
  <si>
    <t>Grade 8 H</t>
  </si>
  <si>
    <t>Ungradable Elem H</t>
  </si>
  <si>
    <t>Grade 9 H</t>
  </si>
  <si>
    <t>Grade 10 H</t>
  </si>
  <si>
    <t>Grade 11 H</t>
  </si>
  <si>
    <t>Grade 12 H</t>
  </si>
  <si>
    <t>Ungradable Second H</t>
  </si>
  <si>
    <t>TOTAL &lt;22 HEADCOUNT</t>
  </si>
  <si>
    <t>First Nation of Residence Location</t>
  </si>
  <si>
    <t>Proximate Public School District to First Nation of residence</t>
  </si>
  <si>
    <t>East Selkirk Middle School</t>
  </si>
  <si>
    <t>Lord Selkirk School Division</t>
  </si>
  <si>
    <t>Happy Thought School</t>
  </si>
  <si>
    <t>Winnipeg School Division</t>
  </si>
  <si>
    <t>Lord Selkirk Regional Secondary</t>
  </si>
  <si>
    <t>Walter Whyte</t>
  </si>
  <si>
    <t>Balmoral Hall</t>
  </si>
  <si>
    <t>Seven Oaks School Division</t>
  </si>
  <si>
    <t>(blank)</t>
  </si>
  <si>
    <t>Ashern Central</t>
  </si>
  <si>
    <t>LAKESHORE SCHOOL DIVISION</t>
  </si>
  <si>
    <t>St. James-Assiniboia School Division</t>
  </si>
  <si>
    <t>Roseau Valley</t>
  </si>
  <si>
    <t>BORDER LAND SCHOOL DIVISION</t>
  </si>
  <si>
    <t>Brandon School Division</t>
  </si>
  <si>
    <t>River East Transcona School Division</t>
  </si>
  <si>
    <t>Strathclair Community School</t>
  </si>
  <si>
    <t>PARK WEST SCHOOL DIVISION</t>
  </si>
  <si>
    <t>La Verendrye</t>
  </si>
  <si>
    <t>PORTAGE LA PRAIRIE SCHOOL DIVISION #24</t>
  </si>
  <si>
    <t>Portage Collegiate</t>
  </si>
  <si>
    <t>Westpark School</t>
  </si>
  <si>
    <t>École Arthur Meighen School</t>
  </si>
  <si>
    <t>Crescentview</t>
  </si>
  <si>
    <t>Yellowquill School</t>
  </si>
  <si>
    <t>FRONTIER SCHOOL DIVISION #48</t>
  </si>
  <si>
    <t>Kelsey School Division</t>
  </si>
  <si>
    <t>Pembina Trails School Division</t>
  </si>
  <si>
    <t>School District of Mystery Lake</t>
  </si>
  <si>
    <t>Unvalidated 2018/19 NR 100:190</t>
  </si>
  <si>
    <t>ADJUSTED HEADCOUNT FOR TRANSPORTATION</t>
  </si>
  <si>
    <t>1744</t>
  </si>
  <si>
    <t>Lord Selkirk</t>
  </si>
  <si>
    <t>3483</t>
  </si>
  <si>
    <t>Turtle Mountain Adult Education Centre</t>
  </si>
  <si>
    <t>Missing Reference - Optional</t>
  </si>
  <si>
    <t>River East Transcona</t>
  </si>
  <si>
    <t>3343</t>
  </si>
  <si>
    <t>Miles Macdonell Collegiate</t>
  </si>
  <si>
    <t>3395</t>
  </si>
  <si>
    <t>3491</t>
  </si>
  <si>
    <t>Riverton Collegiate</t>
  </si>
  <si>
    <t>EVERGREEN SCHOOL DIVISION</t>
  </si>
  <si>
    <t>7045</t>
  </si>
  <si>
    <t>Rising Sun</t>
  </si>
  <si>
    <t>Private School</t>
  </si>
  <si>
    <t>8193</t>
  </si>
  <si>
    <t>University Of Winnipeg Collegiate</t>
  </si>
  <si>
    <t>Winnipeg Adult Education Centre</t>
  </si>
  <si>
    <t>Manitoba Institute of Trades and Technology</t>
  </si>
  <si>
    <t>9632</t>
  </si>
  <si>
    <t>Manitoba Institute Of Trades and Technology (Mitt)</t>
  </si>
  <si>
    <t>Province of Manitoba</t>
  </si>
  <si>
    <t>St. James-Assiniboia</t>
  </si>
  <si>
    <t>1045</t>
  </si>
  <si>
    <t>Aboriginal Community Campus</t>
  </si>
  <si>
    <t>CENTRE FOR ABORIGINAL HUMAN RESOURCE DEVELOPMENT</t>
  </si>
  <si>
    <t>Jameswood Alternative School</t>
  </si>
  <si>
    <t>3285</t>
  </si>
  <si>
    <t>Daniel Mcintyre Collegiate</t>
  </si>
  <si>
    <t>Gordon Bell High</t>
  </si>
  <si>
    <t>3324</t>
  </si>
  <si>
    <t>Gypsumville</t>
  </si>
  <si>
    <t>John Taylor Collegiate</t>
  </si>
  <si>
    <t>3349</t>
  </si>
  <si>
    <t>Murdoch Mackay Collegiate</t>
  </si>
  <si>
    <t>St. Johns High</t>
  </si>
  <si>
    <t>38093</t>
  </si>
  <si>
    <t>École West Park School</t>
  </si>
  <si>
    <t>1044</t>
  </si>
  <si>
    <t>Fieldstone Ventures Education and Training Centre</t>
  </si>
  <si>
    <t>Manitoba Independent Adult Learning Centre</t>
  </si>
  <si>
    <t>3351</t>
  </si>
  <si>
    <t>Nelson Mcintyre Collegiate</t>
  </si>
  <si>
    <t>Louis Riel School Division</t>
  </si>
  <si>
    <t>1755</t>
  </si>
  <si>
    <t>kelsey</t>
  </si>
  <si>
    <t>21084</t>
  </si>
  <si>
    <t>École Parkside School</t>
  </si>
  <si>
    <t>21085</t>
  </si>
  <si>
    <t>Emerson Elementary School</t>
  </si>
  <si>
    <t>brandon</t>
  </si>
  <si>
    <t>8051</t>
  </si>
  <si>
    <t>W.C. Miller Collegiate</t>
  </si>
  <si>
    <t>Seven Oaks Adult Learning Centre Inc.</t>
  </si>
  <si>
    <t>1761</t>
  </si>
  <si>
    <t>3303</t>
  </si>
  <si>
    <t>3304</t>
  </si>
  <si>
    <t>Dakota Collegiate</t>
  </si>
  <si>
    <t>3313</t>
  </si>
  <si>
    <t>Fort Richmond Collegiate</t>
  </si>
  <si>
    <t>3323</t>
  </si>
  <si>
    <t>Grant Park High</t>
  </si>
  <si>
    <t>3460</t>
  </si>
  <si>
    <t>3476</t>
  </si>
  <si>
    <t>William Whyte</t>
  </si>
  <si>
    <t>3478</t>
  </si>
  <si>
    <t>Prairie Valley</t>
  </si>
  <si>
    <t>3524</t>
  </si>
  <si>
    <t>West Kildonan Collegiate</t>
  </si>
  <si>
    <t>Adolescent Parent Centre</t>
  </si>
  <si>
    <t>Shaftesbury High</t>
  </si>
  <si>
    <t>Park West</t>
  </si>
  <si>
    <t>7868</t>
  </si>
  <si>
    <t>Brandon Adult Learning Centre</t>
  </si>
  <si>
    <t>8022</t>
  </si>
  <si>
    <t>Bert Fox High School</t>
  </si>
  <si>
    <t>PRAIRIE VALLEY SCHOOL DIVISION NO. 208</t>
  </si>
  <si>
    <t>Stevenson-Britannia Adult Literacy</t>
  </si>
  <si>
    <t>5736</t>
  </si>
  <si>
    <t>7870</t>
  </si>
  <si>
    <t>Frontier</t>
  </si>
  <si>
    <t>20891</t>
  </si>
  <si>
    <t>3403</t>
  </si>
  <si>
    <t>3563</t>
  </si>
  <si>
    <t>Fox lake</t>
  </si>
  <si>
    <t>17/18 DATA</t>
  </si>
  <si>
    <t>Students attending Adult Education Programs - Funding pending age validation</t>
  </si>
  <si>
    <t>HAPPY THOUGHT SCHOOL</t>
  </si>
  <si>
    <t>WALTER WHYTE</t>
  </si>
  <si>
    <t>UNIVERSITY OF WINNIPEG COLLEGIATE</t>
  </si>
  <si>
    <t>MILES MACDONELL COLLEGIATE</t>
  </si>
  <si>
    <t>RIVERTON COLLEGIATE</t>
  </si>
  <si>
    <t>TWIN RIVERS EDUCATION CENTRE</t>
  </si>
  <si>
    <t>ABORIGINAL COMMUNITY CAMPUS</t>
  </si>
  <si>
    <t>Certified Adult Learning Centre</t>
  </si>
  <si>
    <t>MURDOCH MACKAY COLLEGIATE</t>
  </si>
  <si>
    <t>TECH-VOCATIONAL HIGH</t>
  </si>
  <si>
    <t>Ashern Early Years School</t>
  </si>
  <si>
    <t>RISING SUN</t>
  </si>
  <si>
    <t>LUNDAR SCHOOL</t>
  </si>
  <si>
    <t>ST. NORBERT COLLEGIATE</t>
  </si>
  <si>
    <t>Seine River</t>
  </si>
  <si>
    <t>ASHERN CENTRAL</t>
  </si>
  <si>
    <t>NELSON MCINTYRE COLLEGIATE</t>
  </si>
  <si>
    <t>ST. JAMES COLLEGIATE</t>
  </si>
  <si>
    <t>Manitoba Institute of Trades and Technology (MITT)</t>
  </si>
  <si>
    <t>ROSEAU VALLEY</t>
  </si>
  <si>
    <t xml:space="preserve">Border Land </t>
  </si>
  <si>
    <t>EMERSON ELEMENTARY SCHOOL</t>
  </si>
  <si>
    <t>MARGARET BARBOUR COLLEGIATE</t>
  </si>
  <si>
    <t>CROCUS PLAINS REGIONAL SECONDARY</t>
  </si>
  <si>
    <t>DAKOTA COLLEGIATE</t>
  </si>
  <si>
    <t>FORT RICHMOND COLLEGIATE</t>
  </si>
  <si>
    <t>GYPSUMVILLE</t>
  </si>
  <si>
    <t>GARDEN CITY COLLEGIATE</t>
  </si>
  <si>
    <t>WEST KILDONAN COLLEGIATE</t>
  </si>
  <si>
    <t>BRANDON ADULT LEARNING CENTRE</t>
  </si>
  <si>
    <t>VINCENT MASSEY HIGH</t>
  </si>
  <si>
    <t>STRATHCLAIR COMMUNITY SCHOOL</t>
  </si>
  <si>
    <t>WESTPARK SCHOOL</t>
  </si>
  <si>
    <t>PORTAGE COLLEGIATE</t>
  </si>
  <si>
    <t>Data in initial Funding formula for 18-19</t>
  </si>
  <si>
    <t>Out of Province - BC</t>
  </si>
  <si>
    <t>Adult</t>
  </si>
  <si>
    <t>2018/19 NR data from Funding model workbook</t>
  </si>
  <si>
    <t>Sourcing from table below: Geomatics data</t>
  </si>
  <si>
    <t>PHP &lt; 18</t>
  </si>
  <si>
    <t>FN of Res-North/South (North of 53 Parallel</t>
  </si>
  <si>
    <t>Boarding school</t>
  </si>
  <si>
    <t>Room and Board (Temporary)</t>
  </si>
  <si>
    <t xml:space="preserve">Checking 17/18 data against 16/17 data. </t>
  </si>
  <si>
    <t>DATA FROM THE 17/18 WORKBOOK- THE 22+ FTE DON'T SEEM TO BE INCLUDED. SEE BAND 267 UNIVERSITY WINNIPEG FTE DIFFERENCE</t>
  </si>
  <si>
    <t>DATA FROM 18/19 WORKBOOK</t>
  </si>
  <si>
    <t>MAROON TEXT IS THE DATA FROM THE INITIAL 18/19 FNSS WORKBOOK. INCLUDES THE 22+ FTE AS &lt;22 I THINK.</t>
  </si>
  <si>
    <t>less in 17/18 data</t>
  </si>
  <si>
    <t xml:space="preserve">Accommodations Data </t>
  </si>
  <si>
    <t>2020-21 NR</t>
  </si>
  <si>
    <t>Updated: Mar 1, 2021</t>
  </si>
  <si>
    <t>HeadCount</t>
  </si>
  <si>
    <t>Reserve No. (Student ROR)</t>
  </si>
  <si>
    <t>Reserve Name (Student ROR)</t>
  </si>
  <si>
    <t>School Admin Type</t>
  </si>
  <si>
    <t>&lt;18 Boarding school</t>
  </si>
  <si>
    <t>&lt;18 Residence</t>
  </si>
  <si>
    <t>&lt;18 Room and board, 5 days a week</t>
  </si>
  <si>
    <t>&lt;18 Room and board, 7 days a week</t>
  </si>
  <si>
    <t>&lt;18 Room and board (temporary)</t>
  </si>
  <si>
    <t>18-21 Boarding school</t>
  </si>
  <si>
    <t>18-21 Residence</t>
  </si>
  <si>
    <t>18-21 Room and board, 5 days a week</t>
  </si>
  <si>
    <t>18-21 Room and board, 7 days a week</t>
  </si>
  <si>
    <t>18-21 Room and board (temporary)</t>
  </si>
  <si>
    <t>Provincial and Private School Enrolment Data by First Nation of Residence, Recipient, and School - 22 YEARS AND OLDER</t>
  </si>
  <si>
    <t>Updated Mar 1, 2021</t>
  </si>
  <si>
    <t>22+</t>
  </si>
  <si>
    <t>TOTAL 22+ FTE</t>
  </si>
  <si>
    <t>TOTAL 22+ HEADCOUNT</t>
  </si>
  <si>
    <t>(Data copied and pasted from 19-20 workbook, 17-18 NR, from tab A2. 17-18 N.Roll Prov&amp;Priv</t>
  </si>
  <si>
    <t>Copy and paste from A2. 17-18 N.Roll Prov&amp;Priv tab from 19-20 workbook Dec 12</t>
  </si>
  <si>
    <t>Values:</t>
  </si>
  <si>
    <t>Sum of Final Funding FTE Count (FTE)</t>
  </si>
  <si>
    <t>Sum of Enrolment Count (Headcount)</t>
  </si>
  <si>
    <t>Youth (&lt;22)</t>
  </si>
  <si>
    <t>Adults (22+)</t>
  </si>
  <si>
    <t>5</t>
  </si>
  <si>
    <t>6</t>
  </si>
  <si>
    <t>7</t>
  </si>
  <si>
    <t>8</t>
  </si>
  <si>
    <t>9</t>
  </si>
  <si>
    <t>10</t>
  </si>
  <si>
    <t>11</t>
  </si>
  <si>
    <t>12</t>
  </si>
  <si>
    <t>Ungradable Secondary</t>
  </si>
  <si>
    <t>Total &lt;22 FTE</t>
  </si>
  <si>
    <t>Ungradable Second FTE 22+</t>
  </si>
  <si>
    <t>Total 22+ FTE</t>
  </si>
  <si>
    <t>1</t>
  </si>
  <si>
    <t>2</t>
  </si>
  <si>
    <t>3</t>
  </si>
  <si>
    <t>4</t>
  </si>
  <si>
    <t>Ungradable Elem Headcount</t>
  </si>
  <si>
    <t>Total &lt;22 Headcount</t>
  </si>
  <si>
    <t>Total 22+ Headcount</t>
  </si>
  <si>
    <t>Long Lake No.58 First Nation</t>
  </si>
  <si>
    <t>LONG PLAIN BAND</t>
  </si>
  <si>
    <t>Ontario</t>
  </si>
  <si>
    <t>Black River First Nation</t>
  </si>
  <si>
    <t>BLACK RIVER FIRST NATION</t>
  </si>
  <si>
    <t>POWERVIEW SCHOOL</t>
  </si>
  <si>
    <t>PILOT MOUND SCHOOL</t>
  </si>
  <si>
    <t>Prairie Spirit</t>
  </si>
  <si>
    <t>LITTLE BLACK RIVER SCHOOL</t>
  </si>
  <si>
    <t>half-day</t>
  </si>
  <si>
    <t>SOUTHEAST RESOURCE DEVELOPMENT COUNCIL CORP.</t>
  </si>
  <si>
    <t>Fort Alexander</t>
  </si>
  <si>
    <t>FORT ALEXANDER BAND</t>
  </si>
  <si>
    <t>Hollow Water</t>
  </si>
  <si>
    <t>HOLLOW WATER BAND</t>
  </si>
  <si>
    <t>WANIPIGOW</t>
  </si>
  <si>
    <t>Buffalo Point First Nation</t>
  </si>
  <si>
    <t>BUFFALO POINT FIRST NATION</t>
  </si>
  <si>
    <t>ROSS L. GRAY</t>
  </si>
  <si>
    <t>WARROAD ELEMENTARY SCHOOL</t>
  </si>
  <si>
    <t>MENNONITE BRETHREN COLLEGIATE INSTUTE</t>
  </si>
  <si>
    <t>Berens River</t>
  </si>
  <si>
    <t>BERENS RIVER BAND</t>
  </si>
  <si>
    <t>CHURCHILL HIGH</t>
  </si>
  <si>
    <t>VINCENT MASSEY COLLEGIATE</t>
  </si>
  <si>
    <t>English Montreal SB (Quebec)</t>
  </si>
  <si>
    <t>HELEN BETTY OSBORNE ININIW EDUCATION RESOURCE CENTRE</t>
  </si>
  <si>
    <t>St. Paul's Collegiate #1070</t>
  </si>
  <si>
    <t>Prairie Rose</t>
  </si>
  <si>
    <t>BERENS RIVER</t>
  </si>
  <si>
    <t>Kinonjeoshtegon First Nation</t>
  </si>
  <si>
    <t>KINONJEOSHTEGON FIRST NATION</t>
  </si>
  <si>
    <t>Adult learning</t>
  </si>
  <si>
    <t>ST. BONIFACE DIOCESAN HIGH SCHOOL</t>
  </si>
  <si>
    <t>Little Saskatchewan</t>
  </si>
  <si>
    <t>LITTLE SASKATCHEWAN BAND</t>
  </si>
  <si>
    <t>FIELDSTONE VENTURES EDUCATION AND TRAINING CENTRE</t>
  </si>
  <si>
    <t>STEVENSON-BRITANNIA SCHOOL</t>
  </si>
  <si>
    <t>LORD SELKIRK SCHOOL</t>
  </si>
  <si>
    <t>STANLEY KNOWLES SCHOOL</t>
  </si>
  <si>
    <t>WHITMORE SCHOOL</t>
  </si>
  <si>
    <t>DAUPHIN REGIONAL COMPREHENSIVE SECONDARY SCHOOL</t>
  </si>
  <si>
    <t>GLENLAWN COLLEGIATE</t>
  </si>
  <si>
    <t>MULVEY</t>
  </si>
  <si>
    <t>CECIL RHODES</t>
  </si>
  <si>
    <t>WELLINGTON</t>
  </si>
  <si>
    <t>WESTON</t>
  </si>
  <si>
    <t>SARGENT PARK</t>
  </si>
  <si>
    <t>RADISSON</t>
  </si>
  <si>
    <t>MARION</t>
  </si>
  <si>
    <t>Brooklands School</t>
  </si>
  <si>
    <t>R.H.G. Bonnycastle School</t>
  </si>
  <si>
    <t>George Waters Middle School</t>
  </si>
  <si>
    <t>Crestview School</t>
  </si>
  <si>
    <t>Samuel Burland School</t>
  </si>
  <si>
    <t>ARTHUR E. WRIGHT COMMUNITY SCHOOL</t>
  </si>
  <si>
    <t>PRAIRIE ROSE SCHOOL</t>
  </si>
  <si>
    <t>HEDGES MIDDLE SCHOOL</t>
  </si>
  <si>
    <t>POPLAR RIVER FIRST NATION</t>
  </si>
  <si>
    <t>MORRIS SCHOOL</t>
  </si>
  <si>
    <t>GIMLI HIGH SCHOOL</t>
  </si>
  <si>
    <t>WINDSOR PARK COLLEGIATE</t>
  </si>
  <si>
    <t>SPRINGFIELD COLLEGIATE</t>
  </si>
  <si>
    <t>Norway House Cree Nation</t>
  </si>
  <si>
    <t>NORWAY HOUSE CREE NATION</t>
  </si>
  <si>
    <t>JACK RIVER</t>
  </si>
  <si>
    <t>Norway House Cree Nation Adult Education Centre</t>
  </si>
  <si>
    <t>-</t>
  </si>
  <si>
    <t>O-Chi-Chak-Ko-Sipi First Nation</t>
  </si>
  <si>
    <t>O-CHI-CHAK-KO-SIPI FIRST NATION</t>
  </si>
  <si>
    <t>RORKETON</t>
  </si>
  <si>
    <t>Ebb and Flow</t>
  </si>
  <si>
    <t>EBB AND FLOW BAND</t>
  </si>
  <si>
    <t>Skownan First Nation</t>
  </si>
  <si>
    <t>SKOWNAN FIRST NATION</t>
  </si>
  <si>
    <t>GRAND RAPIDS SCHOOL</t>
  </si>
  <si>
    <t>WATERHEN SCHOOL</t>
  </si>
  <si>
    <t>WINNIPEGOSIS COLLEGIATE</t>
  </si>
  <si>
    <t>SKOWNAN SCHOOL</t>
  </si>
  <si>
    <t>Pine Creek</t>
  </si>
  <si>
    <t>PINE CREEK BAND</t>
  </si>
  <si>
    <t>MINEGOZIIBE ANISHINABE FIRST NATION SCHOOL</t>
  </si>
  <si>
    <t>Birdtail Sioux</t>
  </si>
  <si>
    <t>CHAN KAGHA OTINA DAKOTA WAYAWA TIPI</t>
  </si>
  <si>
    <t>Waywayseecappo First Nation Treaty Four - 1874</t>
  </si>
  <si>
    <t>WAYWAYSEECAPPO FIRST NATION TREATY FOUR - 1874</t>
  </si>
  <si>
    <t>WAYWAYSEECAPPO SCHOOL</t>
  </si>
  <si>
    <t>MAJOR PRATT SCHOOL</t>
  </si>
  <si>
    <t>ROSSBURN COLLEGIATE</t>
  </si>
  <si>
    <t>Long Plain</t>
  </si>
  <si>
    <t>FORT LA REINE</t>
  </si>
  <si>
    <t>LA VERENDRYE</t>
  </si>
  <si>
    <t>NORTH MEMORIAL</t>
  </si>
  <si>
    <t>Canupawakpa Dakota First Nation</t>
  </si>
  <si>
    <t>CANUPAWAKPA DAKOTA FIRST NATION</t>
  </si>
  <si>
    <t>GOULTER</t>
  </si>
  <si>
    <t>VIRDEN COLLEGIATE</t>
  </si>
  <si>
    <t>VIRDEN JUNIOR HIGH</t>
  </si>
  <si>
    <t>RESTON COLLEGIATE</t>
  </si>
  <si>
    <t>Sioux Valley Dakota Nation</t>
  </si>
  <si>
    <t>Rolling River</t>
  </si>
  <si>
    <t>ROLLING RIVER BAND</t>
  </si>
  <si>
    <t>ERICKSON ELEMENTARY</t>
  </si>
  <si>
    <t>ERICKSON COLLEGIATE INSTITUTE</t>
  </si>
  <si>
    <t>Tootinaowaziibeeng Treaty Reserve</t>
  </si>
  <si>
    <t>TOOTINAOWAZIIBEENG TREATY RESERVE</t>
  </si>
  <si>
    <t>CORRESPONDENCE BRANCH</t>
  </si>
  <si>
    <t>Distance Learning Manitoba Education</t>
  </si>
  <si>
    <t>MOUNTAIN VIEW SCHOOL DIVISION</t>
  </si>
  <si>
    <t>GRANDVIEW SCHOOL</t>
  </si>
  <si>
    <t>Swan Lake</t>
  </si>
  <si>
    <t>SWAN LAKE BAND</t>
  </si>
  <si>
    <t>TREHERNE COLLEGIATE</t>
  </si>
  <si>
    <t>WESTMOUNT SCHOOL COMPLEX</t>
  </si>
  <si>
    <t>Gambler First Nation</t>
  </si>
  <si>
    <t>GAMBLERS BAND</t>
  </si>
  <si>
    <t>BINSCARTH ELEMENTARY</t>
  </si>
  <si>
    <t>CRESCENTVIEW</t>
  </si>
  <si>
    <t>KEEWATIN TRIBAL COUNCIL INC.</t>
  </si>
  <si>
    <t>GARDEN HILL FIRST NATION</t>
  </si>
  <si>
    <t>DAUPHIN RIVER BAND</t>
  </si>
  <si>
    <t>École Golden Gate Middle School</t>
  </si>
  <si>
    <t>ST. THERESA POINT BAND</t>
  </si>
  <si>
    <t>GRANT PARK HIGH</t>
  </si>
  <si>
    <t>STEINBACH REGIONAL SECONDARY SCHOOL</t>
  </si>
  <si>
    <t xml:space="preserve">Hanover </t>
  </si>
  <si>
    <t>O-PIPON-NA-PIWIN CREE NATION</t>
  </si>
  <si>
    <t>LEAF RAPIDS EDUCATION CENTRE</t>
  </si>
  <si>
    <t>MANTO SIPI CREE NATION</t>
  </si>
  <si>
    <t>Barren Lands</t>
  </si>
  <si>
    <t>ATIHKOSAKAHIKAN</t>
  </si>
  <si>
    <t>Provincial government operated (Saskatchewan)</t>
  </si>
  <si>
    <t>WEST LYNN HEIGHTS</t>
  </si>
  <si>
    <t>BROCHET SCHOOL</t>
  </si>
  <si>
    <t>Misipawistik Cree Nation</t>
  </si>
  <si>
    <t>MATHIAS COLOMB BAND</t>
  </si>
  <si>
    <t>KELSEY ADULT LEARNING CENTRE</t>
  </si>
  <si>
    <t>HAPNOT COLLEGIATE</t>
  </si>
  <si>
    <t>Flin Flon</t>
  </si>
  <si>
    <t>Mosakahiken Cree Nation</t>
  </si>
  <si>
    <t>FRONTIER MOSAKAHIKEN SCHOOL</t>
  </si>
  <si>
    <t>Sapotaweyak Cree Nation</t>
  </si>
  <si>
    <t>SAPOTAWEYAK CREE NATION</t>
  </si>
  <si>
    <t>SWAN VALLEY REGIONAL SECONDARY</t>
  </si>
  <si>
    <t>TRANSCONA COLLEGIATE</t>
  </si>
  <si>
    <t>WUSKWI SIPIHK FIRST NATION</t>
  </si>
  <si>
    <t>Dauphin River</t>
  </si>
  <si>
    <t>Athlone School</t>
  </si>
  <si>
    <t>Heritage School</t>
  </si>
  <si>
    <t>O.V. JEWITT ELEMENTARY</t>
  </si>
  <si>
    <t>KING EDWARD COMMUNITY SCHOOL</t>
  </si>
  <si>
    <t>SHAUGHNESSY PARK</t>
  </si>
  <si>
    <t>ROBERTSON SCHOOL</t>
  </si>
  <si>
    <t>GENERAL BYNG</t>
  </si>
  <si>
    <t>VALLEY GARDENS JUNIOR HIGH</t>
  </si>
  <si>
    <t>JOHN DE GRAFE</t>
  </si>
  <si>
    <t>NIJI MAHKWA SCHOOL</t>
  </si>
  <si>
    <t>INTERLAKE RESERVES TRIBAL COUNCIL INC.</t>
  </si>
  <si>
    <t>PORTAGE LEARNING AND LITERACY CENTRE</t>
  </si>
  <si>
    <t>MACLEOD ADULT LEARNING CENTRE</t>
  </si>
  <si>
    <t>HUGH JOHN MACDONALD</t>
  </si>
  <si>
    <t>O-Pipon-Na-Piwin Cree Nation</t>
  </si>
  <si>
    <t>OSCAR BLACKBURN SCHOOL</t>
  </si>
  <si>
    <t>War Lake First Nation</t>
  </si>
  <si>
    <t>WAR LAKE FIRST NATION</t>
  </si>
  <si>
    <t>JULIE LINDAL</t>
  </si>
  <si>
    <t>Wuskwi Sipihk First Nation</t>
  </si>
  <si>
    <t>w</t>
  </si>
  <si>
    <t>Marcel Colomb First Nation</t>
  </si>
  <si>
    <t>Saskatchewan</t>
  </si>
  <si>
    <t>Little Pine</t>
  </si>
  <si>
    <t>Cote First Nation 366</t>
  </si>
  <si>
    <t>Little Black Bear</t>
  </si>
  <si>
    <t>Self Government</t>
  </si>
  <si>
    <t>Total (17/18 workbook)</t>
  </si>
  <si>
    <t xml:space="preserve">Copy and pasted from 19-20 workbook tab 6. Prov&amp;Priv Accom. Filter for MFNERC communities and copy paste the relevant data to cells in first table above. </t>
  </si>
  <si>
    <t>Manitoba</t>
  </si>
  <si>
    <t xml:space="preserve">These values are a direct copy and past of the 2017/18 Prov&amp;Priv Accom tab that I created using the Nominal Roll data. </t>
  </si>
  <si>
    <t>These are the calculation cells that were found in th 17/18 4.i Studetn Accomodation &lt;18 Worksheet. I'm going to try and put everything into one tab so that the 17-18 Prov&amp;Priv Accom tab is in the same place as the calcuation for Accomodation &lt;22 and 22+</t>
  </si>
  <si>
    <t>PHP &lt;18</t>
  </si>
  <si>
    <t>Copy and paste headers from 17/18 tab- Accomodation Summary</t>
  </si>
  <si>
    <t>TOTAL &lt;18 BOARDED STUDENTS</t>
  </si>
  <si>
    <t>TOTAL &lt;18 PHP/Student Accommodation</t>
  </si>
  <si>
    <t>TOTAL 18-21 BOARDED STUDENTS</t>
  </si>
  <si>
    <t>Total Prov&amp;Priv Boarded Headcount Enrolment</t>
  </si>
  <si>
    <t>Board &amp; Room - COMPARABILITY</t>
  </si>
  <si>
    <t>Tuition Students Accommodation Addition TOTAL</t>
  </si>
  <si>
    <t>Tuition Studnets Accommodation Addition - INCREMENT</t>
  </si>
  <si>
    <t>Enrolment by First Nation</t>
  </si>
  <si>
    <t>First Nations Schools - Linked to "16-17 FN Schools Data (Tab A)</t>
  </si>
  <si>
    <t>Provincial Schools - Linked to Tab B</t>
  </si>
  <si>
    <t>Summary</t>
  </si>
  <si>
    <t>FTE Students 22 years and older (at 0.5 Headcount)</t>
  </si>
  <si>
    <t>Provincial &amp; Private Schools Enrolment</t>
  </si>
  <si>
    <t>Provincial Enrolment  Grade Breakdown</t>
  </si>
  <si>
    <r>
      <t>Total Funded Headcount</t>
    </r>
    <r>
      <rPr>
        <b/>
        <sz val="10"/>
        <color rgb="FFFF0000"/>
        <rFont val="Calibri"/>
        <family val="2"/>
        <scheme val="minor"/>
      </rPr>
      <t/>
    </r>
  </si>
  <si>
    <t>Total FTE (&lt;22, 22+)</t>
  </si>
  <si>
    <t>FN Op K4 Program Type</t>
  </si>
  <si>
    <t>FN Op K5 Program Type</t>
  </si>
  <si>
    <t>Band-Op Boarded Students</t>
  </si>
  <si>
    <t>22+ FTE Enrolment (including Invalid Values)</t>
  </si>
  <si>
    <t>Total Pov&amp;Priv FTE</t>
  </si>
  <si>
    <t>22+ Headcount Enrolment (including Invalid Values)</t>
  </si>
  <si>
    <t>Total Prov&amp;Priv Headcount</t>
  </si>
  <si>
    <t>Boarding school &lt;18 Headcount</t>
  </si>
  <si>
    <t>Boarding school 18-21 Heacount</t>
  </si>
  <si>
    <t>Room and board (5 days) &lt;18 Headcount</t>
  </si>
  <si>
    <t>Room and board (5 days) 18-21 Headcount</t>
  </si>
  <si>
    <t>Total Boarded Students</t>
  </si>
  <si>
    <t>PROV K5 Program Type</t>
  </si>
  <si>
    <t>Prov Gr 1-12 &lt;22 Headcount</t>
  </si>
  <si>
    <t>Transported Prov Gr 1-12 &lt;22 Headcount</t>
  </si>
  <si>
    <t>Half-Day</t>
  </si>
  <si>
    <t>2017-18  Budget</t>
  </si>
  <si>
    <t xml:space="preserve">  OPERATING FUND REVENUE </t>
  </si>
  <si>
    <t xml:space="preserve">  PROVINCIAL GOVERNMENT SUPPORT</t>
  </si>
  <si>
    <t xml:space="preserve">   NON-PROVINCIAL SOURCES</t>
  </si>
  <si>
    <t>FOR INTERNAL USE</t>
  </si>
  <si>
    <t xml:space="preserve">   FEDERAL GOVERNMENT</t>
  </si>
  <si>
    <t xml:space="preserve">  MUNICIPAL GOVERNMENT</t>
  </si>
  <si>
    <t xml:space="preserve">  OTHER SCHOOL DIVISIONS</t>
  </si>
  <si>
    <t xml:space="preserve">  FIRST NATIONS</t>
  </si>
  <si>
    <t xml:space="preserve">      PRIVATE ORGANIZATIONS AND INDIVIDUALS (INCLUDES GBE'S)</t>
  </si>
  <si>
    <t xml:space="preserve">  OTHER SOURCES</t>
  </si>
  <si>
    <t>ONLY</t>
  </si>
  <si>
    <t xml:space="preserve">  BASE SUPPORT</t>
  </si>
  <si>
    <t xml:space="preserve">  CATEGORICAL SUPPORT</t>
  </si>
  <si>
    <t>EQUALIZATION</t>
  </si>
  <si>
    <t xml:space="preserve">  OTHER PROGRAM SUPPORT</t>
  </si>
  <si>
    <t xml:space="preserve">  OTHER DEPARTMENT OF EDUCATION AND TRAINING</t>
  </si>
  <si>
    <t xml:space="preserve">          OTHER PROVINCIAL GOVERNMENT DEPARTMENTS (NOT INCLUDING GBE'S)</t>
  </si>
  <si>
    <t xml:space="preserve">  CURRENT YEAR SUPPORT</t>
  </si>
  <si>
    <t xml:space="preserve">  PRIOR YEAR SUPPORT</t>
  </si>
  <si>
    <t>INSTRUCTIONAL</t>
  </si>
  <si>
    <t>ADDITIONAL</t>
  </si>
  <si>
    <t>ABORIGINAL</t>
  </si>
  <si>
    <t>EARLY</t>
  </si>
  <si>
    <t>TECHNOLOGY</t>
  </si>
  <si>
    <t>SKILLS</t>
  </si>
  <si>
    <t>OTHER</t>
  </si>
  <si>
    <t>SMALLER</t>
  </si>
  <si>
    <t>TOTAL OTHER</t>
  </si>
  <si>
    <t>ENGLISH AS AN</t>
  </si>
  <si>
    <t>GOVERNMENT</t>
  </si>
  <si>
    <t>FUNDING OF</t>
  </si>
  <si>
    <t>SUPPORT</t>
  </si>
  <si>
    <t xml:space="preserve">INSTRUCTIONAL </t>
  </si>
  <si>
    <t>SPECIAL NEEDS</t>
  </si>
  <si>
    <t>SENIOR YEARS</t>
  </si>
  <si>
    <t xml:space="preserve"> ACADEMIC</t>
  </si>
  <si>
    <t>ABORIGINAL AND</t>
  </si>
  <si>
    <t>FRENCH</t>
  </si>
  <si>
    <t>CHILDHOOD</t>
  </si>
  <si>
    <t>LITERACY</t>
  </si>
  <si>
    <t>EDUCATION FOR</t>
  </si>
  <si>
    <t>SCHOOL</t>
  </si>
  <si>
    <t>EDUCATION</t>
  </si>
  <si>
    <t>STRATEGY</t>
  </si>
  <si>
    <t>MINOR</t>
  </si>
  <si>
    <t>GENERAL</t>
  </si>
  <si>
    <t>TAX</t>
  </si>
  <si>
    <t>CLASSES</t>
  </si>
  <si>
    <t>LEARNING</t>
  </si>
  <si>
    <t>PROVINCIAL</t>
  </si>
  <si>
    <t>ADULT</t>
  </si>
  <si>
    <t>PRIVATE</t>
  </si>
  <si>
    <t xml:space="preserve"> BUSINESS </t>
  </si>
  <si>
    <t>OPERATING</t>
  </si>
  <si>
    <t>SCHOOLS</t>
  </si>
  <si>
    <t>BASE</t>
  </si>
  <si>
    <t>(PUPIL GRANT</t>
  </si>
  <si>
    <t>SUPPORT FOR</t>
  </si>
  <si>
    <t>CURRICULAR</t>
  </si>
  <si>
    <t>INFORMATION</t>
  </si>
  <si>
    <t>LIBRARY</t>
  </si>
  <si>
    <t>STUDENT</t>
  </si>
  <si>
    <t>COUNSELLING</t>
  </si>
  <si>
    <t>PROFESSIONAL</t>
  </si>
  <si>
    <t>PHYSICAL</t>
  </si>
  <si>
    <t>CATEGORICAL</t>
  </si>
  <si>
    <t>COORDINATOR/</t>
  </si>
  <si>
    <t xml:space="preserve"> ACHIEVEMENT</t>
  </si>
  <si>
    <t>INTERNATIONAL</t>
  </si>
  <si>
    <t>LANGUAGE</t>
  </si>
  <si>
    <t>SMALL</t>
  </si>
  <si>
    <t>ENROLMENT</t>
  </si>
  <si>
    <t>NORTHERN</t>
  </si>
  <si>
    <t>DEVELOPMENT</t>
  </si>
  <si>
    <t>AND</t>
  </si>
  <si>
    <t>SUSTAINABLE</t>
  </si>
  <si>
    <t>FORMULA</t>
  </si>
  <si>
    <t>PROGRAM</t>
  </si>
  <si>
    <t>BUILDINGS</t>
  </si>
  <si>
    <t>EQUIPMENT</t>
  </si>
  <si>
    <t>CAPITAL</t>
  </si>
  <si>
    <t>DEPARTMENT OF</t>
  </si>
  <si>
    <t xml:space="preserve">SHARED </t>
  </si>
  <si>
    <t>SPECIAL</t>
  </si>
  <si>
    <t>INSTITUTIONAL</t>
  </si>
  <si>
    <t>NURSING</t>
  </si>
  <si>
    <t>SUBSTITUTE</t>
  </si>
  <si>
    <t>PROPERTY</t>
  </si>
  <si>
    <t>INCENTIVE</t>
  </si>
  <si>
    <t>INITIATIVE</t>
  </si>
  <si>
    <t>COMMUNITY</t>
  </si>
  <si>
    <t>HEALTHY</t>
  </si>
  <si>
    <t>TO AGE 18</t>
  </si>
  <si>
    <t>EMPLOYMENT</t>
  </si>
  <si>
    <t>NON-PROVINCIAL</t>
  </si>
  <si>
    <t>FEDERAL</t>
  </si>
  <si>
    <t>TUITION</t>
  </si>
  <si>
    <t>TRANSPORTATION</t>
  </si>
  <si>
    <t>MUNICIPAL</t>
  </si>
  <si>
    <t>NET SPECIAL</t>
  </si>
  <si>
    <t>OTHER SCHOOL</t>
  </si>
  <si>
    <t>ORGANIZATIONS</t>
  </si>
  <si>
    <t>REGULAR</t>
  </si>
  <si>
    <t>CONTINUING</t>
  </si>
  <si>
    <t>FOOD</t>
  </si>
  <si>
    <t>ENTERPRISES</t>
  </si>
  <si>
    <t>DIVISION/DISTRICT</t>
  </si>
  <si>
    <t>REVENUE</t>
  </si>
  <si>
    <t>SPEC REVENUE)</t>
  </si>
  <si>
    <t>SMALL SCHOOLS</t>
  </si>
  <si>
    <t>SPARSITY</t>
  </si>
  <si>
    <t>MATERIALS</t>
  </si>
  <si>
    <t>SERVICES</t>
  </si>
  <si>
    <t>AND GUIDANCE</t>
  </si>
  <si>
    <t>OCCUPANCY</t>
  </si>
  <si>
    <t>BOARD AND ROOM</t>
  </si>
  <si>
    <t>CLINICIAN</t>
  </si>
  <si>
    <t>LEVEL 2</t>
  </si>
  <si>
    <t>LEVEL 3</t>
  </si>
  <si>
    <t>Incl. BSSAP</t>
  </si>
  <si>
    <t>LANGUAGES</t>
  </si>
  <si>
    <t>CHANGE</t>
  </si>
  <si>
    <t>ALLOWANCE</t>
  </si>
  <si>
    <t>NUMERACY</t>
  </si>
  <si>
    <t>GUARANTEE</t>
  </si>
  <si>
    <t>("D" PROJECTS)</t>
  </si>
  <si>
    <t>REPLACEMENT</t>
  </si>
  <si>
    <t>ENHANCEMENT</t>
  </si>
  <si>
    <t>NON-RESIDENT</t>
  </si>
  <si>
    <t>NEEDS</t>
  </si>
  <si>
    <t>PROGRAMS</t>
  </si>
  <si>
    <t>SUPPORTS</t>
  </si>
  <si>
    <t>FEES</t>
  </si>
  <si>
    <t>GRANT</t>
  </si>
  <si>
    <t>TAX CREDIT</t>
  </si>
  <si>
    <t>(K-3)</t>
  </si>
  <si>
    <t>COORDINATOR</t>
  </si>
  <si>
    <t>DEPARTMENTS</t>
  </si>
  <si>
    <t>CENTRES</t>
  </si>
  <si>
    <t>OF PUPILS</t>
  </si>
  <si>
    <t>MONITOR</t>
  </si>
  <si>
    <t>(ADULTS)</t>
  </si>
  <si>
    <t>REQUIREMENT</t>
  </si>
  <si>
    <t>DIVISIONS</t>
  </si>
  <si>
    <t>TUITION FEES</t>
  </si>
  <si>
    <t>TRANSFER FEES</t>
  </si>
  <si>
    <t>RESIDUAL FEES</t>
  </si>
  <si>
    <t>FIRST NATIONS</t>
  </si>
  <si>
    <t>INDIVIDUALS</t>
  </si>
  <si>
    <t>SERVICE</t>
  </si>
  <si>
    <t xml:space="preserve"> (GBE'S)</t>
  </si>
  <si>
    <t>SOURCES</t>
  </si>
  <si>
    <t>INTEREST</t>
  </si>
  <si>
    <t>DONATIONS</t>
  </si>
  <si>
    <t>BEAUTIFUL PLAINS</t>
  </si>
  <si>
    <t>BRANDON</t>
  </si>
  <si>
    <t>D.S.F.M.</t>
  </si>
  <si>
    <t>EVERGREEN</t>
  </si>
  <si>
    <t>FLIN FLON</t>
  </si>
  <si>
    <t>GARDEN VALLEY</t>
  </si>
  <si>
    <t>HANOVER</t>
  </si>
  <si>
    <t>INTERLAKE</t>
  </si>
  <si>
    <t>KELSEY</t>
  </si>
  <si>
    <t>LOUIS RIEL</t>
  </si>
  <si>
    <t>MYSTERY LAKE</t>
  </si>
  <si>
    <t>PEMBINA TRAILS</t>
  </si>
  <si>
    <t>PINE CREEK</t>
  </si>
  <si>
    <t>PRAIRIE ROSE</t>
  </si>
  <si>
    <t>RED RIVER VALLEY</t>
  </si>
  <si>
    <t>RIVER EAST TRANSCONA</t>
  </si>
  <si>
    <t>SEINE RIVER</t>
  </si>
  <si>
    <t>SEVEN OAKS</t>
  </si>
  <si>
    <t>SOUTHWEST HORIZON</t>
  </si>
  <si>
    <t>SWAN VALLEY</t>
  </si>
  <si>
    <t>TURTLE MOUNTAIN</t>
  </si>
  <si>
    <t>WESTERN</t>
  </si>
  <si>
    <t>WINNIPEG</t>
  </si>
  <si>
    <t>PROVINCE</t>
  </si>
  <si>
    <t>WHITESHELL</t>
  </si>
  <si>
    <t>MITT</t>
  </si>
  <si>
    <t>BASE SUPPORT</t>
  </si>
  <si>
    <t>CATEGORICAL SUPPORT</t>
  </si>
  <si>
    <t>Tab 41</t>
  </si>
  <si>
    <t>Tab 42</t>
  </si>
  <si>
    <t>ADD'N  INST. SUPPORT FOR SMALL SCHOOLS</t>
  </si>
  <si>
    <t>TOTAL
BASE
 SUPPORT</t>
  </si>
  <si>
    <t>SENIOR YEARS TECHNOLOGY EDUCATION</t>
  </si>
  <si>
    <t>ENGLISH AS AN ADDITIONAL LANGUAGE</t>
  </si>
  <si>
    <t>INDIGENOUS ACADEMIC ACHIEVEMENT</t>
  </si>
  <si>
    <t>FRENCH LANGUAGE PROGRAMS</t>
  </si>
  <si>
    <t>EARLY
 CHILDHOOD
 DEVELOPMENT INITIATIVE</t>
  </si>
  <si>
    <t xml:space="preserve"> LITERACY
AND
 NUMERACY</t>
  </si>
  <si>
    <t>TOTAL CATEGORICAL SUPPORT</t>
  </si>
  <si>
    <r>
      <t xml:space="preserve">ADDITIONAL EQUALIZATION SUPPORT </t>
    </r>
    <r>
      <rPr>
        <b/>
        <vertAlign val="superscript"/>
        <sz val="9"/>
        <rFont val="Arial"/>
        <family val="2"/>
      </rPr>
      <t>(2)</t>
    </r>
  </si>
  <si>
    <r>
      <t xml:space="preserve">OTHER 
PROGRAM 
SUPPORT </t>
    </r>
    <r>
      <rPr>
        <b/>
        <vertAlign val="superscript"/>
        <sz val="9"/>
        <rFont val="Arial"/>
        <family val="2"/>
      </rPr>
      <t>(4)</t>
    </r>
  </si>
  <si>
    <t>TOTAL FUNDING
 OF SCHOOLS
 PROGRAM</t>
  </si>
  <si>
    <r>
      <t xml:space="preserve">EDUCATION PROPERTY TAX CREDIT </t>
    </r>
    <r>
      <rPr>
        <b/>
        <vertAlign val="superscript"/>
        <sz val="9"/>
        <rFont val="Arial"/>
        <family val="2"/>
      </rPr>
      <t>(2)</t>
    </r>
  </si>
  <si>
    <r>
      <t>MUNICIPAL GOVERNMENT</t>
    </r>
    <r>
      <rPr>
        <b/>
        <vertAlign val="superscript"/>
        <sz val="9"/>
        <rFont val="Arial"/>
        <family val="2"/>
      </rPr>
      <t xml:space="preserve"> (1)</t>
    </r>
  </si>
  <si>
    <t>TOTAL OTHER DEPARTMENT OF EDUCATION</t>
  </si>
  <si>
    <r>
      <t>INSTRUCTIONAL SUPPORT</t>
    </r>
    <r>
      <rPr>
        <b/>
        <vertAlign val="superscript"/>
        <sz val="9"/>
        <rFont val="Arial"/>
        <family val="2"/>
      </rPr>
      <t xml:space="preserve"> (1)</t>
    </r>
  </si>
  <si>
    <t>2017/18</t>
  </si>
  <si>
    <r>
      <t xml:space="preserve">SPARSITY SUPPORT </t>
    </r>
    <r>
      <rPr>
        <b/>
        <vertAlign val="superscript"/>
        <sz val="9"/>
        <rFont val="Arial"/>
        <family val="2"/>
      </rPr>
      <t>(2)</t>
    </r>
  </si>
  <si>
    <t>CURRICULAR MATERIALS</t>
  </si>
  <si>
    <t>INFORMATION TECHNOLOGY</t>
  </si>
  <si>
    <t>LIBRARY SERVICES</t>
  </si>
  <si>
    <r>
      <t xml:space="preserve">STUDENT SERVICES </t>
    </r>
    <r>
      <rPr>
        <b/>
        <vertAlign val="superscript"/>
        <sz val="9"/>
        <rFont val="Arial"/>
        <family val="2"/>
      </rPr>
      <t>(1)</t>
    </r>
  </si>
  <si>
    <t>COUNSELLING AND GUIDANCE</t>
  </si>
  <si>
    <t>PROFESSIONAL DEVELOPMENT</t>
  </si>
  <si>
    <t>PHYSICAL EDUCATION</t>
  </si>
  <si>
    <r>
      <t xml:space="preserve">TRANSPORTATION </t>
    </r>
    <r>
      <rPr>
        <b/>
        <vertAlign val="superscript"/>
        <sz val="9"/>
        <rFont val="Arial"/>
        <family val="2"/>
      </rPr>
      <t>(1)</t>
    </r>
  </si>
  <si>
    <r>
      <t>SPECIAL
 NEEDS</t>
    </r>
    <r>
      <rPr>
        <b/>
        <vertAlign val="superscript"/>
        <sz val="9"/>
        <rFont val="Arial"/>
        <family val="2"/>
      </rPr>
      <t xml:space="preserve"> (2)</t>
    </r>
  </si>
  <si>
    <r>
      <t xml:space="preserve">OTHER CATEGORICAL </t>
    </r>
    <r>
      <rPr>
        <b/>
        <vertAlign val="superscript"/>
        <sz val="9"/>
        <rFont val="Arial"/>
        <family val="2"/>
      </rPr>
      <t>(1)</t>
    </r>
  </si>
  <si>
    <r>
      <t>EQUALIZATION SUPPORT</t>
    </r>
    <r>
      <rPr>
        <b/>
        <vertAlign val="superscript"/>
        <sz val="9"/>
        <rFont val="Arial"/>
        <family val="2"/>
      </rPr>
      <t xml:space="preserve"> (1)</t>
    </r>
  </si>
  <si>
    <r>
      <t xml:space="preserve">FORMULA GUARANTEE </t>
    </r>
    <r>
      <rPr>
        <b/>
        <vertAlign val="superscript"/>
        <sz val="9"/>
        <rFont val="Arial"/>
        <family val="2"/>
      </rPr>
      <t>(3)</t>
    </r>
  </si>
  <si>
    <r>
      <t xml:space="preserve">TAX INCENTIVE GRANT </t>
    </r>
    <r>
      <rPr>
        <b/>
        <vertAlign val="superscript"/>
        <sz val="9"/>
        <rFont val="Arial"/>
        <family val="2"/>
      </rPr>
      <t>(1)</t>
    </r>
  </si>
  <si>
    <t xml:space="preserve"> DIVISION / DISTRICT</t>
  </si>
  <si>
    <t>FTE</t>
  </si>
  <si>
    <t xml:space="preserve"> BEAUTIFUL PLAINS</t>
  </si>
  <si>
    <t xml:space="preserve"> BORDER LAND</t>
  </si>
  <si>
    <t xml:space="preserve"> BRANDON</t>
  </si>
  <si>
    <t xml:space="preserve"> DSFM</t>
  </si>
  <si>
    <t xml:space="preserve"> EVERGREEN</t>
  </si>
  <si>
    <t xml:space="preserve"> FLIN FLON</t>
  </si>
  <si>
    <t xml:space="preserve"> FORT LA BOSSE</t>
  </si>
  <si>
    <t xml:space="preserve"> FRONTIER</t>
  </si>
  <si>
    <t xml:space="preserve"> GARDEN VALLEY</t>
  </si>
  <si>
    <t xml:space="preserve"> HANOVER</t>
  </si>
  <si>
    <t xml:space="preserve"> INTERLAKE</t>
  </si>
  <si>
    <t xml:space="preserve"> KELSEY</t>
  </si>
  <si>
    <t xml:space="preserve"> LAKESHORE</t>
  </si>
  <si>
    <t xml:space="preserve"> LORD SELKIRK</t>
  </si>
  <si>
    <t xml:space="preserve"> LOUIS RIEL</t>
  </si>
  <si>
    <t xml:space="preserve"> MOUNTAIN VIEW</t>
  </si>
  <si>
    <t xml:space="preserve"> MYSTERY LAKE</t>
  </si>
  <si>
    <t xml:space="preserve"> PARK WEST</t>
  </si>
  <si>
    <t xml:space="preserve"> PEMBINA TRAILS</t>
  </si>
  <si>
    <t xml:space="preserve"> PINE CREEK</t>
  </si>
  <si>
    <t xml:space="preserve"> PORTAGE LA PRAIRIE</t>
  </si>
  <si>
    <t xml:space="preserve"> PRAIRIE ROSE</t>
  </si>
  <si>
    <t xml:space="preserve"> PRAIRIE SPIRIT</t>
  </si>
  <si>
    <t xml:space="preserve"> RED RIVER VALLEY</t>
  </si>
  <si>
    <t xml:space="preserve"> RIVER EAST TRANSCONA</t>
  </si>
  <si>
    <t xml:space="preserve"> ROLLING RIVER</t>
  </si>
  <si>
    <t xml:space="preserve"> SEINE RIVER</t>
  </si>
  <si>
    <t xml:space="preserve"> SEVEN OAKS</t>
  </si>
  <si>
    <t xml:space="preserve"> SOUTHWEST HORIZON</t>
  </si>
  <si>
    <t xml:space="preserve"> ST. JAMES-ASSINIBOIA</t>
  </si>
  <si>
    <t xml:space="preserve"> SUNRISE</t>
  </si>
  <si>
    <t xml:space="preserve"> SWAN VALLEY</t>
  </si>
  <si>
    <t xml:space="preserve"> TURTLE MOUNTAIN</t>
  </si>
  <si>
    <t xml:space="preserve"> TURTLE RIVER</t>
  </si>
  <si>
    <t xml:space="preserve"> WESTERN</t>
  </si>
  <si>
    <t xml:space="preserve"> WINNIPEG</t>
  </si>
  <si>
    <t>2016/17 MANITOBA PUBLIC SCHOOL FUNDING FACTORS</t>
  </si>
  <si>
    <t>2017/18 MANITOBA PUBLIC SCHOOL FUNDING FACTORS</t>
  </si>
  <si>
    <t>AREA OF SCHOOL BUILDINGS (Sq. Ft. 2015 Survey)</t>
  </si>
  <si>
    <t>For 2016/17 Occupancy Support</t>
  </si>
  <si>
    <t>Add</t>
  </si>
  <si>
    <t>Active School</t>
  </si>
  <si>
    <t>Rented/Leased</t>
  </si>
  <si>
    <t>Division Area</t>
  </si>
  <si>
    <t>Divisions with</t>
  </si>
  <si>
    <t>Occupency Funding</t>
  </si>
  <si>
    <t>Per sq Ft</t>
  </si>
  <si>
    <t>Per sq M rate</t>
  </si>
  <si>
    <t>Buildings</t>
  </si>
  <si>
    <t>Space</t>
  </si>
  <si>
    <t>Teacherages</t>
  </si>
  <si>
    <t>Total Area</t>
  </si>
  <si>
    <t>in Square</t>
  </si>
  <si>
    <t>Proximate</t>
  </si>
  <si>
    <t>by Division</t>
  </si>
  <si>
    <t>Area in Sq. M</t>
  </si>
  <si>
    <t>Buildings Sq. M</t>
  </si>
  <si>
    <t>Kilometres</t>
  </si>
  <si>
    <t>First Nations</t>
  </si>
  <si>
    <t>Beautiful Plains</t>
  </si>
  <si>
    <t>Yes</t>
  </si>
  <si>
    <t>Garden Valley</t>
  </si>
  <si>
    <t>Southwest Horizon</t>
  </si>
  <si>
    <t>Turtle River</t>
  </si>
  <si>
    <t>Western</t>
  </si>
  <si>
    <t>Provincial Total</t>
  </si>
  <si>
    <t>2017-18 Funding Envelope</t>
  </si>
  <si>
    <t>Whiteshell</t>
  </si>
  <si>
    <t>2020-21 FRAME Data</t>
  </si>
  <si>
    <t>2020-21 Budget</t>
  </si>
  <si>
    <t>BUDGET FRAME</t>
  </si>
  <si>
    <t>BUDGET SDs file</t>
  </si>
  <si>
    <t>DSF2019-20E2</t>
  </si>
  <si>
    <t>Coordinator /      Clinician</t>
  </si>
  <si>
    <t>Special Needs page 53</t>
  </si>
  <si>
    <t>page 41</t>
  </si>
  <si>
    <t>page 55</t>
  </si>
  <si>
    <t>page 42</t>
  </si>
  <si>
    <t>page 53</t>
  </si>
  <si>
    <t>page i</t>
  </si>
  <si>
    <t>page 52</t>
  </si>
  <si>
    <t>page 36</t>
  </si>
  <si>
    <t>ProvDivData!BC58</t>
  </si>
  <si>
    <t xml:space="preserve">Other Revenue </t>
  </si>
  <si>
    <t xml:space="preserve">Special Needs </t>
  </si>
  <si>
    <t xml:space="preserve">GCDOCs # 58840966 </t>
  </si>
  <si>
    <t>BUDGET SD</t>
  </si>
  <si>
    <t>Internal Enrolment Sept 2019 Excluding First Nations Pupils</t>
  </si>
  <si>
    <t>PROVINCIAL ENROLMENT SUMMARY</t>
  </si>
  <si>
    <t>SCHOOL DIVISION ENROLMENT</t>
  </si>
  <si>
    <t>Funding of Schools Program</t>
  </si>
  <si>
    <t>Additional Equalization PLUS one-time Top-Up</t>
  </si>
  <si>
    <t>Additional Equalization Top-Up (one time)</t>
  </si>
  <si>
    <t>2021 General Support Grant Payment to SDs</t>
  </si>
  <si>
    <t>2020 EPTC Payment to SDs (in the original Budget file)</t>
  </si>
  <si>
    <t>2021 EPTC Payment to SDs Gross of DSFM</t>
  </si>
  <si>
    <t>2021 EPTC share of DSFM</t>
  </si>
  <si>
    <t>2021 EPTC share of School Division</t>
  </si>
  <si>
    <t>2021 EPTC Payment to SDs</t>
  </si>
  <si>
    <t>2021 TIG Payments to SDs</t>
  </si>
  <si>
    <t>2022 Prop. Tax Offset Grant Payments to SDs</t>
  </si>
  <si>
    <t xml:space="preserve">Decrease in EPTCA 2021 rebate;offset by Taxpayer </t>
  </si>
  <si>
    <t>TRANSPORT</t>
  </si>
  <si>
    <t>BOARDRM</t>
  </si>
  <si>
    <t>SPECNEED2</t>
  </si>
  <si>
    <t>SPECNEED3</t>
  </si>
  <si>
    <t>Additional Funding for Special Needs</t>
  </si>
  <si>
    <t>TRAF Budget (GCDOCs# 88011451)</t>
  </si>
  <si>
    <t>OTHER REV</t>
  </si>
  <si>
    <t>Active School Area Sept/18 (Pump house not included)</t>
  </si>
  <si>
    <t>AAA</t>
  </si>
  <si>
    <t>ESL</t>
  </si>
  <si>
    <t>TECHED</t>
  </si>
  <si>
    <t>SPECNEEDCLIN</t>
  </si>
  <si>
    <t>OCCUP</t>
  </si>
  <si>
    <t xml:space="preserve">     Reading Recovery®Teacher Leader Support  (Literary/Numeracy) Salaries only</t>
  </si>
  <si>
    <t>ODE</t>
  </si>
  <si>
    <t>EPTC</t>
  </si>
  <si>
    <t>TIG</t>
  </si>
  <si>
    <t>Special Needs Total Page 53</t>
  </si>
  <si>
    <t xml:space="preserve">Senior Years Technology Education </t>
  </si>
  <si>
    <t>Indigenous Academic Achievement</t>
  </si>
  <si>
    <t>Total Base Support 2019-20 Budget</t>
  </si>
  <si>
    <t>Occupancy Actual Data 2018/19</t>
  </si>
  <si>
    <t>K-12</t>
  </si>
  <si>
    <t>K-12 FTE</t>
  </si>
  <si>
    <t>SEPTEMBER 30, 2020</t>
  </si>
  <si>
    <t xml:space="preserve"> DIVISION/DISTRICT</t>
  </si>
  <si>
    <t>sq ft</t>
  </si>
  <si>
    <t>included GSG</t>
  </si>
  <si>
    <t xml:space="preserve"> SCHOOLS</t>
  </si>
  <si>
    <t>Schools</t>
  </si>
  <si>
    <t>SE</t>
  </si>
  <si>
    <t>N</t>
  </si>
  <si>
    <t>K</t>
  </si>
  <si>
    <t>Grade 9-12</t>
  </si>
  <si>
    <t>Grade 7-12</t>
  </si>
  <si>
    <t xml:space="preserve"> RIVER EAST TRANSCONA SCHOOL DIVISION</t>
  </si>
  <si>
    <t xml:space="preserve"> FRONTIER SCHOOL DIVISION</t>
  </si>
  <si>
    <t xml:space="preserve"> PUBLIC SCHOOLS</t>
  </si>
  <si>
    <t/>
  </si>
  <si>
    <t xml:space="preserve"> SCHOOL NAME</t>
  </si>
  <si>
    <t xml:space="preserve"> COMMUNITY</t>
  </si>
  <si>
    <t xml:space="preserve"> SCHOOL DIVISIONS</t>
  </si>
  <si>
    <t xml:space="preserve"> Angus McKay School</t>
  </si>
  <si>
    <t xml:space="preserve"> Barrows Junction School</t>
  </si>
  <si>
    <t>Barrows Junction</t>
  </si>
  <si>
    <t xml:space="preserve"> SPECIAL REVENUE DISTRICT</t>
  </si>
  <si>
    <t xml:space="preserve"> Arthur Day Middle School</t>
  </si>
  <si>
    <t xml:space="preserve"> Brochet School</t>
  </si>
  <si>
    <t>Brochet</t>
  </si>
  <si>
    <t xml:space="preserve"> TOTAL PUBLIC SCHOOLS</t>
  </si>
  <si>
    <t xml:space="preserve"> Bernie Wolfe School</t>
  </si>
  <si>
    <t xml:space="preserve"> Cold Lake School</t>
  </si>
  <si>
    <t>Sherridon</t>
  </si>
  <si>
    <t xml:space="preserve"> DIVISION ADMINISTERED FIRST NATIONS</t>
  </si>
  <si>
    <t xml:space="preserve"> Bertrun E. Glavin School</t>
  </si>
  <si>
    <t xml:space="preserve"> Cormorant Lake School</t>
  </si>
  <si>
    <t>Cormorant</t>
  </si>
  <si>
    <t xml:space="preserve"> SCHOOLS 1</t>
  </si>
  <si>
    <t xml:space="preserve"> Bird's Hill School</t>
  </si>
  <si>
    <t>East St. Paul</t>
  </si>
  <si>
    <t xml:space="preserve"> Cranberry Portage Elementary</t>
  </si>
  <si>
    <t>Cranberry Portage</t>
  </si>
  <si>
    <t xml:space="preserve"> TOTAL PUBLIC AND DIVISION</t>
  </si>
  <si>
    <t xml:space="preserve"> Chief Peguis Middle School</t>
  </si>
  <si>
    <t xml:space="preserve"> D. R. Hamilton School</t>
  </si>
  <si>
    <t>Cross Lake</t>
  </si>
  <si>
    <t xml:space="preserve"> ADMINISTERED FIRST NATIONS SCHOOLS</t>
  </si>
  <si>
    <t xml:space="preserve"> Collège Miles Macdonell Collegiate</t>
  </si>
  <si>
    <t xml:space="preserve"> Duck Bay School</t>
  </si>
  <si>
    <t>Duck Bay</t>
  </si>
  <si>
    <t xml:space="preserve"> INDEPENDENT SCHOOLS</t>
  </si>
  <si>
    <t xml:space="preserve"> Collège Pierre-Elliott-Trudeau</t>
  </si>
  <si>
    <t xml:space="preserve"> Duke of Marlborough School</t>
  </si>
  <si>
    <t>Churchill</t>
  </si>
  <si>
    <t xml:space="preserve"> FUNDED SCHOOLS</t>
  </si>
  <si>
    <t xml:space="preserve"> Donwood School</t>
  </si>
  <si>
    <t xml:space="preserve"> Falcon Beach School</t>
  </si>
  <si>
    <t>Falcon Lake</t>
  </si>
  <si>
    <t xml:space="preserve"> NON-FUNDED SCHOOLS  </t>
  </si>
  <si>
    <t xml:space="preserve"> Dr. F.W.L. Hamilton School</t>
  </si>
  <si>
    <t xml:space="preserve"> Frontier Collegiate</t>
  </si>
  <si>
    <t xml:space="preserve"> TOTAL INDEPENDENT SCHOOLS</t>
  </si>
  <si>
    <t xml:space="preserve"> École Centrale</t>
  </si>
  <si>
    <t xml:space="preserve"> Gillam School</t>
  </si>
  <si>
    <t xml:space="preserve"> TOTAL PUBLIC, INDEPENDENT AND DIVISION</t>
  </si>
  <si>
    <t xml:space="preserve"> École John Henderson Middle School</t>
  </si>
  <si>
    <t xml:space="preserve"> Grand Rapids School</t>
  </si>
  <si>
    <t>Grand Rapids</t>
  </si>
  <si>
    <t xml:space="preserve"> École Margaret-Underhill</t>
  </si>
  <si>
    <t xml:space="preserve"> Gypsumville School</t>
  </si>
  <si>
    <t xml:space="preserve"> HOMESCHOOLS </t>
  </si>
  <si>
    <t xml:space="preserve"> École Munroe Middle School</t>
  </si>
  <si>
    <t xml:space="preserve"> Jack River School</t>
  </si>
  <si>
    <t>Norway House</t>
  </si>
  <si>
    <t xml:space="preserve"> PROVINCIAL TOTAL</t>
  </si>
  <si>
    <t xml:space="preserve"> École Neil Campbell School</t>
  </si>
  <si>
    <t xml:space="preserve"> Joseph H. Kerr School</t>
  </si>
  <si>
    <t>Snow Lake</t>
  </si>
  <si>
    <t xml:space="preserve"> École Regent Park</t>
  </si>
  <si>
    <t xml:space="preserve"> Julie Lindal School</t>
  </si>
  <si>
    <t>Ilford</t>
  </si>
  <si>
    <r>
      <t xml:space="preserve">1 </t>
    </r>
    <r>
      <rPr>
        <sz val="10"/>
        <color indexed="8"/>
        <rFont val="Arial"/>
        <family val="2"/>
      </rPr>
      <t xml:space="preserve">First Nations schools administered under educational agreements with school divisions: Frontier School Division (page 12) and Park West School Division (page 18). </t>
    </r>
  </si>
  <si>
    <t xml:space="preserve"> École Salisbury Morse Place School</t>
  </si>
  <si>
    <t xml:space="preserve"> Lakefront School</t>
  </si>
  <si>
    <t>Crane River</t>
  </si>
  <si>
    <r>
      <t xml:space="preserve">1 </t>
    </r>
    <r>
      <rPr>
        <sz val="10"/>
        <color indexed="8"/>
        <rFont val="Arial"/>
        <family val="2"/>
      </rPr>
      <t xml:space="preserve">Includes 9 First Nations Schools with educational agreements respecting the provision of educational services by a public school divison to students attending First Nations schools; 8 schools with Frontier School Division (see page 13) and 1 school with Park West School Divsion (see page 19). </t>
    </r>
  </si>
  <si>
    <t xml:space="preserve"> École Springfield Heights School</t>
  </si>
  <si>
    <t xml:space="preserve"> Leaf Rapids Education Centre</t>
  </si>
  <si>
    <t>Leaf Rapids</t>
  </si>
  <si>
    <t xml:space="preserve"> École Sun Valley School</t>
  </si>
  <si>
    <t xml:space="preserve"> Matheson Island School</t>
  </si>
  <si>
    <t>Matheson Island</t>
  </si>
  <si>
    <t xml:space="preserve"> Emerson School</t>
  </si>
  <si>
    <t xml:space="preserve"> Mel Johnson School</t>
  </si>
  <si>
    <t>Wabowden</t>
  </si>
  <si>
    <t>Source: Tab 5 of 2018 enrollment report from MET website</t>
  </si>
  <si>
    <t xml:space="preserve"> Hampstead School</t>
  </si>
  <si>
    <t xml:space="preserve"> Ministic School</t>
  </si>
  <si>
    <t>God's Lake Narrows</t>
  </si>
  <si>
    <t xml:space="preserve"> Harold Hatcher School</t>
  </si>
  <si>
    <t xml:space="preserve"> Peonan Point School</t>
  </si>
  <si>
    <t>St. Martin</t>
  </si>
  <si>
    <t xml:space="preserve"> John de Graff School</t>
  </si>
  <si>
    <t xml:space="preserve"> Philomene Chartrand School</t>
  </si>
  <si>
    <t>Camperville</t>
  </si>
  <si>
    <t xml:space="preserve"> John G. Stewart School</t>
  </si>
  <si>
    <t xml:space="preserve"> Pikwitonei School</t>
  </si>
  <si>
    <t>Pikwitonei</t>
  </si>
  <si>
    <t xml:space="preserve"> John Pritchard School</t>
  </si>
  <si>
    <t xml:space="preserve"> Rorketon School</t>
  </si>
  <si>
    <t>Rorketon</t>
  </si>
  <si>
    <t xml:space="preserve"> John W. Gunn Middle School</t>
  </si>
  <si>
    <t xml:space="preserve"> San Antonio School</t>
  </si>
  <si>
    <t>Bissett</t>
  </si>
  <si>
    <t xml:space="preserve"> Joseph Teres School</t>
  </si>
  <si>
    <t xml:space="preserve"> Stevenson Island School</t>
  </si>
  <si>
    <t>Stevenson Island</t>
  </si>
  <si>
    <t xml:space="preserve"> Kildonan-East Collegiate</t>
  </si>
  <si>
    <t xml:space="preserve"> Thicket Portage School</t>
  </si>
  <si>
    <t>Thicket Portage</t>
  </si>
  <si>
    <t xml:space="preserve"> Lord Wolseley School</t>
  </si>
  <si>
    <t xml:space="preserve"> Waterhen School</t>
  </si>
  <si>
    <t>Waterhen</t>
  </si>
  <si>
    <t xml:space="preserve"> Maple Leaf School</t>
  </si>
  <si>
    <t xml:space="preserve"> West Lynn Heights School</t>
  </si>
  <si>
    <t>Lynn Lake</t>
  </si>
  <si>
    <t xml:space="preserve">K-Gr. 3 </t>
  </si>
  <si>
    <t xml:space="preserve"> Murdoch Mackay Collegiate</t>
  </si>
  <si>
    <t xml:space="preserve"> SUB-TOTAL</t>
  </si>
  <si>
    <t>30 SCHOOLS</t>
  </si>
  <si>
    <t xml:space="preserve"> Polson School</t>
  </si>
  <si>
    <t xml:space="preserve">Gr. 11 &amp; 12 </t>
  </si>
  <si>
    <t xml:space="preserve"> Prince Edward School</t>
  </si>
  <si>
    <t xml:space="preserve"> Princess Margaret School</t>
  </si>
  <si>
    <t xml:space="preserve"> Radisson School</t>
  </si>
  <si>
    <t xml:space="preserve"> River East Collegiate</t>
  </si>
  <si>
    <t>W.T.C.</t>
  </si>
  <si>
    <t xml:space="preserve"> Robert Andrews Middle School</t>
  </si>
  <si>
    <t xml:space="preserve"> Sherwood School</t>
  </si>
  <si>
    <t xml:space="preserve"> Transcona Collegiate</t>
  </si>
  <si>
    <t xml:space="preserve"> Valley Gardens Middle School</t>
  </si>
  <si>
    <t xml:space="preserve"> Wayoata School</t>
  </si>
  <si>
    <t xml:space="preserve"> Westview School</t>
  </si>
  <si>
    <t xml:space="preserve"> TOTAL</t>
  </si>
  <si>
    <t>42 SCHOOLS</t>
  </si>
  <si>
    <t xml:space="preserve">AREA OF SCHOOL BUILDINGS </t>
  </si>
  <si>
    <t>Source: Area of School Buildings 2017/18, FRAME 2018-19 Budget, Tab 36</t>
  </si>
  <si>
    <t>For 2017/18 Occupancy Support</t>
  </si>
  <si>
    <t>Data in hidden columns</t>
  </si>
  <si>
    <t xml:space="preserve">ACTIVE SCHOOL BUILDINGS </t>
  </si>
  <si>
    <t>AREA</t>
  </si>
  <si>
    <t>Sep 30, 17</t>
  </si>
  <si>
    <t>2017-18 Provincial Tuition Rate Calculation</t>
  </si>
  <si>
    <t>According to the Budgeted Allocations Outlined in the 2017-18 FRAME Budget Report</t>
  </si>
  <si>
    <t>Sum:</t>
  </si>
  <si>
    <t>Division Name</t>
  </si>
  <si>
    <t>Division Name Formatted</t>
  </si>
  <si>
    <t>Eligible Enrolment Sept. 30, 2016</t>
  </si>
  <si>
    <t>General Support Grant</t>
  </si>
  <si>
    <t>Total Municipal Government</t>
  </si>
  <si>
    <t>Special Needs Level 2</t>
  </si>
  <si>
    <t>Special Needs Level 3</t>
  </si>
  <si>
    <t>Total for Base Tuition Rates</t>
  </si>
  <si>
    <t>BASE TUITION RATES</t>
  </si>
  <si>
    <t xml:space="preserve">Turtle River </t>
  </si>
  <si>
    <t>2018-19 Provincial Tuition Rate Calculation</t>
  </si>
  <si>
    <t>According to the Budgeted Allocations Outlined in the 2020-21 FRAME Budget Report</t>
  </si>
  <si>
    <t>Eligible Enrolment Sept. 30, 2017</t>
  </si>
  <si>
    <t>Tax Incentive Grant and TOG</t>
  </si>
  <si>
    <t>Special Needs Level 2 + Top Up</t>
  </si>
  <si>
    <t>PHP &amp; Student Accommodation Rates</t>
  </si>
  <si>
    <t xml:space="preserve">Frontier Boarding of </t>
  </si>
  <si>
    <t>Frontier Accommodations enrollment 2019</t>
  </si>
  <si>
    <r>
      <t xml:space="preserve">Manitoba 20120-21 School Year - </t>
    </r>
    <r>
      <rPr>
        <b/>
        <i/>
        <sz val="11"/>
        <color rgb="FFFF0000"/>
        <rFont val="Calibri"/>
        <family val="2"/>
        <scheme val="minor"/>
      </rPr>
      <t>Rates appear to be accurate for 2020-21 based on available information on the identified cost drivers.</t>
    </r>
  </si>
  <si>
    <t xml:space="preserve">Student Residence/Boarding </t>
  </si>
  <si>
    <t>PHP/ 5 Day room and Board</t>
  </si>
  <si>
    <t>Proposed Rates</t>
  </si>
  <si>
    <t>Student Boarding</t>
  </si>
  <si>
    <t>&lt;link rel="stylesheet" href="/etc/designs/canada/wet-boew/css/noscript.min.css"/&gt;</t>
  </si>
  <si>
    <t>Categories</t>
  </si>
  <si>
    <t>Child Fare (when applicable in $) Child is 12 years of age and under</t>
  </si>
  <si>
    <t>Entitlement to Lower KM Rate per employee to (location)</t>
  </si>
  <si>
    <t>Entitlement to Travel Expenses of $100 per person each way, if travel distance is 250 km or over one way</t>
  </si>
  <si>
    <t>Room &amp; Board</t>
  </si>
  <si>
    <t>This allocation reflects the provincially comparable funding rate at $600 per month for 10 months of the year.</t>
  </si>
  <si>
    <t>Student Allowance</t>
  </si>
  <si>
    <t>This allocation reflects $100 per month for 10 months for student to address personal miscellaneous expenses, school fees, school supplies, etc. Plus grown for inflation at 2%</t>
  </si>
  <si>
    <t>N/A</t>
  </si>
  <si>
    <t>This allocation reflects $100 per month for 10 months for student to address personal miscellaneous expenses, school fees, school supplies, etc. Plus grown for inflation at 2%*2</t>
  </si>
  <si>
    <t>Boarding/Student Residence</t>
  </si>
  <si>
    <t>September 2021 Frontier Estimated Accommodation Invoiced cost</t>
  </si>
  <si>
    <t>Ancillary</t>
  </si>
  <si>
    <t>Bus Pass</t>
  </si>
  <si>
    <t>This allocation is for a bus/public transit pass estimated at $85 per month for 10 months. (Winnipeg - $70.10, Brandon -  $84.50)</t>
  </si>
  <si>
    <t>Bowsman</t>
  </si>
  <si>
    <t>The Pas</t>
  </si>
  <si>
    <r>
      <t>This allocation is for four trips per school year per student. The South rate is the total cost by bus and train (most economical south of the 53</t>
    </r>
    <r>
      <rPr>
        <vertAlign val="superscript"/>
        <sz val="9"/>
        <color theme="1"/>
        <rFont val="Calibri"/>
        <family val="2"/>
        <scheme val="minor"/>
      </rPr>
      <t>rd</t>
    </r>
    <r>
      <rPr>
        <sz val="9"/>
        <color theme="1"/>
        <rFont val="Calibri"/>
        <family val="2"/>
        <scheme val="minor"/>
      </rPr>
      <t>). The North rate is the total cost of travel by train and bus (often the only option north of the 53</t>
    </r>
    <r>
      <rPr>
        <vertAlign val="superscript"/>
        <sz val="9"/>
        <color theme="1"/>
        <rFont val="Calibri"/>
        <family val="2"/>
        <scheme val="minor"/>
      </rPr>
      <t>rd</t>
    </r>
    <r>
      <rPr>
        <sz val="9"/>
        <color theme="1"/>
        <rFont val="Calibri"/>
        <family val="2"/>
        <scheme val="minor"/>
      </rPr>
      <t>).</t>
    </r>
  </si>
  <si>
    <t>Criminal Record/Vulnerable Sector Screening</t>
  </si>
  <si>
    <t>This allocation is based on the current cost of a criminal record check (which includes a vulnerable sector screening) at $47 per record check for two adults.[1]</t>
  </si>
  <si>
    <t>Chemawawin (inclut Easterville)</t>
  </si>
  <si>
    <t>Drive</t>
  </si>
  <si>
    <t>This allocation is for one-way travel for chaperones to travel with minors.</t>
  </si>
  <si>
    <t>Transition Support</t>
  </si>
  <si>
    <t>This allocation is for programming specific to students living away from home and includes $200 per student for transition programming, $625 for tutoring, $200 for cultural/recreational programming, $200 for extracurricular activities/sports, and $167 ($500 amortized over three years[2]) towards the purchase/replacement of a laptop.</t>
  </si>
  <si>
    <t>Student Transition Counselling</t>
  </si>
  <si>
    <t>While funding for school operating expenditures and tuition fees include funding to support student counselling services in schools, this funding is for counselling specifically to support students living away from home at a rate based on one counsellor per 20 students at a salary of $75,000 annually.</t>
  </si>
  <si>
    <t>Total per student</t>
  </si>
  <si>
    <t>Ethelbert</t>
  </si>
  <si>
    <t>Flin Flon (inclut Creighton)</t>
  </si>
  <si>
    <t>Garden Hill</t>
  </si>
  <si>
    <r>
      <t>[1]</t>
    </r>
    <r>
      <rPr>
        <sz val="9"/>
        <color theme="1"/>
        <rFont val="Calibri"/>
        <family val="2"/>
        <scheme val="minor"/>
      </rPr>
      <t xml:space="preserve"> Winnipeg Police Service, 2019 Fee Schedule, https://www.winnipeg.ca/police/pr/fees_info.stm. Fees may change annually. </t>
    </r>
  </si>
  <si>
    <r>
      <t>[2]</t>
    </r>
    <r>
      <rPr>
        <sz val="9"/>
        <color theme="1"/>
        <rFont val="Calibri"/>
        <family val="2"/>
        <scheme val="minor"/>
      </rPr>
      <t xml:space="preserve"> According to data provided by the Daniel Research Group, the average lifespan of personal computers is 3.1 years, http://www.statista.com/statistics/267474/average-life-of-pc-and-tablets/. </t>
    </r>
  </si>
  <si>
    <t>God's River</t>
  </si>
  <si>
    <t>Lac Brochet</t>
  </si>
  <si>
    <t>Little Grand Rapids Reserve</t>
  </si>
  <si>
    <t>Moose Lake</t>
  </si>
  <si>
    <t>Oxford House</t>
  </si>
  <si>
    <t>Pauingassi</t>
  </si>
  <si>
    <t>Poplar River Reserve</t>
  </si>
  <si>
    <t>Pukatawagan</t>
  </si>
  <si>
    <t>Shamattawa</t>
  </si>
  <si>
    <t>Shoal River / Pelican Rapids</t>
  </si>
  <si>
    <t>South Indian Lake</t>
  </si>
  <si>
    <t>Swan River</t>
  </si>
  <si>
    <t>Tadoule Lake</t>
  </si>
  <si>
    <t>Wassagomach</t>
  </si>
  <si>
    <t>Winnipegosis</t>
  </si>
  <si>
    <t>MB Kilometer Rate</t>
  </si>
  <si>
    <t>Aboriginal Academic Achievement and Aborigina &amp; International Languages per Student Rates by School Division - 2017/18 BUDGET</t>
  </si>
  <si>
    <t xml:space="preserve"> ABORIGINAL ACADEMIC</t>
  </si>
  <si>
    <t>Eligible Enrol</t>
  </si>
  <si>
    <t>AIL</t>
  </si>
  <si>
    <t>School Division</t>
  </si>
  <si>
    <t>Sept 30/16</t>
  </si>
  <si>
    <t>Per Student</t>
  </si>
  <si>
    <t>Sum</t>
  </si>
  <si>
    <t>ENROLMENTS - HEADCOUNT, FRAME AND ELIGIBLE</t>
  </si>
  <si>
    <t>ACTUAL AND ESTIMATES AS OF SEPTEMBER 30</t>
  </si>
  <si>
    <t>Sept 30, 2016</t>
  </si>
  <si>
    <r>
      <t xml:space="preserve">HEADCOUNT </t>
    </r>
    <r>
      <rPr>
        <b/>
        <vertAlign val="superscript"/>
        <sz val="9"/>
        <rFont val="Arial"/>
        <family val="2"/>
      </rPr>
      <t>(1)</t>
    </r>
  </si>
  <si>
    <r>
      <t xml:space="preserve">ELIGIBLE </t>
    </r>
    <r>
      <rPr>
        <b/>
        <vertAlign val="superscript"/>
        <sz val="9"/>
        <rFont val="Arial"/>
        <family val="2"/>
      </rPr>
      <t>(3)</t>
    </r>
  </si>
  <si>
    <r>
      <t>Heacount of Supportable Enrolment</t>
    </r>
    <r>
      <rPr>
        <b/>
        <vertAlign val="superscript"/>
        <sz val="10"/>
        <color theme="1"/>
        <rFont val="Calibri"/>
        <family val="2"/>
        <scheme val="minor"/>
      </rPr>
      <t>1</t>
    </r>
  </si>
  <si>
    <r>
      <t>Actual Eligible FTE Enrolment</t>
    </r>
    <r>
      <rPr>
        <b/>
        <vertAlign val="superscript"/>
        <sz val="10"/>
        <rFont val="Calibri"/>
        <family val="2"/>
        <scheme val="minor"/>
      </rPr>
      <t>2</t>
    </r>
  </si>
  <si>
    <t>ACTUAL
 SEP. 30, 2017</t>
  </si>
  <si>
    <t>ACTUAL 
SEP. 30, 2017</t>
  </si>
  <si>
    <t>ACTUAL 
SEP. 30, 2016</t>
  </si>
  <si>
    <t>N-12 ENROLMENT</t>
  </si>
  <si>
    <t>NURSERY ENROLMENT</t>
  </si>
  <si>
    <t>K-12 ENROLMENT</t>
  </si>
  <si>
    <t>1. Sept 30, 2016 A1 Enrolment Summary for 17-18 E2.xls. NCR#10118360</t>
  </si>
  <si>
    <t xml:space="preserve"> WHITESHELL</t>
  </si>
  <si>
    <t>2. Provincially supported pupils (actual September 30, 2016 for 2017/18 and actual September 30, 2015 for 2016/17). NCR#10114020, Tab 8.</t>
  </si>
  <si>
    <t xml:space="preserve"> MITT </t>
  </si>
  <si>
    <t>Source: 2018/19 FRAME Budget Tab 8</t>
  </si>
  <si>
    <t xml:space="preserve"> MANITOBA MINISTRY OF EDUCATION PROVINCIAL ENROLMENT SUMMARY</t>
  </si>
  <si>
    <t>SEPTEMBER 30, 2016</t>
  </si>
  <si>
    <t>SUBTOTALS</t>
  </si>
  <si>
    <t>High</t>
  </si>
  <si>
    <t>Gr 7-12</t>
  </si>
  <si>
    <t>School</t>
  </si>
  <si>
    <r>
      <t xml:space="preserve"> SCHOOLS </t>
    </r>
    <r>
      <rPr>
        <b/>
        <vertAlign val="superscript"/>
        <sz val="11"/>
        <rFont val="Arial"/>
        <family val="2"/>
      </rPr>
      <t>1</t>
    </r>
  </si>
  <si>
    <r>
      <t xml:space="preserve"> NON-FUNDED SCHOOLS </t>
    </r>
    <r>
      <rPr>
        <vertAlign val="superscript"/>
        <sz val="11"/>
        <rFont val="Arial"/>
        <family val="2"/>
      </rPr>
      <t xml:space="preserve"> </t>
    </r>
  </si>
  <si>
    <t>SE  -  Pupils enrolled and taught in special ungraded classes.</t>
  </si>
  <si>
    <t>N    -  NURSERY</t>
  </si>
  <si>
    <t>K    -  KINDERGARTEN</t>
  </si>
  <si>
    <t>Source: http://www.edu.gov.mb.ca/k12/finance/sch_enrol/index.html, NCR#10114023, Tab 5.</t>
  </si>
  <si>
    <t xml:space="preserve"> Duke Of Marlborough School</t>
  </si>
  <si>
    <t xml:space="preserve"> Frontier Collegiate Institute</t>
  </si>
  <si>
    <t xml:space="preserve"> Mountain View School</t>
  </si>
  <si>
    <t>Frontier K-3 Enrolment from above</t>
  </si>
  <si>
    <t>Percent of Total</t>
  </si>
  <si>
    <t xml:space="preserve"> FRONTIER SCHOOL DIVISION (FIRST NATIONS SCHOOLS ADMINISTERED UNDER EDUCATIONAL AGREEMENTS)</t>
  </si>
  <si>
    <t xml:space="preserve"> Berens River School</t>
  </si>
  <si>
    <t xml:space="preserve"> Black River Anishinabe School</t>
  </si>
  <si>
    <t>O'Hanley</t>
  </si>
  <si>
    <t xml:space="preserve"> Chan Kagha Otina Dakota Wayawa Tipi Sch.</t>
  </si>
  <si>
    <t>Beulah</t>
  </si>
  <si>
    <t xml:space="preserve"> Frontier Mosakahiken School</t>
  </si>
  <si>
    <t xml:space="preserve"> Helen Betty Osborne Ininiw Edu. Res. Ctr</t>
  </si>
  <si>
    <t xml:space="preserve"> Minegoziibe Anishinabe School</t>
  </si>
  <si>
    <t xml:space="preserve"> Oscar Blackburn School</t>
  </si>
  <si>
    <t xml:space="preserve"> Skownan School</t>
  </si>
  <si>
    <t>Skownan</t>
  </si>
  <si>
    <t xml:space="preserve"> Wanipigow School</t>
  </si>
  <si>
    <t>Wanipigow</t>
  </si>
  <si>
    <t>9 SCHOOLS</t>
  </si>
  <si>
    <t>39 SCHOOLS</t>
  </si>
  <si>
    <t>Source: http://www.edu.gov.mb.ca/k12/finance/sch_enrol/index.html, NCR#10114023, Tab 11 and 12.</t>
  </si>
  <si>
    <t>SEPTEMBER 30, 2017</t>
  </si>
  <si>
    <t xml:space="preserve"> Angus Mckay School</t>
  </si>
  <si>
    <t xml:space="preserve"> Bernie Wolfe Community School</t>
  </si>
  <si>
    <t xml:space="preserve"> Bertrun E. Glavin Elementary</t>
  </si>
  <si>
    <t xml:space="preserve"> Chief Peguis Junior High</t>
  </si>
  <si>
    <t xml:space="preserve"> Emerson Elementary</t>
  </si>
  <si>
    <t xml:space="preserve"> John De Graff School</t>
  </si>
  <si>
    <t xml:space="preserve"> John Henderson Junior High School</t>
  </si>
  <si>
    <t xml:space="preserve"> Miles Macdonell Collegiate</t>
  </si>
  <si>
    <t xml:space="preserve"> Munroe Junior High School</t>
  </si>
  <si>
    <t xml:space="preserve"> Neil Campbell School</t>
  </si>
  <si>
    <t xml:space="preserve"> Robert Andrews School</t>
  </si>
  <si>
    <t xml:space="preserve"> Salisbury Morse Place School</t>
  </si>
  <si>
    <t xml:space="preserve"> Springfield Heights School</t>
  </si>
  <si>
    <t xml:space="preserve"> Sun Valley School</t>
  </si>
  <si>
    <t xml:space="preserve"> Valley Gardens Junior High</t>
  </si>
  <si>
    <t>Source: http://www.edu.gov.mb.ca/k12/finance/sch_enrol/index.html, NCR#10114023, Tab 25 and 26.</t>
  </si>
  <si>
    <t>First Nation Dispersion Factor - Manitoba</t>
  </si>
  <si>
    <t>Total Area of All Reserves as per FN Profiles</t>
  </si>
  <si>
    <t>Hectare</t>
  </si>
  <si>
    <t>Square Km</t>
  </si>
  <si>
    <t>Total FTE Enrolment (All School Types)</t>
  </si>
  <si>
    <t>2011 Census Population</t>
  </si>
  <si>
    <t>Dakota Plains First Nation</t>
  </si>
  <si>
    <t xml:space="preserve">Mathias Colomb </t>
  </si>
  <si>
    <t>*2011 population Census Data was not available for this reserve, so 2006 Census data was used</t>
  </si>
  <si>
    <t>Reference</t>
  </si>
  <si>
    <t>http://pse5-esd5.ainc-inac.gc.ca/fnp/Main/Search/FNReserves.aspx?BAND_NUMBER=267&amp;lang=eng</t>
  </si>
  <si>
    <t>http://pse5-esd5.ainc-inac.gc.ca/fnp/Main/Search/FNReserves.aspx?BAND_NUMBER=261&amp;lang=eng</t>
  </si>
  <si>
    <t>http://pse5-esd5.ainc-inac.gc.ca/fnp/Main/Search/FNReserves.aspx?BAND_NUMBER=288&amp;lang=eng</t>
  </si>
  <si>
    <t>http://pse5-esd5.ainc-inac.gc.ca/fnp/Main/Search/FNReserves.aspx?BAND_NUMBER=262&amp;lang=eng</t>
  </si>
  <si>
    <t>http://pse5-esd5.ainc-inac.gc.ca/fnp/Main/Search/FNReserves.aspx?BAND_NUMBER=305&amp;lang=eng</t>
  </si>
  <si>
    <t>http://pse5-esd5.ainc-inac.gc.ca/fnp/Main/Search/FNReserves.aspx?BAND_NUMBER=271&amp;lang=eng</t>
  </si>
  <si>
    <t>http://pse5-esd5.ainc-inac.gc.ca/fnp/Main/Search/FNReserves.aspx?BAND_NUMBER=275&amp;lang=eng</t>
  </si>
  <si>
    <t>http://pse5-esd5.ainc-inac.gc.ca/fnp/Main/Search/FNReserves.aspx?BAND_NUMBER=272&amp;lang=eng</t>
  </si>
  <si>
    <t>http://pse5-esd5.ainc-inac.gc.ca/fnp/Main/Search/FNReserves.aspx?BAND_NUMBER=273&amp;lang=eng</t>
  </si>
  <si>
    <t>http://pse5-esd5.ainc-inac.gc.ca/fnp/Main/Search/FNReserves.aspx?BAND_NUMBER=304&amp;lang=eng</t>
  </si>
  <si>
    <t>http://pse5-esd5.ainc-inac.gc.ca/fnp/Main/Search/FNReserves.aspx?BAND_NUMBER=311&amp;lang=eng</t>
  </si>
  <si>
    <t>http://pse5-esd5.ainc-inac.gc.ca/fnp/Main/Search/FNReserves.aspx?BAND_NUMBER=286&amp;lang=eng</t>
  </si>
  <si>
    <t>MB Education FRAME 2017-18  Budget</t>
  </si>
  <si>
    <t>Note: Funding for students approved at level 2 support is $9,500 per eligible FTE pupil. Funding for students approved for level 3 support is $21,130 per eligible FTE pupil.</t>
  </si>
  <si>
    <t>Source: http://www.edu.gov.mb.ca/k12/finance/frame_report/index.html</t>
  </si>
  <si>
    <t>Special Needs LEVEL 2</t>
  </si>
  <si>
    <t>Special Needs LEVEL 3</t>
  </si>
  <si>
    <t>Estimated number of Level 2 FTE Students</t>
  </si>
  <si>
    <t>Estimated number of Level 3 FTE Students</t>
  </si>
  <si>
    <t>TOTAL Eligible FTE Enrolment Sept. 30 2016</t>
  </si>
  <si>
    <t>Level 2 Incidence Rate</t>
  </si>
  <si>
    <t>Level 3 Incidence Rate</t>
  </si>
  <si>
    <t>Combined Level 2 &amp; 3 Incidence Rate</t>
  </si>
  <si>
    <t xml:space="preserve">Travel Expenses by Community - One Round Trip from Winnipeg </t>
  </si>
  <si>
    <t>Travel costs to communities vary. These rates are based on the estimated provided and approved in the Manitoba First Nations Education Resource Centre's Structural Readiness Approval with specific travel rates identified for First Nations.</t>
  </si>
  <si>
    <t>Source: MFNERC (September 14, 2017), Structural Readiness Proposal Amendment, NCR#10056875)</t>
  </si>
  <si>
    <t>Recipient/Band No.</t>
  </si>
  <si>
    <t>2017-18 Travel Rate</t>
  </si>
  <si>
    <t xml:space="preserve">Pinaymootang </t>
  </si>
  <si>
    <t>INAC-Manitoba Student Transportation 2017-18 Rates</t>
  </si>
  <si>
    <t>Bus Operations &amp; Maintenance per KM</t>
  </si>
  <si>
    <t>Fuel Prices - Natural Resources Canada</t>
  </si>
  <si>
    <t>Replacing Tires (2020 Pricing)</t>
  </si>
  <si>
    <t>Component</t>
  </si>
  <si>
    <t>Allowance</t>
  </si>
  <si>
    <t>Per Km</t>
  </si>
  <si>
    <t>Average Retail Prices for Diesel January-October 2020</t>
  </si>
  <si>
    <t>Fairway Specialty Vehicles</t>
  </si>
  <si>
    <t>Fuel cost per litre</t>
  </si>
  <si>
    <t>Km traveled annuallly</t>
  </si>
  <si>
    <t>Cost per Tire</t>
  </si>
  <si>
    <t>Number per Bus</t>
  </si>
  <si>
    <t>Installation per Tire</t>
  </si>
  <si>
    <t>Balancing per Tire</t>
  </si>
  <si>
    <t>Safety Inspection</t>
  </si>
  <si>
    <t>Km per litre fuel consumption</t>
  </si>
  <si>
    <t>Month of</t>
  </si>
  <si>
    <t>Price minus Taxes</t>
  </si>
  <si>
    <t>Taxes</t>
  </si>
  <si>
    <t>Marketing Margin</t>
  </si>
  <si>
    <t>Refining Margin</t>
  </si>
  <si>
    <t>Tire Type</t>
  </si>
  <si>
    <t>Subtotal</t>
  </si>
  <si>
    <t>Tire Fee</t>
  </si>
  <si>
    <t>License Fee</t>
  </si>
  <si>
    <t>Rate of change in diesel based on average of last three years*</t>
  </si>
  <si>
    <t>2021-01</t>
  </si>
  <si>
    <t>Tires for 2021 Blue Bird Bus</t>
  </si>
  <si>
    <t>Tires</t>
  </si>
  <si>
    <t>Km threshold for tire replacement</t>
  </si>
  <si>
    <t>2021-02</t>
  </si>
  <si>
    <t>Oil Changes</t>
  </si>
  <si>
    <t>2021-03</t>
  </si>
  <si>
    <t>Maintenance Subtotal</t>
  </si>
  <si>
    <t>*According to Statistics Canada, the price of diesel has decreased over the past three years, growth is then set at 0%. Source: Statistics Canada, CANSIM, table 326-0009 and Catalogue no. 62-001-X (2016-11-18).</t>
  </si>
  <si>
    <t>2021-04</t>
  </si>
  <si>
    <t>2021-05</t>
  </si>
  <si>
    <t>Year:</t>
  </si>
  <si>
    <t>2021-06</t>
  </si>
  <si>
    <t>Bus Replacement Support</t>
  </si>
  <si>
    <t>2021-07</t>
  </si>
  <si>
    <t>2021-08</t>
  </si>
  <si>
    <t>2022 Blue Bird Buses</t>
  </si>
  <si>
    <t>Tire Fee (Tire Stewardship Manitoba)</t>
  </si>
  <si>
    <t>2021-09</t>
  </si>
  <si>
    <t>47-Passenger</t>
  </si>
  <si>
    <t>(6 medium truck tires)</t>
  </si>
  <si>
    <t>2021-10</t>
  </si>
  <si>
    <t>71-Passenger</t>
  </si>
  <si>
    <t>Average with Taxes</t>
  </si>
  <si>
    <t>Bus Modification Support</t>
  </si>
  <si>
    <t>Source:</t>
  </si>
  <si>
    <t>Transsolutions Preventive Maintenance</t>
  </si>
  <si>
    <t>Wheelchair Accessible Bus (plus 9 passengers)</t>
  </si>
  <si>
    <t>Cost (Inspection fee and removal and replacement of tires to complete inspection)</t>
  </si>
  <si>
    <t>Diesel</t>
  </si>
  <si>
    <t>(4 medium truck tires)</t>
  </si>
  <si>
    <t>Funding is allocated for two safety inspections annually.</t>
  </si>
  <si>
    <t>Cost to retrofit a school bus to be wheelchair accessible</t>
  </si>
  <si>
    <t>Average cost over 10 yrs.</t>
  </si>
  <si>
    <t>Retrofitting</t>
  </si>
  <si>
    <t>Total maintenance cost per Km</t>
  </si>
  <si>
    <t>Invoice #04R217420</t>
  </si>
  <si>
    <t>Total per Change</t>
  </si>
  <si>
    <t>Travel</t>
  </si>
  <si>
    <t>See Annex T. Travel Expenses</t>
  </si>
  <si>
    <t>Two Annually</t>
  </si>
  <si>
    <t>According to the Blue Bird Vision 2006 Service Manual, oil should be changed every 6 months or 18,000 km.</t>
  </si>
  <si>
    <t>Sources:</t>
  </si>
  <si>
    <t>Safety Manitoba, Driving the Brand- Full Day  School Bus Drivers  (40 Attendees) cost estimate</t>
  </si>
  <si>
    <t>License/Registration Fee</t>
  </si>
  <si>
    <t xml:space="preserve">National Joint Council, Appendix C - Allowances, October 1, 2017, http://www.njc-cnm.gc.ca/directive/d10/v238/s659/en#s659-tc-tm. </t>
  </si>
  <si>
    <t>License/registration fee ranges between $1,200 - $1,800 for a school bus.</t>
  </si>
  <si>
    <t>Approved MFNERC Structural Readiness Proposal 2017-18</t>
  </si>
  <si>
    <t>Cultural Protocol: GCDOCS #: 58789153</t>
  </si>
  <si>
    <t>Bus Driver Salary - Frontier School Division Non-Unionized Scale, July 2021</t>
  </si>
  <si>
    <t xml:space="preserve">Classification </t>
  </si>
  <si>
    <t xml:space="preserve">Step 1 </t>
  </si>
  <si>
    <t xml:space="preserve">Step 2 </t>
  </si>
  <si>
    <t xml:space="preserve">Step 3 </t>
  </si>
  <si>
    <t xml:space="preserve">Step 4 </t>
  </si>
  <si>
    <t xml:space="preserve">Step 5 </t>
  </si>
  <si>
    <t xml:space="preserve">Step 6 </t>
  </si>
  <si>
    <t>Avg.</t>
  </si>
  <si>
    <t>Bus Driver 1 (80 hrs)</t>
  </si>
  <si>
    <t>Extent of FN Language Instruction</t>
  </si>
  <si>
    <t>Student Lang. of Instr. Type</t>
  </si>
  <si>
    <t xml:space="preserve">Sum of Enrollment Count </t>
  </si>
  <si>
    <t>National Grade (Enroll Grade)2</t>
  </si>
  <si>
    <t>K4&amp;K5</t>
  </si>
  <si>
    <t>Gr. 1-12</t>
  </si>
  <si>
    <t>Population Data Source:</t>
  </si>
  <si>
    <t>NR 8</t>
  </si>
  <si>
    <t>NR 10</t>
  </si>
  <si>
    <t>1) Fed Schools</t>
  </si>
  <si>
    <t>https://gcdocs.intra.pri/aanc-inac/llisapi.dll?func=ll&amp;objaction=overview&amp;objid=90577061</t>
  </si>
  <si>
    <t>2) Band Op Schools</t>
  </si>
  <si>
    <t>3)Prov/Priv</t>
  </si>
  <si>
    <t>4) Self Gov data</t>
  </si>
  <si>
    <t xml:space="preserve">https://gcdocs.intra.pri/aanc-inac/llisapi.dll/link/93945784) </t>
  </si>
  <si>
    <t>Self Gov Uses pops for 8 and 10 to 21 adjusted for femails at 62%</t>
  </si>
  <si>
    <t>total</t>
  </si>
  <si>
    <t>8 to 21</t>
  </si>
  <si>
    <t>ronded up for individual bands to whole student</t>
  </si>
  <si>
    <t>10 to 21</t>
  </si>
  <si>
    <t>Population Data Summary:</t>
  </si>
  <si>
    <t>IRS Females 8-52</t>
  </si>
  <si>
    <t>IRS 10-52</t>
  </si>
  <si>
    <t>1) On res/crown land</t>
  </si>
  <si>
    <t>Document Overview: ESDPP-EB-ODT-STATISTICS INBOX-2021-2022-INSTAT-2019 &amp; 2020 IR-By Band, Gender and Age (intra.pri)</t>
  </si>
  <si>
    <t>IRS Females 8-21</t>
  </si>
  <si>
    <t>IRS 10-21</t>
  </si>
  <si>
    <t>Age of Menstration</t>
  </si>
  <si>
    <t>Start</t>
  </si>
  <si>
    <t>End</t>
  </si>
  <si>
    <t>Canadian Public Health Association</t>
  </si>
  <si>
    <t>https://www.cpha.ca/period-poverty-canada-and-around-globe</t>
  </si>
  <si>
    <t>US Department of Health Office of Womens Health</t>
  </si>
  <si>
    <t>https://www.womenshealth.gov/menstrual-cycle/your-menstrual-cycle#3</t>
  </si>
  <si>
    <t>Health Link BC</t>
  </si>
  <si>
    <t>https://www.healthlinkbc.ca/health-topics/tn9930</t>
  </si>
  <si>
    <t xml:space="preserve">Library of Parlement </t>
  </si>
  <si>
    <t>https://hillnotes.ca/2021/05/28/improving-access-to-menstrual-products-in-canada/</t>
  </si>
  <si>
    <t> Period Products (Free Provision) (Scotland) Act 2021</t>
  </si>
  <si>
    <t>https://www.legislation.gov.uk/asp/2021/1/contents/enacted</t>
  </si>
  <si>
    <t xml:space="preserve">United Nations Population fund </t>
  </si>
  <si>
    <t>https://www.unfpa.org/menstruationfaq#When%20does%20menstruation%20start?</t>
  </si>
  <si>
    <t>Data to be Used</t>
  </si>
  <si>
    <t>rounded to maximize average population</t>
  </si>
  <si>
    <t>Frequency of Menstration Per year</t>
  </si>
  <si>
    <t>The socity of Obstetricians and Cynaecologists of Canada</t>
  </si>
  <si>
    <t>https://www.yourperiod.ca/normal-periods/menstrual-cycle-basics/</t>
  </si>
  <si>
    <t xml:space="preserve"> 365 days a year /28 days per cycle</t>
  </si>
  <si>
    <t>356 days a year /28 days a cycle</t>
  </si>
  <si>
    <t>MayoClinic</t>
  </si>
  <si>
    <t>https://www.mayoclinic.org/healthy-lifestyle/womens-health/in-depth/menstrual-cycle/art-20047186</t>
  </si>
  <si>
    <t>365 days a year/ 28 days per cycle</t>
  </si>
  <si>
    <t>Number of Prodcuts per year</t>
  </si>
  <si>
    <t>Pads</t>
  </si>
  <si>
    <t>Tampons</t>
  </si>
  <si>
    <t>Pandia Health</t>
  </si>
  <si>
    <t>https://www.pandiahealth.com/the-true-cost-of-your-period/</t>
  </si>
  <si>
    <t>Absorbent Hygiene Product Manufacturers Association</t>
  </si>
  <si>
    <t>https://www.ahpma.co.uk/menstruation_facts_and_figures/</t>
  </si>
  <si>
    <t>Logic test tampon</t>
  </si>
  <si>
    <t>7 days of menstration tampon must be changed every 8 hours</t>
  </si>
  <si>
    <t>tampon must be changed every 8 hours</t>
  </si>
  <si>
    <t>logic test pad</t>
  </si>
  <si>
    <t>7 days of menstration, changed twice per day, 13 per year</t>
  </si>
  <si>
    <t>* LOP report assumes 12 cycles per year</t>
  </si>
  <si>
    <t>Average price as of 11/3/21</t>
  </si>
  <si>
    <t>Costs of Pads</t>
  </si>
  <si>
    <t>Per product</t>
  </si>
  <si>
    <t>Per cycle</t>
  </si>
  <si>
    <t>Per year</t>
  </si>
  <si>
    <t xml:space="preserve">source </t>
  </si>
  <si>
    <t>https://www.bargainsgroup.com/product-category/wholesale-products/hygiene-products/feminine-hygiene/</t>
  </si>
  <si>
    <t>https://www.nexdaysupply.ca/Products/Maxi-Pads-Tampons</t>
  </si>
  <si>
    <t>https://www.wholesaleclub.ca/search?search-bar=menstrual%20pads</t>
  </si>
  <si>
    <t>https://www.walmart.ca/browse/personal-care/feminine-care/pads/21021-32450-6000195330307</t>
  </si>
  <si>
    <t>add 20% for shipping</t>
  </si>
  <si>
    <t>Costs of Tampons</t>
  </si>
  <si>
    <t>Average price as of 11/15/21</t>
  </si>
  <si>
    <t>https://www.narcity.com/federal-government-should-make-menstrual-products-free-for-canadians-for-this-reason</t>
  </si>
  <si>
    <t>https://www.walmart.ca/search?q=tampons</t>
  </si>
  <si>
    <t>(.18/unit low .25/unit High</t>
  </si>
  <si>
    <t>Cost of Cups</t>
  </si>
  <si>
    <t>https://nixit.ca/products/nixit-menstrual-cup</t>
  </si>
  <si>
    <t>Made in canada</t>
  </si>
  <si>
    <t>https://www.walmart.ca/browse/personal-care/feminine-care/menstrual-cups/21021-32450-6000199024804</t>
  </si>
  <si>
    <t>https://www.amazon.ca/menstrual-cups/s?k=menstrual+cups</t>
  </si>
  <si>
    <t>https://well.ca/categories/menstrual-cups_807.html</t>
  </si>
  <si>
    <t>ASSUMPTION is that they will repalce cup each year most last at least 10</t>
  </si>
  <si>
    <t>Assumption is that uptake between prodcuts would be equal</t>
  </si>
  <si>
    <t>Pads 8</t>
  </si>
  <si>
    <t>Tamp</t>
  </si>
  <si>
    <t>Cup</t>
  </si>
  <si>
    <t>Replacing Tires (2016 Pricing)</t>
  </si>
  <si>
    <t xml:space="preserve">Average Retail Prices for Diesel January-October 2018 </t>
  </si>
  <si>
    <t>2018-04</t>
  </si>
  <si>
    <t>11R 22.5 Drive Tires</t>
  </si>
  <si>
    <t>2018-05</t>
  </si>
  <si>
    <t>11R 22.5 Steering Tires</t>
  </si>
  <si>
    <t>2018-06</t>
  </si>
  <si>
    <t>2018-07</t>
  </si>
  <si>
    <t>2018-08</t>
  </si>
  <si>
    <t>2018-09</t>
  </si>
  <si>
    <t>2018-10</t>
  </si>
  <si>
    <t>2018-11</t>
  </si>
  <si>
    <t>2016 Thomas Buses</t>
  </si>
  <si>
    <t>48-Passenger</t>
  </si>
  <si>
    <t>72-Passenger</t>
  </si>
  <si>
    <t>Vital Transit Service, Winnipeg</t>
  </si>
  <si>
    <t>Cost</t>
  </si>
  <si>
    <t>Gas</t>
  </si>
  <si>
    <t>Parts/Materials</t>
  </si>
  <si>
    <t>Labour (2 hours)</t>
  </si>
  <si>
    <t>License/registration fee ranges between $900 and $1,200 for a school bus.</t>
  </si>
  <si>
    <t>Bus Driver Salary - Frontier School Division Non-Unionized Scale, July 2017</t>
  </si>
  <si>
    <t>Column2</t>
  </si>
  <si>
    <t>Senior Years Technology</t>
  </si>
  <si>
    <t xml:space="preserve"> English an Additional Language</t>
  </si>
  <si>
    <r>
      <rPr>
        <b/>
        <i/>
        <sz val="12"/>
        <color theme="1"/>
        <rFont val="Calibri"/>
        <family val="2"/>
        <scheme val="minor"/>
      </rPr>
      <t>*ENHANCED*</t>
    </r>
    <r>
      <rPr>
        <b/>
        <sz val="12"/>
        <color theme="1"/>
        <rFont val="Calibri"/>
        <family val="2"/>
        <scheme val="minor"/>
      </rPr>
      <t xml:space="preserve"> Aboriginal and International Languages</t>
    </r>
  </si>
  <si>
    <t xml:space="preserve"> French Language Education</t>
  </si>
  <si>
    <t xml:space="preserve"> Enrolment Change Support</t>
  </si>
  <si>
    <t xml:space="preserve"> Education for Sustainable Development</t>
  </si>
  <si>
    <t>Sectrion 1</t>
  </si>
  <si>
    <t xml:space="preserve">2. Tuition </t>
  </si>
  <si>
    <t>4. Enhance Accommodation/Private Home Placement Funding</t>
  </si>
  <si>
    <t>All Schools</t>
  </si>
  <si>
    <t xml:space="preserve">FN School Enrollment </t>
  </si>
  <si>
    <t>Per Capita</t>
  </si>
  <si>
    <t>Total Per Capita</t>
  </si>
  <si>
    <t xml:space="preserve">actUAL </t>
  </si>
  <si>
    <t xml:space="preserve">MINE </t>
  </si>
  <si>
    <t>Cost Ratio (y value) In Per-Capita Values</t>
  </si>
  <si>
    <r>
      <t>cost ratio</t>
    </r>
    <r>
      <rPr>
        <sz val="8"/>
        <color theme="1"/>
        <rFont val="Calibri (Body)"/>
      </rPr>
      <t>P</t>
    </r>
    <r>
      <rPr>
        <sz val="10"/>
        <color theme="1"/>
        <rFont val="Calibri"/>
        <family val="2"/>
        <scheme val="minor"/>
      </rPr>
      <t>=∑</t>
    </r>
    <r>
      <rPr>
        <sz val="8"/>
        <color theme="1"/>
        <rFont val="Calibri (Body)"/>
      </rPr>
      <t>i</t>
    </r>
    <r>
      <rPr>
        <i/>
        <sz val="9"/>
        <color theme="1"/>
        <rFont val="Calibri (Body)"/>
      </rPr>
      <t>E</t>
    </r>
    <r>
      <rPr>
        <i/>
        <sz val="8"/>
        <color theme="1"/>
        <rFont val="Calibri (Body)"/>
      </rPr>
      <t>a,i</t>
    </r>
    <r>
      <rPr>
        <sz val="9"/>
        <color theme="1"/>
        <rFont val="Calibri (Body)"/>
      </rPr>
      <t>(</t>
    </r>
    <r>
      <rPr>
        <i/>
        <sz val="9"/>
        <color theme="1"/>
        <rFont val="Calibri (Body)"/>
      </rPr>
      <t>U</t>
    </r>
    <r>
      <rPr>
        <i/>
        <sz val="8"/>
        <color theme="1"/>
        <rFont val="Calibri (Body)"/>
      </rPr>
      <t>a,i/Ur,i</t>
    </r>
    <r>
      <rPr>
        <sz val="9"/>
        <color theme="1"/>
        <rFont val="Calibri (Body)"/>
      </rPr>
      <t>)^</t>
    </r>
    <r>
      <rPr>
        <sz val="8"/>
        <color theme="1"/>
        <rFont val="Calibri (Body)"/>
      </rPr>
      <t>𝛄i</t>
    </r>
    <r>
      <rPr>
        <sz val="10"/>
        <color theme="1"/>
        <rFont val="Calibri (Body)"/>
      </rPr>
      <t>/∑iEa,i</t>
    </r>
  </si>
  <si>
    <t>FTE row</t>
  </si>
  <si>
    <t>Non-FTE row</t>
  </si>
  <si>
    <r>
      <t>*U</t>
    </r>
    <r>
      <rPr>
        <sz val="9"/>
        <color theme="1"/>
        <rFont val="Calibri (Body)"/>
      </rPr>
      <t>r,</t>
    </r>
    <r>
      <rPr>
        <sz val="8"/>
        <color theme="1"/>
        <rFont val="Calibri (Body)"/>
      </rPr>
      <t>i</t>
    </r>
    <r>
      <rPr>
        <sz val="9"/>
        <color theme="1"/>
        <rFont val="Calibri (Body)"/>
      </rPr>
      <t xml:space="preserve"> </t>
    </r>
    <r>
      <rPr>
        <sz val="10"/>
        <color theme="1"/>
        <rFont val="Calibri (Body)"/>
      </rPr>
      <t xml:space="preserve">calcultaed as the per capita mean in each category </t>
    </r>
  </si>
  <si>
    <t>**note, there is already a BCM remoteness calculation in as part B11</t>
  </si>
  <si>
    <t xml:space="preserve">Per capita total Mean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</si>
</sst>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4">
    <numFmt numFmtId="5" formatCode="&quot;$&quot;#,##0_);\(&quot;$&quot;#,##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Red]\-&quot;$&quot;#,##0"/>
    <numFmt numFmtId="165" formatCode="&quot;$&quot;#,##0.00;[Red]\-&quot;$&quot;#,##0.00"/>
    <numFmt numFmtId="166" formatCode="_-&quot;$&quot;* #,##0.00_-;\-&quot;$&quot;* #,##0.00_-;_-&quot;$&quot;* &quot;-&quot;??_-;_-@_-"/>
    <numFmt numFmtId="167" formatCode="_-* #,##0.00_-;\-* #,##0.00_-;_-* &quot;-&quot;??_-;_-@_-"/>
    <numFmt numFmtId="168" formatCode="#,##0.0"/>
    <numFmt numFmtId="169" formatCode="0.0"/>
    <numFmt numFmtId="170" formatCode="0.0000"/>
    <numFmt numFmtId="171" formatCode="_(&quot;$&quot;* #,##0_);_(&quot;$&quot;* \(#,##0\);_(&quot;$&quot;* &quot;-&quot;??_);_(@_)"/>
    <numFmt numFmtId="172" formatCode="&quot;$&quot;#,##0"/>
    <numFmt numFmtId="173" formatCode="0.0%"/>
    <numFmt numFmtId="174" formatCode="_(* #,##0_);_(* \(#,##0\);_(* &quot;-&quot;??_);_(@_)"/>
    <numFmt numFmtId="175" formatCode="_(* #,##0.0_);_(* \(#,##0.0\);_(* &quot;-&quot;??_);_(@_)"/>
    <numFmt numFmtId="176" formatCode="#,##0.0_);[Red]\(#,##0.0\)"/>
    <numFmt numFmtId="177" formatCode="0.000"/>
    <numFmt numFmtId="178" formatCode="_(&quot;$&quot;* #,##0.0000_);_(&quot;$&quot;* \(#,##0.0000\);_(&quot;$&quot;* &quot;-&quot;??_);_(@_)"/>
    <numFmt numFmtId="179" formatCode="_-* #,##0.0_-;\-* #,##0.0_-;_-* &quot;-&quot;?_-;_-@_-"/>
    <numFmt numFmtId="180" formatCode="_-&quot;$&quot;* #,##0_-;\-&quot;$&quot;* #,##0_-;_-&quot;$&quot;* &quot;-&quot;??_-;_-@_-"/>
    <numFmt numFmtId="181" formatCode="_(&quot;$&quot;* #,##0.0_);_(&quot;$&quot;* \(#,##0.0\);_(&quot;$&quot;* &quot;-&quot;?_);_(@_)"/>
    <numFmt numFmtId="182" formatCode=";;;"/>
    <numFmt numFmtId="183" formatCode="#,##0_ ;\(#,##0\)"/>
    <numFmt numFmtId="184" formatCode="#,##0\ ;\(#,##0\ \)"/>
    <numFmt numFmtId="185" formatCode="#,##0.0_ ;\(#,##0.0\)"/>
    <numFmt numFmtId="186" formatCode="_-* #,##0_-;\-* #,##0_-;_-* &quot;-&quot;??_-;_-@_-"/>
    <numFmt numFmtId="187" formatCode="#,##0.00_ ;\(#,##0.00\)"/>
    <numFmt numFmtId="188" formatCode="_(&quot;$&quot;* #,##0.000_);_(&quot;$&quot;* \(#,##0.000\);_(&quot;$&quot;* &quot;-&quot;??_);_(@_)"/>
    <numFmt numFmtId="189" formatCode="_(* #,##0.0000_);_(* \(#,##0.0000\);_(* &quot;-&quot;??_);_(@_)"/>
    <numFmt numFmtId="190" formatCode="_-* #,##0.0000_-;\-* #,##0.0000_-;_-* &quot;-&quot;??_-;_-@_-"/>
    <numFmt numFmtId="191" formatCode="_-* #,##0.0_-;\-* #,##0.0_-;_-* &quot;-&quot;??_-;_-@_-"/>
  </numFmts>
  <fonts count="192">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0"/>
      <color theme="1"/>
      <name val="Tahoma"/>
      <family val="2"/>
    </font>
    <font>
      <b/>
      <sz val="9"/>
      <color indexed="81"/>
      <name val="Tahoma"/>
      <family val="2"/>
    </font>
    <font>
      <sz val="9"/>
      <color indexed="81"/>
      <name val="Tahoma"/>
      <family val="2"/>
    </font>
    <font>
      <sz val="10"/>
      <name val="Courier"/>
      <family val="3"/>
    </font>
    <font>
      <sz val="10"/>
      <name val="Times New Roman"/>
      <family val="1"/>
    </font>
    <font>
      <sz val="10"/>
      <name val="Helv"/>
    </font>
    <font>
      <sz val="9"/>
      <name val="Times New Roman"/>
      <family val="1"/>
    </font>
    <font>
      <sz val="11"/>
      <color theme="1"/>
      <name val="Calibri"/>
      <family val="2"/>
      <scheme val="minor"/>
    </font>
    <font>
      <sz val="9"/>
      <name val="Arial"/>
      <family val="2"/>
    </font>
    <font>
      <b/>
      <sz val="16"/>
      <color theme="1"/>
      <name val="Calibri"/>
      <family val="2"/>
      <scheme val="minor"/>
    </font>
    <font>
      <b/>
      <sz val="14"/>
      <color theme="1"/>
      <name val="Calibri"/>
      <family val="2"/>
      <scheme val="minor"/>
    </font>
    <font>
      <sz val="10"/>
      <name val="Arial"/>
      <family val="2"/>
    </font>
    <font>
      <b/>
      <sz val="11"/>
      <name val="Arial"/>
      <family val="2"/>
    </font>
    <font>
      <sz val="11"/>
      <name val="Arial"/>
      <family val="2"/>
    </font>
    <font>
      <b/>
      <sz val="10"/>
      <name val="Arial"/>
      <family val="2"/>
    </font>
    <font>
      <b/>
      <sz val="11"/>
      <color rgb="FFFF0000"/>
      <name val="Arial"/>
      <family val="2"/>
    </font>
    <font>
      <b/>
      <sz val="12"/>
      <color theme="1"/>
      <name val="Calibri"/>
      <family val="2"/>
      <scheme val="minor"/>
    </font>
    <font>
      <sz val="11"/>
      <name val="Calibri"/>
      <family val="2"/>
      <scheme val="minor"/>
    </font>
    <font>
      <b/>
      <sz val="11"/>
      <name val="Calibri"/>
      <family val="2"/>
      <scheme val="minor"/>
    </font>
    <font>
      <sz val="10.5"/>
      <name val="Arial"/>
      <family val="2"/>
    </font>
    <font>
      <b/>
      <sz val="10.5"/>
      <name val="Arial"/>
      <family val="2"/>
    </font>
    <font>
      <sz val="12"/>
      <name val="Arial"/>
      <family val="2"/>
    </font>
    <font>
      <b/>
      <sz val="11"/>
      <color indexed="8"/>
      <name val="Arial"/>
      <family val="2"/>
    </font>
    <font>
      <u/>
      <sz val="11"/>
      <color theme="10"/>
      <name val="Calibri"/>
      <family val="2"/>
      <scheme val="minor"/>
    </font>
    <font>
      <sz val="14"/>
      <name val="Arial"/>
      <family val="2"/>
    </font>
    <font>
      <sz val="10"/>
      <name val="Arial Narrow"/>
      <family val="2"/>
    </font>
    <font>
      <b/>
      <sz val="16"/>
      <name val="Arial"/>
      <family val="2"/>
    </font>
    <font>
      <b/>
      <sz val="11"/>
      <color theme="0"/>
      <name val="Calibri"/>
      <family val="2"/>
      <scheme val="minor"/>
    </font>
    <font>
      <sz val="10"/>
      <name val="Arial"/>
      <family val="2"/>
    </font>
    <font>
      <vertAlign val="superscript"/>
      <sz val="10"/>
      <color indexed="8"/>
      <name val="Arial"/>
      <family val="2"/>
    </font>
    <font>
      <sz val="10"/>
      <color indexed="8"/>
      <name val="Arial"/>
      <family val="2"/>
    </font>
    <font>
      <b/>
      <sz val="12"/>
      <name val="Arial"/>
      <family val="2"/>
    </font>
    <font>
      <sz val="11"/>
      <color rgb="FFFF0000"/>
      <name val="Calibri"/>
      <family val="2"/>
      <scheme val="minor"/>
    </font>
    <font>
      <sz val="11"/>
      <color rgb="FF9C6500"/>
      <name val="Arial"/>
      <family val="2"/>
    </font>
    <font>
      <b/>
      <sz val="12"/>
      <name val="Calibri"/>
      <family val="2"/>
      <scheme val="minor"/>
    </font>
    <font>
      <sz val="9"/>
      <name val="Times New Roman"/>
      <family val="1"/>
    </font>
    <font>
      <u/>
      <sz val="9"/>
      <color theme="10"/>
      <name val="Times New Roman"/>
      <family val="1"/>
    </font>
    <font>
      <vertAlign val="superscript"/>
      <sz val="11"/>
      <color theme="1"/>
      <name val="Calibri"/>
      <family val="2"/>
      <scheme val="minor"/>
    </font>
    <font>
      <sz val="9"/>
      <color theme="1"/>
      <name val="Calibri"/>
      <family val="2"/>
      <scheme val="minor"/>
    </font>
    <font>
      <u/>
      <sz val="10"/>
      <color theme="10"/>
      <name val="Calibri"/>
      <family val="2"/>
      <scheme val="minor"/>
    </font>
    <font>
      <b/>
      <i/>
      <sz val="11"/>
      <color theme="1"/>
      <name val="Calibri"/>
      <family val="2"/>
      <scheme val="minor"/>
    </font>
    <font>
      <b/>
      <i/>
      <sz val="10"/>
      <name val="Arial"/>
      <family val="2"/>
    </font>
    <font>
      <i/>
      <sz val="10"/>
      <name val="Arial"/>
      <family val="2"/>
    </font>
    <font>
      <i/>
      <sz val="11"/>
      <name val="Arial"/>
      <family val="2"/>
    </font>
    <font>
      <b/>
      <sz val="11"/>
      <color theme="1"/>
      <name val="Arial"/>
      <family val="2"/>
    </font>
    <font>
      <sz val="10"/>
      <color theme="1"/>
      <name val="Calibri"/>
      <family val="2"/>
      <scheme val="minor"/>
    </font>
    <font>
      <i/>
      <sz val="10"/>
      <color theme="1"/>
      <name val="Calibri"/>
      <family val="2"/>
      <scheme val="minor"/>
    </font>
    <font>
      <b/>
      <sz val="10"/>
      <color theme="1"/>
      <name val="Calibri"/>
      <family val="2"/>
      <scheme val="minor"/>
    </font>
    <font>
      <b/>
      <sz val="11"/>
      <color rgb="FFFF0000"/>
      <name val="Calibri"/>
      <family val="2"/>
      <scheme val="minor"/>
    </font>
    <font>
      <sz val="9"/>
      <name val="Calibri"/>
      <family val="2"/>
      <scheme val="minor"/>
    </font>
    <font>
      <sz val="10"/>
      <name val="Calibri"/>
      <family val="2"/>
      <scheme val="minor"/>
    </font>
    <font>
      <b/>
      <sz val="10"/>
      <name val="Calibri"/>
      <family val="2"/>
      <scheme val="minor"/>
    </font>
    <font>
      <b/>
      <sz val="9"/>
      <color theme="1"/>
      <name val="Calibri"/>
      <family val="2"/>
      <scheme val="minor"/>
    </font>
    <font>
      <u/>
      <sz val="9"/>
      <color theme="10"/>
      <name val="Calibri"/>
      <family val="2"/>
      <scheme val="minor"/>
    </font>
    <font>
      <b/>
      <sz val="18"/>
      <color theme="1"/>
      <name val="Calibri"/>
      <family val="2"/>
      <scheme val="minor"/>
    </font>
    <font>
      <u/>
      <sz val="11"/>
      <color theme="10"/>
      <name val="Calibri"/>
      <family val="2"/>
    </font>
    <font>
      <b/>
      <sz val="14"/>
      <name val="Calibri"/>
      <family val="2"/>
      <scheme val="minor"/>
    </font>
    <font>
      <b/>
      <i/>
      <sz val="10"/>
      <color theme="1"/>
      <name val="Calibri"/>
      <family val="2"/>
      <scheme val="minor"/>
    </font>
    <font>
      <sz val="10"/>
      <color theme="1"/>
      <name val="Calibri"/>
      <family val="2"/>
    </font>
    <font>
      <b/>
      <i/>
      <sz val="10"/>
      <color rgb="FFC00000"/>
      <name val="Calibri"/>
      <family val="2"/>
      <scheme val="minor"/>
    </font>
    <font>
      <b/>
      <sz val="14"/>
      <color rgb="FFFF0000"/>
      <name val="Calibri"/>
      <family val="2"/>
      <scheme val="minor"/>
    </font>
    <font>
      <i/>
      <sz val="11"/>
      <color theme="1"/>
      <name val="Calibri"/>
      <family val="2"/>
      <scheme val="minor"/>
    </font>
    <font>
      <b/>
      <sz val="10"/>
      <color rgb="FFFF0000"/>
      <name val="Calibri"/>
      <family val="2"/>
      <scheme val="minor"/>
    </font>
    <font>
      <i/>
      <sz val="9"/>
      <color theme="1"/>
      <name val="Calibri"/>
      <family val="2"/>
      <scheme val="minor"/>
    </font>
    <font>
      <vertAlign val="superscript"/>
      <sz val="9"/>
      <color theme="1"/>
      <name val="Calibri"/>
      <family val="2"/>
      <scheme val="minor"/>
    </font>
    <font>
      <u/>
      <sz val="9"/>
      <color theme="10"/>
      <name val="Calibri"/>
      <family val="2"/>
    </font>
    <font>
      <b/>
      <sz val="10"/>
      <color rgb="FF000000"/>
      <name val="Calibri"/>
      <family val="2"/>
    </font>
    <font>
      <b/>
      <sz val="14"/>
      <color rgb="FFFF0000"/>
      <name val="Arial"/>
      <family val="2"/>
    </font>
    <font>
      <b/>
      <sz val="12"/>
      <color theme="1"/>
      <name val="Arial"/>
      <family val="2"/>
    </font>
    <font>
      <b/>
      <sz val="10"/>
      <color theme="1"/>
      <name val="Arial"/>
      <family val="2"/>
    </font>
    <font>
      <b/>
      <u/>
      <sz val="10"/>
      <color theme="10"/>
      <name val="Calibri"/>
      <family val="2"/>
      <scheme val="minor"/>
    </font>
    <font>
      <i/>
      <sz val="12"/>
      <color theme="1"/>
      <name val="Calibri"/>
      <family val="2"/>
      <scheme val="minor"/>
    </font>
    <font>
      <b/>
      <sz val="13"/>
      <color theme="1"/>
      <name val="Calibri"/>
      <family val="2"/>
      <scheme val="minor"/>
    </font>
    <font>
      <b/>
      <vertAlign val="superscript"/>
      <sz val="13"/>
      <color theme="1"/>
      <name val="Calibri"/>
      <family val="2"/>
      <scheme val="minor"/>
    </font>
    <font>
      <i/>
      <sz val="13"/>
      <color theme="1"/>
      <name val="Calibri"/>
      <family val="2"/>
      <scheme val="minor"/>
    </font>
    <font>
      <sz val="13"/>
      <name val="Calibri"/>
      <family val="2"/>
      <scheme val="minor"/>
    </font>
    <font>
      <sz val="13"/>
      <color theme="1"/>
      <name val="Calibri"/>
      <family val="2"/>
      <scheme val="minor"/>
    </font>
    <font>
      <i/>
      <sz val="13"/>
      <name val="Calibri"/>
      <family val="2"/>
      <scheme val="minor"/>
    </font>
    <font>
      <b/>
      <u/>
      <sz val="12"/>
      <color theme="1"/>
      <name val="Calibri"/>
      <family val="2"/>
      <scheme val="minor"/>
    </font>
    <font>
      <b/>
      <u/>
      <sz val="13"/>
      <color theme="1"/>
      <name val="Calibri"/>
      <family val="2"/>
      <scheme val="minor"/>
    </font>
    <font>
      <b/>
      <u/>
      <sz val="11"/>
      <color theme="10"/>
      <name val="Calibri"/>
      <family val="2"/>
      <scheme val="minor"/>
    </font>
    <font>
      <i/>
      <sz val="11"/>
      <name val="Calibri"/>
      <family val="2"/>
      <scheme val="minor"/>
    </font>
    <font>
      <b/>
      <sz val="16"/>
      <name val="Calibri"/>
      <family val="2"/>
      <scheme val="minor"/>
    </font>
    <font>
      <b/>
      <vertAlign val="superscript"/>
      <sz val="10"/>
      <color theme="1"/>
      <name val="Calibri"/>
      <family val="2"/>
      <scheme val="minor"/>
    </font>
    <font>
      <b/>
      <vertAlign val="superscript"/>
      <sz val="10"/>
      <name val="Calibri"/>
      <family val="2"/>
      <scheme val="minor"/>
    </font>
    <font>
      <b/>
      <sz val="11"/>
      <name val="Arial Narrow"/>
      <family val="2"/>
    </font>
    <font>
      <b/>
      <vertAlign val="superscript"/>
      <sz val="11"/>
      <name val="Arial"/>
      <family val="2"/>
    </font>
    <font>
      <vertAlign val="superscript"/>
      <sz val="11"/>
      <name val="Arial"/>
      <family val="2"/>
    </font>
    <font>
      <sz val="11"/>
      <color theme="1"/>
      <name val="Arial"/>
      <family val="2"/>
    </font>
    <font>
      <sz val="11"/>
      <color indexed="8"/>
      <name val="Arial"/>
      <family val="2"/>
    </font>
    <font>
      <b/>
      <u/>
      <sz val="14"/>
      <color theme="10"/>
      <name val="Calibri"/>
      <family val="2"/>
      <scheme val="minor"/>
    </font>
    <font>
      <b/>
      <i/>
      <sz val="11"/>
      <color rgb="FFFF0000"/>
      <name val="Calibri"/>
      <family val="2"/>
      <scheme val="minor"/>
    </font>
    <font>
      <b/>
      <i/>
      <sz val="10"/>
      <color rgb="FFFF3300"/>
      <name val="Calibri"/>
      <family val="2"/>
      <scheme val="minor"/>
    </font>
    <font>
      <b/>
      <sz val="14"/>
      <color theme="4" tint="-0.249977111117893"/>
      <name val="Calibri"/>
      <family val="2"/>
      <scheme val="minor"/>
    </font>
    <font>
      <b/>
      <sz val="12"/>
      <color theme="6"/>
      <name val="Calibri"/>
      <family val="2"/>
      <scheme val="minor"/>
    </font>
    <font>
      <b/>
      <sz val="16"/>
      <color rgb="FFFF0000"/>
      <name val="Calibri"/>
      <family val="2"/>
      <scheme val="minor"/>
    </font>
    <font>
      <sz val="10"/>
      <color rgb="FFFF0000"/>
      <name val="Calibri"/>
      <family val="2"/>
      <scheme val="minor"/>
    </font>
    <font>
      <sz val="10"/>
      <color theme="0" tint="-0.34998626667073579"/>
      <name val="Calibri"/>
      <family val="2"/>
      <scheme val="minor"/>
    </font>
    <font>
      <b/>
      <sz val="10"/>
      <color theme="0" tint="-0.34998626667073579"/>
      <name val="Calibri"/>
      <family val="2"/>
      <scheme val="minor"/>
    </font>
    <font>
      <b/>
      <sz val="11"/>
      <color theme="0" tint="-0.34998626667073579"/>
      <name val="Calibri"/>
      <family val="2"/>
      <scheme val="minor"/>
    </font>
    <font>
      <sz val="10"/>
      <color theme="0" tint="-0.34998626667073579"/>
      <name val="Arial"/>
      <family val="2"/>
    </font>
    <font>
      <b/>
      <sz val="10"/>
      <color theme="1"/>
      <name val="Tahoma"/>
      <family val="2"/>
    </font>
    <font>
      <b/>
      <sz val="10"/>
      <color theme="0"/>
      <name val="Tahoma"/>
      <family val="2"/>
    </font>
    <font>
      <sz val="10"/>
      <color theme="3" tint="0.39997558519241921"/>
      <name val="Calibri"/>
      <family val="2"/>
      <scheme val="minor"/>
    </font>
    <font>
      <b/>
      <i/>
      <sz val="9"/>
      <color theme="1"/>
      <name val="Calibri"/>
      <family val="2"/>
      <scheme val="minor"/>
    </font>
    <font>
      <sz val="11"/>
      <color rgb="FFFF00FF"/>
      <name val="Calibri"/>
      <family val="2"/>
      <scheme val="minor"/>
    </font>
    <font>
      <sz val="11"/>
      <color theme="2" tint="-0.499984740745262"/>
      <name val="Calibri"/>
      <family val="2"/>
      <scheme val="minor"/>
    </font>
    <font>
      <b/>
      <i/>
      <sz val="11"/>
      <name val="Calibri"/>
      <family val="2"/>
      <scheme val="minor"/>
    </font>
    <font>
      <sz val="10"/>
      <color rgb="FFFF33CC"/>
      <name val="Calibri"/>
      <family val="2"/>
      <scheme val="minor"/>
    </font>
    <font>
      <b/>
      <sz val="10"/>
      <color rgb="FFFF33CC"/>
      <name val="Calibri"/>
      <family val="2"/>
      <scheme val="minor"/>
    </font>
    <font>
      <b/>
      <i/>
      <u/>
      <sz val="10"/>
      <color theme="1"/>
      <name val="Calibri"/>
      <family val="2"/>
      <scheme val="minor"/>
    </font>
    <font>
      <sz val="10"/>
      <color rgb="FF002060"/>
      <name val="Calibri"/>
      <family val="2"/>
      <scheme val="minor"/>
    </font>
    <font>
      <i/>
      <u/>
      <sz val="10"/>
      <color theme="1"/>
      <name val="Calibri"/>
      <family val="2"/>
      <scheme val="minor"/>
    </font>
    <font>
      <b/>
      <sz val="10"/>
      <color theme="0"/>
      <name val="Calibri"/>
      <family val="2"/>
      <scheme val="minor"/>
    </font>
    <font>
      <sz val="10"/>
      <color theme="1"/>
      <name val="Symbol"/>
      <family val="1"/>
      <charset val="2"/>
    </font>
    <font>
      <sz val="10"/>
      <color theme="1"/>
      <name val="Courier New"/>
      <family val="3"/>
    </font>
    <font>
      <sz val="11"/>
      <color rgb="FFFF33CC"/>
      <name val="Calibri"/>
      <family val="2"/>
      <scheme val="minor"/>
    </font>
    <font>
      <b/>
      <sz val="12"/>
      <color rgb="FFFF0000"/>
      <name val="Calibri"/>
      <family val="2"/>
      <scheme val="minor"/>
    </font>
    <font>
      <sz val="10"/>
      <color theme="8" tint="0.39997558519241921"/>
      <name val="Calibri"/>
      <family val="2"/>
      <scheme val="minor"/>
    </font>
    <font>
      <sz val="12"/>
      <color theme="8" tint="0.39997558519241921"/>
      <name val="Calibri"/>
      <family val="2"/>
      <scheme val="minor"/>
    </font>
    <font>
      <b/>
      <sz val="9"/>
      <name val="Arial"/>
      <family val="2"/>
    </font>
    <font>
      <b/>
      <vertAlign val="superscript"/>
      <sz val="9"/>
      <name val="Arial"/>
      <family val="2"/>
    </font>
    <font>
      <sz val="9"/>
      <color indexed="12"/>
      <name val="Arial"/>
      <family val="2"/>
    </font>
    <font>
      <sz val="9"/>
      <name val="Times New Roman"/>
      <family val="1"/>
    </font>
    <font>
      <i/>
      <sz val="10"/>
      <color theme="0" tint="-0.34998626667073579"/>
      <name val="Calibri"/>
      <family val="2"/>
      <scheme val="minor"/>
    </font>
    <font>
      <b/>
      <i/>
      <sz val="10"/>
      <color theme="0" tint="-0.34998626667073579"/>
      <name val="Calibri"/>
      <family val="2"/>
      <scheme val="minor"/>
    </font>
    <font>
      <sz val="10"/>
      <color theme="0" tint="-0.249977111117893"/>
      <name val="Calibri"/>
      <family val="2"/>
      <scheme val="minor"/>
    </font>
    <font>
      <b/>
      <sz val="10"/>
      <color theme="0" tint="-0.249977111117893"/>
      <name val="Calibri"/>
      <family val="2"/>
      <scheme val="minor"/>
    </font>
    <font>
      <sz val="10"/>
      <color theme="0" tint="-0.249977111117893"/>
      <name val="Arial"/>
      <family val="2"/>
    </font>
    <font>
      <sz val="10"/>
      <color theme="0" tint="-0.499984740745262"/>
      <name val="Calibri"/>
      <family val="2"/>
      <scheme val="minor"/>
    </font>
    <font>
      <b/>
      <sz val="10"/>
      <color theme="0" tint="-0.499984740745262"/>
      <name val="Calibri"/>
      <family val="2"/>
      <scheme val="minor"/>
    </font>
    <font>
      <i/>
      <sz val="10"/>
      <color theme="0" tint="-0.499984740745262"/>
      <name val="Calibri"/>
      <family val="2"/>
      <scheme val="minor"/>
    </font>
    <font>
      <b/>
      <u/>
      <sz val="14"/>
      <color theme="1"/>
      <name val="Calibri"/>
      <family val="2"/>
      <scheme val="minor"/>
    </font>
    <font>
      <u/>
      <sz val="10"/>
      <color rgb="FF00B050"/>
      <name val="Calibri"/>
      <family val="2"/>
      <scheme val="minor"/>
    </font>
    <font>
      <u/>
      <sz val="11"/>
      <color rgb="FF00B050"/>
      <name val="Calibri"/>
      <family val="2"/>
      <scheme val="minor"/>
    </font>
    <font>
      <b/>
      <sz val="8"/>
      <name val="Arial"/>
      <family val="2"/>
    </font>
    <font>
      <b/>
      <sz val="8"/>
      <color rgb="FFFF0000"/>
      <name val="Arial"/>
      <family val="2"/>
    </font>
    <font>
      <b/>
      <sz val="7"/>
      <color rgb="FFFF0000"/>
      <name val="Arial"/>
      <family val="2"/>
    </font>
    <font>
      <sz val="9"/>
      <color rgb="FFFF0000"/>
      <name val="Arial"/>
      <family val="2"/>
    </font>
    <font>
      <b/>
      <sz val="9"/>
      <color rgb="FFFF0000"/>
      <name val="Arial"/>
      <family val="2"/>
    </font>
    <font>
      <b/>
      <sz val="10"/>
      <color rgb="FF333333"/>
      <name val="Arial"/>
      <family val="2"/>
    </font>
    <font>
      <sz val="10"/>
      <color rgb="FF333333"/>
      <name val="Arial"/>
      <family val="2"/>
    </font>
    <font>
      <sz val="10"/>
      <color theme="0"/>
      <name val="Calibri"/>
      <family val="2"/>
      <scheme val="minor"/>
    </font>
    <font>
      <b/>
      <sz val="20"/>
      <color theme="1"/>
      <name val="Calibri"/>
      <family val="2"/>
      <scheme val="minor"/>
    </font>
    <font>
      <sz val="14"/>
      <color theme="1"/>
      <name val="Calibri"/>
      <family val="2"/>
      <scheme val="minor"/>
    </font>
    <font>
      <b/>
      <u/>
      <sz val="12"/>
      <color theme="0" tint="-0.34998626667073579"/>
      <name val="Calibri"/>
      <family val="2"/>
      <scheme val="minor"/>
    </font>
    <font>
      <b/>
      <i/>
      <u/>
      <sz val="10"/>
      <color theme="0" tint="-0.34998626667073579"/>
      <name val="Calibri"/>
      <family val="2"/>
      <scheme val="minor"/>
    </font>
    <font>
      <sz val="10"/>
      <color rgb="FFFF3300"/>
      <name val="Calibri"/>
      <family val="2"/>
      <scheme val="minor"/>
    </font>
    <font>
      <sz val="11"/>
      <color indexed="8"/>
      <name val="Calibri"/>
      <family val="2"/>
      <scheme val="minor"/>
    </font>
    <font>
      <i/>
      <sz val="10"/>
      <name val="Calibri"/>
      <family val="2"/>
      <scheme val="minor"/>
    </font>
    <font>
      <i/>
      <sz val="9"/>
      <color theme="0" tint="-0.34998626667073579"/>
      <name val="Calibri"/>
      <family val="2"/>
      <scheme val="minor"/>
    </font>
    <font>
      <sz val="11"/>
      <color theme="0" tint="-0.499984740745262"/>
      <name val="Calibri"/>
      <family val="2"/>
      <scheme val="minor"/>
    </font>
    <font>
      <b/>
      <sz val="11"/>
      <color theme="0" tint="-0.499984740745262"/>
      <name val="Calibri"/>
      <family val="2"/>
      <scheme val="minor"/>
    </font>
    <font>
      <sz val="11"/>
      <color theme="1"/>
      <name val="Calibri"/>
      <family val="2"/>
    </font>
    <font>
      <b/>
      <sz val="11"/>
      <color theme="1"/>
      <name val="Calibri"/>
      <family val="2"/>
    </font>
    <font>
      <b/>
      <u/>
      <sz val="11"/>
      <color theme="1"/>
      <name val="Calibri"/>
      <family val="2"/>
      <scheme val="minor"/>
    </font>
    <font>
      <b/>
      <u/>
      <sz val="11"/>
      <color rgb="FFFF0000"/>
      <name val="Calibri"/>
      <family val="2"/>
      <scheme val="minor"/>
    </font>
    <font>
      <sz val="11"/>
      <color rgb="FF666666"/>
      <name val="Arial"/>
      <family val="2"/>
    </font>
    <font>
      <sz val="20"/>
      <color rgb="FF000000"/>
      <name val="Calibri"/>
      <family val="2"/>
      <scheme val="minor"/>
    </font>
    <font>
      <b/>
      <u val="singleAccounting"/>
      <sz val="11"/>
      <color rgb="FFFF0000"/>
      <name val="Calibri"/>
      <family val="2"/>
      <scheme val="minor"/>
    </font>
    <font>
      <sz val="11"/>
      <name val="Symbol"/>
      <family val="1"/>
      <charset val="2"/>
    </font>
    <font>
      <b/>
      <sz val="11.5"/>
      <color rgb="FF333333"/>
      <name val="Arial"/>
      <family val="2"/>
    </font>
    <font>
      <sz val="11.5"/>
      <color rgb="FF333333"/>
      <name val="Arial"/>
      <family val="2"/>
    </font>
    <font>
      <u/>
      <sz val="11"/>
      <color theme="0" tint="-0.499984740745262"/>
      <name val="Calibri"/>
      <family val="2"/>
      <scheme val="minor"/>
    </font>
    <font>
      <u/>
      <sz val="9"/>
      <color theme="0" tint="-0.499984740745262"/>
      <name val="Calibri"/>
      <family val="2"/>
      <scheme val="minor"/>
    </font>
    <font>
      <b/>
      <sz val="12"/>
      <color theme="0" tint="-0.499984740745262"/>
      <name val="Calibri"/>
      <family val="2"/>
      <scheme val="minor"/>
    </font>
    <font>
      <b/>
      <i/>
      <sz val="12"/>
      <color theme="0" tint="-0.499984740745262"/>
      <name val="Calibri"/>
      <family val="2"/>
      <scheme val="minor"/>
    </font>
    <font>
      <sz val="12"/>
      <color theme="0" tint="-0.499984740745262"/>
      <name val="Calibri"/>
      <family val="2"/>
      <scheme val="minor"/>
    </font>
    <font>
      <i/>
      <sz val="12"/>
      <color theme="0" tint="-0.499984740745262"/>
      <name val="Calibri"/>
      <family val="2"/>
      <scheme val="minor"/>
    </font>
    <font>
      <sz val="8"/>
      <name val="Calibri"/>
      <family val="2"/>
      <scheme val="minor"/>
    </font>
    <font>
      <sz val="10"/>
      <color rgb="FF000000"/>
      <name val="Calibri"/>
      <family val="2"/>
    </font>
    <font>
      <b/>
      <i/>
      <sz val="12"/>
      <color theme="1"/>
      <name val="Calibri"/>
      <family val="2"/>
      <scheme val="minor"/>
    </font>
    <font>
      <b/>
      <sz val="9"/>
      <color rgb="FF000000"/>
      <name val="Tahoma"/>
      <family val="2"/>
    </font>
    <font>
      <sz val="9"/>
      <color rgb="FF000000"/>
      <name val="Tahoma"/>
      <family val="2"/>
    </font>
    <font>
      <b/>
      <sz val="11"/>
      <color rgb="FF000000"/>
      <name val="Calibri"/>
      <family val="2"/>
    </font>
    <font>
      <sz val="11"/>
      <color rgb="FF000000"/>
      <name val="Calibri"/>
      <family val="2"/>
    </font>
    <font>
      <sz val="8"/>
      <color theme="1"/>
      <name val="Calibri (Body)"/>
    </font>
    <font>
      <i/>
      <sz val="9"/>
      <color theme="1"/>
      <name val="Calibri (Body)"/>
    </font>
    <font>
      <i/>
      <sz val="8"/>
      <color theme="1"/>
      <name val="Calibri (Body)"/>
    </font>
    <font>
      <sz val="9"/>
      <color theme="1"/>
      <name val="Calibri (Body)"/>
    </font>
    <font>
      <sz val="10"/>
      <color theme="1"/>
      <name val="Calibri (Body)"/>
    </font>
  </fonts>
  <fills count="8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bgColor indexed="22"/>
      </patternFill>
    </fill>
    <fill>
      <patternFill patternType="solid">
        <fgColor theme="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rgb="FFFFEB9C"/>
      </patternFill>
    </fill>
    <fill>
      <patternFill patternType="solid">
        <fgColor theme="6" tint="0.79998168889431442"/>
        <bgColor indexed="64"/>
      </patternFill>
    </fill>
    <fill>
      <patternFill patternType="solid">
        <fgColor rgb="FFD9D9D9"/>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EACCC4"/>
        <bgColor rgb="FF000000"/>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59999389629810485"/>
        <bgColor indexed="22"/>
      </patternFill>
    </fill>
    <fill>
      <patternFill patternType="solid">
        <fgColor theme="5" tint="0.39997558519241921"/>
        <bgColor indexed="31"/>
      </patternFill>
    </fill>
    <fill>
      <patternFill patternType="solid">
        <fgColor theme="4" tint="0.59999389629810485"/>
        <bgColor indexed="31"/>
      </patternFill>
    </fill>
    <fill>
      <patternFill patternType="solid">
        <fgColor theme="7" tint="0.79998168889431442"/>
        <bgColor indexed="64"/>
      </patternFill>
    </fill>
    <fill>
      <patternFill patternType="solid">
        <fgColor rgb="FFF8E4E4"/>
        <bgColor indexed="64"/>
      </patternFill>
    </fill>
    <fill>
      <patternFill patternType="solid">
        <fgColor theme="6" tint="0.39997558519241921"/>
        <bgColor indexed="64"/>
      </patternFill>
    </fill>
    <fill>
      <patternFill patternType="solid">
        <fgColor rgb="FFFFFFCC"/>
        <bgColor indexed="64"/>
      </patternFill>
    </fill>
    <fill>
      <patternFill patternType="solid">
        <fgColor theme="4" tint="0.79998168889431442"/>
        <bgColor theme="4" tint="0.79998168889431442"/>
      </patternFill>
    </fill>
    <fill>
      <patternFill patternType="solid">
        <fgColor theme="7" tint="0.59999389629810485"/>
        <bgColor theme="4" tint="0.79998168889431442"/>
      </patternFill>
    </fill>
    <fill>
      <patternFill patternType="solid">
        <fgColor theme="6" tint="0.59999389629810485"/>
        <bgColor theme="4" tint="0.79998168889431442"/>
      </patternFill>
    </fill>
    <fill>
      <patternFill patternType="solid">
        <fgColor theme="1" tint="0.499984740745262"/>
        <bgColor theme="4" tint="0.79998168889431442"/>
      </patternFill>
    </fill>
    <fill>
      <patternFill patternType="solid">
        <fgColor theme="3" tint="0.59999389629810485"/>
        <bgColor indexed="64"/>
      </patternFill>
    </fill>
    <fill>
      <patternFill patternType="solid">
        <fgColor rgb="FFFF33CC"/>
        <bgColor indexed="64"/>
      </patternFill>
    </fill>
    <fill>
      <patternFill patternType="solid">
        <fgColor theme="2" tint="-0.249977111117893"/>
        <bgColor indexed="64"/>
      </patternFill>
    </fill>
    <fill>
      <patternFill patternType="solid">
        <fgColor rgb="FF99FF66"/>
        <bgColor indexed="64"/>
      </patternFill>
    </fill>
    <fill>
      <patternFill patternType="solid">
        <fgColor rgb="FFF0A8FE"/>
        <bgColor indexed="64"/>
      </patternFill>
    </fill>
    <fill>
      <patternFill patternType="solid">
        <fgColor rgb="FFFF0000"/>
        <bgColor indexed="64"/>
      </patternFill>
    </fill>
    <fill>
      <patternFill patternType="solid">
        <fgColor rgb="FFFF00FF"/>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rgb="FF1C4853"/>
        <bgColor indexed="64"/>
      </patternFill>
    </fill>
    <fill>
      <patternFill patternType="solid">
        <fgColor rgb="FFF2F2F2"/>
        <bgColor indexed="64"/>
      </patternFill>
    </fill>
    <fill>
      <patternFill patternType="solid">
        <fgColor rgb="FFFEF0CD"/>
        <bgColor indexed="64"/>
      </patternFill>
    </fill>
    <fill>
      <patternFill patternType="solid">
        <fgColor rgb="FFD3EAF0"/>
        <bgColor indexed="64"/>
      </patternFill>
    </fill>
    <fill>
      <patternFill patternType="solid">
        <fgColor rgb="FFE7F1D2"/>
        <bgColor indexed="64"/>
      </patternFill>
    </fill>
    <fill>
      <patternFill patternType="solid">
        <fgColor indexed="42"/>
        <bgColor indexed="8"/>
      </patternFill>
    </fill>
    <fill>
      <patternFill patternType="solid">
        <fgColor indexed="9"/>
        <bgColor indexed="31"/>
      </patternFill>
    </fill>
    <fill>
      <patternFill patternType="solid">
        <fgColor indexed="9"/>
        <bgColor indexed="9"/>
      </patternFill>
    </fill>
    <fill>
      <patternFill patternType="solid">
        <fgColor theme="5" tint="-0.249977111117893"/>
        <bgColor indexed="64"/>
      </patternFill>
    </fill>
    <fill>
      <patternFill patternType="solid">
        <fgColor rgb="FFFFC000"/>
        <bgColor indexed="64"/>
      </patternFill>
    </fill>
    <fill>
      <patternFill patternType="solid">
        <fgColor theme="0" tint="-0.24994659260841701"/>
        <bgColor indexed="64"/>
      </patternFill>
    </fill>
    <fill>
      <patternFill patternType="solid">
        <fgColor theme="7" tint="0.59996337778862885"/>
        <bgColor indexed="64"/>
      </patternFill>
    </fill>
    <fill>
      <patternFill patternType="solid">
        <fgColor theme="0"/>
        <bgColor theme="4" tint="0.79998168889431442"/>
      </patternFill>
    </fill>
    <fill>
      <patternFill patternType="solid">
        <fgColor rgb="FFFFFF00"/>
        <bgColor theme="4" tint="0.79998168889431442"/>
      </patternFill>
    </fill>
    <fill>
      <patternFill patternType="solid">
        <fgColor theme="2" tint="-0.249977111117893"/>
        <bgColor theme="4" tint="0.79998168889431442"/>
      </patternFill>
    </fill>
    <fill>
      <patternFill patternType="solid">
        <fgColor rgb="FFFFC000"/>
        <bgColor theme="4" tint="0.79998168889431442"/>
      </patternFill>
    </fill>
    <fill>
      <patternFill patternType="solid">
        <fgColor rgb="FF92D050"/>
        <bgColor indexed="64"/>
      </patternFill>
    </fill>
    <fill>
      <patternFill patternType="solid">
        <fgColor rgb="FF92D050"/>
        <bgColor theme="4" tint="0.79998168889431442"/>
      </patternFill>
    </fill>
    <fill>
      <patternFill patternType="solid">
        <fgColor theme="7" tint="0.39997558519241921"/>
        <bgColor theme="4" tint="0.79998168889431442"/>
      </patternFill>
    </fill>
    <fill>
      <patternFill patternType="solid">
        <fgColor theme="7" tint="0.39997558519241921"/>
        <bgColor indexed="64"/>
      </patternFill>
    </fill>
    <fill>
      <patternFill patternType="solid">
        <fgColor rgb="FFD5EBF0"/>
        <bgColor indexed="64"/>
      </patternFill>
    </fill>
    <fill>
      <patternFill patternType="solid">
        <fgColor rgb="FFFFF1CC"/>
        <bgColor indexed="64"/>
      </patternFill>
    </fill>
    <fill>
      <patternFill patternType="solid">
        <fgColor rgb="FFD0E4A5"/>
        <bgColor indexed="64"/>
      </patternFill>
    </fill>
    <fill>
      <patternFill patternType="solid">
        <fgColor indexed="42"/>
        <bgColor indexed="9"/>
      </patternFill>
    </fill>
    <fill>
      <patternFill patternType="solid">
        <fgColor rgb="FFFFFF00"/>
        <bgColor indexed="9"/>
      </patternFill>
    </fill>
    <fill>
      <patternFill patternType="solid">
        <fgColor theme="4" tint="0.39997558519241921"/>
        <bgColor indexed="64"/>
      </patternFill>
    </fill>
    <fill>
      <patternFill patternType="solid">
        <fgColor rgb="FFFBE4D5"/>
        <bgColor indexed="64"/>
      </patternFill>
    </fill>
    <fill>
      <patternFill patternType="solid">
        <fgColor theme="0" tint="-0.34998626667073579"/>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theme="7" tint="-0.249977111117893"/>
        <bgColor theme="9"/>
      </patternFill>
    </fill>
    <fill>
      <patternFill patternType="solid">
        <fgColor rgb="FFCC00CC"/>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EDEDED"/>
        <bgColor indexed="64"/>
      </patternFill>
    </fill>
    <fill>
      <patternFill patternType="solid">
        <fgColor rgb="FFFFFFFF"/>
        <bgColor indexed="64"/>
      </patternFill>
    </fill>
    <fill>
      <patternFill patternType="solid">
        <fgColor rgb="FF00FFFF"/>
        <bgColor indexed="64"/>
      </patternFill>
    </fill>
    <fill>
      <patternFill patternType="solid">
        <fgColor rgb="FFCCFFCC"/>
        <bgColor indexed="64"/>
      </patternFill>
    </fill>
    <fill>
      <patternFill patternType="solid">
        <fgColor rgb="FF00FFFF"/>
        <bgColor rgb="FF000000"/>
      </patternFill>
    </fill>
    <fill>
      <patternFill patternType="solid">
        <fgColor rgb="FFCCFFCC"/>
        <bgColor rgb="FF000000"/>
      </patternFill>
    </fill>
  </fills>
  <borders count="125">
    <border>
      <left/>
      <right/>
      <top/>
      <bottom/>
      <diagonal/>
    </border>
    <border>
      <left style="thin">
        <color indexed="8"/>
      </left>
      <right style="thin">
        <color indexed="8"/>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23"/>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8"/>
      </right>
      <top/>
      <bottom/>
      <diagonal/>
    </border>
    <border>
      <left style="thin">
        <color indexed="64"/>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theme="7"/>
      </bottom>
      <diagonal/>
    </border>
    <border>
      <left/>
      <right/>
      <top/>
      <bottom style="medium">
        <color theme="8" tint="0.39997558519241921"/>
      </bottom>
      <diagonal/>
    </border>
    <border>
      <left style="thin">
        <color indexed="64"/>
      </left>
      <right style="thin">
        <color indexed="64"/>
      </right>
      <top style="thin">
        <color indexed="64"/>
      </top>
      <bottom style="medium">
        <color indexed="64"/>
      </bottom>
      <diagonal/>
    </border>
    <border>
      <left/>
      <right/>
      <top/>
      <bottom style="double">
        <color indexed="64"/>
      </bottom>
      <diagonal/>
    </border>
    <border>
      <left/>
      <right/>
      <top/>
      <bottom style="thin">
        <color theme="4" tint="0.39997558519241921"/>
      </bottom>
      <diagonal/>
    </border>
    <border>
      <left/>
      <right/>
      <top style="medium">
        <color theme="5" tint="-0.249977111117893"/>
      </top>
      <bottom/>
      <diagonal/>
    </border>
    <border>
      <left/>
      <right/>
      <top/>
      <bottom style="medium">
        <color theme="5" tint="-0.249977111117893"/>
      </bottom>
      <diagonal/>
    </border>
    <border>
      <left/>
      <right/>
      <top style="thin">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indexed="64"/>
      </top>
      <bottom style="double">
        <color indexed="64"/>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top/>
      <bottom style="thin">
        <color indexed="8"/>
      </bottom>
      <diagonal/>
    </border>
    <border>
      <left/>
      <right/>
      <top/>
      <bottom style="thin">
        <color indexed="8"/>
      </bottom>
      <diagonal/>
    </border>
    <border>
      <left/>
      <right style="thin">
        <color indexed="8"/>
      </right>
      <top style="thin">
        <color indexed="64"/>
      </top>
      <bottom style="thin">
        <color indexed="64"/>
      </bottom>
      <diagonal/>
    </border>
    <border>
      <left/>
      <right style="thin">
        <color indexed="64"/>
      </right>
      <top/>
      <bottom style="thin">
        <color indexed="8"/>
      </bottom>
      <diagonal/>
    </border>
    <border>
      <left style="thin">
        <color indexed="64"/>
      </left>
      <right style="thin">
        <color indexed="64"/>
      </right>
      <top/>
      <bottom style="thin">
        <color indexed="8"/>
      </bottom>
      <diagonal/>
    </border>
    <border>
      <left style="medium">
        <color indexed="64"/>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top style="thin">
        <color rgb="FF000000"/>
      </top>
      <bottom/>
      <diagonal/>
    </border>
    <border>
      <left style="thin">
        <color indexed="64"/>
      </left>
      <right style="thin">
        <color theme="4" tint="0.39997558519241921"/>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theme="0" tint="-0.14999847407452621"/>
      </top>
      <bottom/>
      <diagonal/>
    </border>
    <border>
      <left/>
      <right/>
      <top style="thin">
        <color theme="0" tint="-0.14999847407452621"/>
      </top>
      <bottom/>
      <diagonal/>
    </border>
    <border>
      <left/>
      <right style="thin">
        <color indexed="64"/>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right style="thin">
        <color theme="0" tint="-0.14999847407452621"/>
      </right>
      <top/>
      <bottom style="thin">
        <color indexed="64"/>
      </bottom>
      <diagonal/>
    </border>
    <border>
      <left style="thin">
        <color indexed="64"/>
      </left>
      <right/>
      <top/>
      <bottom style="thin">
        <color theme="0" tint="-0.14999847407452621"/>
      </bottom>
      <diagonal/>
    </border>
    <border>
      <left/>
      <right style="thin">
        <color indexed="64"/>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indexed="64"/>
      </left>
      <right/>
      <top style="thin">
        <color theme="0" tint="-0.14999847407452621"/>
      </top>
      <bottom style="thin">
        <color theme="0" tint="-0.14999847407452621"/>
      </bottom>
      <diagonal/>
    </border>
    <border>
      <left style="thin">
        <color indexed="8"/>
      </left>
      <right/>
      <top/>
      <bottom/>
      <diagonal/>
    </border>
    <border>
      <left style="thin">
        <color indexed="8"/>
      </left>
      <right/>
      <top/>
      <bottom style="thin">
        <color indexed="8"/>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DDDDDD"/>
      </right>
      <top/>
      <bottom/>
      <diagonal/>
    </border>
    <border>
      <left style="medium">
        <color rgb="FFDDDDDD"/>
      </left>
      <right style="medium">
        <color rgb="FFDDDDDD"/>
      </right>
      <top style="medium">
        <color rgb="FFDDDDDD"/>
      </top>
      <bottom style="thick">
        <color rgb="FFDDDDDD"/>
      </bottom>
      <diagonal/>
    </border>
    <border>
      <left/>
      <right style="medium">
        <color rgb="FFDDDDDD"/>
      </right>
      <top style="medium">
        <color rgb="FFDDDDDD"/>
      </top>
      <bottom style="thick">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right/>
      <top style="thin">
        <color indexed="8"/>
      </top>
      <bottom style="thin">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23"/>
      </bottom>
      <diagonal/>
    </border>
    <border>
      <left/>
      <right/>
      <top style="thin">
        <color indexed="8"/>
      </top>
      <bottom/>
      <diagonal/>
    </border>
    <border>
      <left/>
      <right style="thin">
        <color indexed="8"/>
      </right>
      <top style="thin">
        <color indexed="8"/>
      </top>
      <bottom style="thin">
        <color indexed="8"/>
      </bottom>
      <diagonal/>
    </border>
    <border>
      <left style="thin">
        <color indexed="64"/>
      </left>
      <right style="thin">
        <color indexed="8"/>
      </right>
      <top style="thin">
        <color indexed="8"/>
      </top>
      <bottom/>
      <diagonal/>
    </border>
    <border>
      <left style="thin">
        <color indexed="64"/>
      </left>
      <right style="thin">
        <color indexed="64"/>
      </right>
      <top style="thin">
        <color indexed="23"/>
      </top>
      <bottom style="thin">
        <color indexed="23"/>
      </bottom>
      <diagonal/>
    </border>
    <border>
      <left style="thin">
        <color indexed="64"/>
      </left>
      <right style="thin">
        <color indexed="64"/>
      </right>
      <top style="thin">
        <color indexed="23"/>
      </top>
      <bottom style="thin">
        <color indexed="55"/>
      </bottom>
      <diagonal/>
    </border>
    <border>
      <left style="thin">
        <color indexed="64"/>
      </left>
      <right style="thin">
        <color indexed="64"/>
      </right>
      <top style="thin">
        <color indexed="55"/>
      </top>
      <bottom style="thin">
        <color indexed="23"/>
      </bottom>
      <diagonal/>
    </border>
    <border>
      <left style="thin">
        <color indexed="64"/>
      </left>
      <right style="thin">
        <color indexed="64"/>
      </right>
      <top style="thin">
        <color indexed="23"/>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23"/>
      </top>
      <bottom style="thin">
        <color indexed="64"/>
      </bottom>
      <diagonal/>
    </border>
    <border>
      <left/>
      <right style="thin">
        <color indexed="64"/>
      </right>
      <top style="thin">
        <color indexed="23"/>
      </top>
      <bottom style="thin">
        <color indexed="23"/>
      </bottom>
      <diagonal/>
    </border>
    <border>
      <left style="thin">
        <color indexed="64"/>
      </left>
      <right/>
      <top style="thin">
        <color indexed="23"/>
      </top>
      <bottom style="thin">
        <color indexed="23"/>
      </bottom>
      <diagonal/>
    </border>
    <border>
      <left/>
      <right style="thin">
        <color indexed="64"/>
      </right>
      <top style="thin">
        <color indexed="23"/>
      </top>
      <bottom/>
      <diagonal/>
    </border>
    <border>
      <left style="thin">
        <color indexed="64"/>
      </left>
      <right/>
      <top style="thin">
        <color indexed="23"/>
      </top>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4" tint="0.39997558519241921"/>
      </left>
      <right/>
      <top style="thin">
        <color indexed="64"/>
      </top>
      <bottom/>
      <diagonal/>
    </border>
    <border>
      <left style="thin">
        <color indexed="8"/>
      </left>
      <right/>
      <top style="thin">
        <color indexed="8"/>
      </top>
      <bottom style="thin">
        <color indexed="8"/>
      </bottom>
      <diagonal/>
    </border>
    <border>
      <left style="thin">
        <color indexed="64"/>
      </left>
      <right/>
      <top style="thin">
        <color indexed="8"/>
      </top>
      <bottom/>
      <diagonal/>
    </border>
    <border>
      <left/>
      <right/>
      <top/>
      <bottom style="thin">
        <color auto="1"/>
      </bottom>
      <diagonal/>
    </border>
    <border>
      <left/>
      <right/>
      <top style="thin">
        <color auto="1"/>
      </top>
      <bottom style="thin">
        <color indexed="64"/>
      </bottom>
      <diagonal/>
    </border>
  </borders>
  <cellStyleXfs count="86">
    <xf numFmtId="0" fontId="0" fillId="0" borderId="0"/>
    <xf numFmtId="0" fontId="11" fillId="0" borderId="0"/>
    <xf numFmtId="44" fontId="11" fillId="0" borderId="0" applyFont="0" applyFill="0" applyBorder="0" applyAlignment="0" applyProtection="0"/>
    <xf numFmtId="0" fontId="14" fillId="4" borderId="1"/>
    <xf numFmtId="43" fontId="15" fillId="0" borderId="0" applyFont="0" applyFill="0" applyBorder="0" applyAlignment="0" applyProtection="0"/>
    <xf numFmtId="3" fontId="16" fillId="0" borderId="0"/>
    <xf numFmtId="2" fontId="16" fillId="0" borderId="0"/>
    <xf numFmtId="37" fontId="17" fillId="0" borderId="0"/>
    <xf numFmtId="0" fontId="16" fillId="0" borderId="0"/>
    <xf numFmtId="37" fontId="17" fillId="0" borderId="0"/>
    <xf numFmtId="9" fontId="15" fillId="0" borderId="0" applyFont="0" applyFill="0" applyBorder="0" applyAlignment="0" applyProtection="0"/>
    <xf numFmtId="44" fontId="56" fillId="0" borderId="0" applyFill="0" applyBorder="0" applyAlignment="0" applyProtection="0"/>
    <xf numFmtId="0" fontId="22" fillId="0" borderId="0"/>
    <xf numFmtId="0" fontId="22" fillId="0" borderId="0"/>
    <xf numFmtId="0" fontId="34" fillId="0" borderId="0" applyNumberFormat="0" applyFill="0" applyBorder="0" applyAlignment="0" applyProtection="0"/>
    <xf numFmtId="0" fontId="36" fillId="0" borderId="0"/>
    <xf numFmtId="0" fontId="18" fillId="0" borderId="0"/>
    <xf numFmtId="43" fontId="18" fillId="0" borderId="0" applyFont="0" applyFill="0" applyBorder="0" applyAlignment="0" applyProtection="0"/>
    <xf numFmtId="9" fontId="18" fillId="0" borderId="0" applyFont="0" applyFill="0" applyBorder="0" applyAlignment="0" applyProtection="0"/>
    <xf numFmtId="0" fontId="39" fillId="0" borderId="0"/>
    <xf numFmtId="41" fontId="22" fillId="0" borderId="0" applyFont="0" applyFill="0" applyBorder="0" applyAlignment="0" applyProtection="0"/>
    <xf numFmtId="43" fontId="22" fillId="0" borderId="0" applyFont="0" applyFill="0" applyBorder="0" applyAlignment="0" applyProtection="0"/>
    <xf numFmtId="5" fontId="22" fillId="0" borderId="0"/>
    <xf numFmtId="14" fontId="22" fillId="0" borderId="0"/>
    <xf numFmtId="0" fontId="44" fillId="12" borderId="0" applyNumberFormat="0" applyBorder="0" applyAlignment="0" applyProtection="0"/>
    <xf numFmtId="0" fontId="22" fillId="0" borderId="0">
      <alignment vertical="top"/>
    </xf>
    <xf numFmtId="37" fontId="46" fillId="0" borderId="0"/>
    <xf numFmtId="43" fontId="15" fillId="0" borderId="0" applyFont="0" applyFill="0" applyBorder="0" applyAlignment="0" applyProtection="0"/>
    <xf numFmtId="0" fontId="47" fillId="0" borderId="0" applyNumberFormat="0" applyFill="0" applyBorder="0" applyAlignment="0" applyProtection="0">
      <alignment vertical="top"/>
      <protection locked="0"/>
    </xf>
    <xf numFmtId="44" fontId="17" fillId="0" borderId="0" applyFont="0" applyFill="0" applyBorder="0" applyAlignment="0" applyProtection="0"/>
    <xf numFmtId="4" fontId="16" fillId="0" borderId="0"/>
    <xf numFmtId="10" fontId="16"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66" fillId="0" borderId="0" applyNumberFormat="0" applyFill="0" applyBorder="0" applyAlignment="0" applyProtection="0">
      <alignment vertical="top"/>
      <protection locked="0"/>
    </xf>
    <xf numFmtId="0" fontId="28" fillId="0" borderId="0"/>
    <xf numFmtId="4" fontId="28" fillId="0" borderId="0"/>
    <xf numFmtId="44" fontId="16" fillId="0" borderId="0" applyFont="0" applyFill="0" applyBorder="0" applyAlignment="0" applyProtection="0"/>
    <xf numFmtId="0" fontId="34" fillId="0" borderId="0" applyNumberFormat="0" applyFill="0" applyBorder="0" applyAlignment="0" applyProtection="0">
      <alignment vertical="top"/>
      <protection locked="0"/>
    </xf>
    <xf numFmtId="10" fontId="28" fillId="0" borderId="0"/>
    <xf numFmtId="0" fontId="9" fillId="0" borderId="0"/>
    <xf numFmtId="0" fontId="11"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37" fontId="134" fillId="0" borderId="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7" fillId="0" borderId="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43" fontId="6" fillId="0" borderId="0" applyFont="0" applyFill="0" applyBorder="0" applyAlignment="0" applyProtection="0"/>
    <xf numFmtId="0" fontId="22" fillId="0" borderId="0"/>
    <xf numFmtId="43" fontId="6" fillId="0" borderId="0" applyFont="0" applyFill="0" applyBorder="0" applyAlignment="0" applyProtection="0"/>
    <xf numFmtId="37" fontId="17" fillId="0" borderId="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5" fillId="0" borderId="0"/>
    <xf numFmtId="166" fontId="5" fillId="0" borderId="0" applyFont="0" applyFill="0" applyBorder="0" applyAlignment="0" applyProtection="0"/>
    <xf numFmtId="0" fontId="99" fillId="54" borderId="0" applyNumberFormat="0" applyFont="0" applyBorder="0" applyAlignment="0" applyProtection="0"/>
    <xf numFmtId="0" fontId="99" fillId="55" borderId="0" applyNumberFormat="0" applyFont="0" applyBorder="0" applyAlignment="0" applyProtection="0"/>
    <xf numFmtId="0" fontId="4" fillId="0" borderId="0"/>
    <xf numFmtId="43" fontId="4" fillId="0" borderId="0" applyFont="0" applyFill="0" applyBorder="0" applyAlignment="0" applyProtection="0"/>
    <xf numFmtId="0" fontId="3" fillId="0" borderId="0"/>
    <xf numFmtId="44" fontId="3" fillId="0" borderId="0" applyFont="0" applyFill="0" applyBorder="0" applyAlignment="0" applyProtection="0"/>
    <xf numFmtId="0" fontId="159" fillId="0" borderId="0"/>
    <xf numFmtId="0" fontId="2" fillId="0" borderId="0"/>
    <xf numFmtId="43"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cellStyleXfs>
  <cellXfs count="1834">
    <xf numFmtId="0" fontId="0" fillId="0" borderId="0" xfId="0"/>
    <xf numFmtId="169" fontId="0" fillId="0" borderId="0" xfId="0" applyNumberFormat="1"/>
    <xf numFmtId="0" fontId="10" fillId="0" borderId="0" xfId="0" applyFont="1"/>
    <xf numFmtId="0" fontId="22" fillId="0" borderId="0" xfId="13"/>
    <xf numFmtId="0" fontId="24" fillId="0" borderId="0" xfId="13" applyFont="1"/>
    <xf numFmtId="0" fontId="23" fillId="0" borderId="0" xfId="13" applyFont="1"/>
    <xf numFmtId="0" fontId="23" fillId="0" borderId="0" xfId="13" applyFont="1" applyAlignment="1">
      <alignment horizontal="right"/>
    </xf>
    <xf numFmtId="38" fontId="24" fillId="0" borderId="0" xfId="13" applyNumberFormat="1" applyFont="1"/>
    <xf numFmtId="38" fontId="23" fillId="0" borderId="0" xfId="13" applyNumberFormat="1" applyFont="1"/>
    <xf numFmtId="0" fontId="23" fillId="0" borderId="0" xfId="13" quotePrefix="1" applyFont="1" applyAlignment="1">
      <alignment horizontal="right"/>
    </xf>
    <xf numFmtId="0" fontId="27" fillId="0" borderId="0" xfId="0" applyFont="1"/>
    <xf numFmtId="0" fontId="25" fillId="0" borderId="0" xfId="13" applyFont="1"/>
    <xf numFmtId="0" fontId="30" fillId="0" borderId="0" xfId="13" applyFont="1"/>
    <xf numFmtId="0" fontId="31" fillId="0" borderId="0" xfId="13" applyFont="1"/>
    <xf numFmtId="0" fontId="32" fillId="0" borderId="0" xfId="13" quotePrefix="1" applyFont="1" applyAlignment="1">
      <alignment horizontal="left"/>
    </xf>
    <xf numFmtId="3" fontId="23" fillId="0" borderId="0" xfId="13" applyNumberFormat="1" applyFont="1" applyAlignment="1">
      <alignment horizontal="center"/>
    </xf>
    <xf numFmtId="0" fontId="35" fillId="0" borderId="0" xfId="13" quotePrefix="1" applyFont="1" applyAlignment="1">
      <alignment horizontal="left"/>
    </xf>
    <xf numFmtId="0" fontId="23" fillId="0" borderId="0" xfId="13" quotePrefix="1" applyFont="1" applyAlignment="1">
      <alignment horizontal="left"/>
    </xf>
    <xf numFmtId="0" fontId="10" fillId="9" borderId="0" xfId="0" applyFont="1" applyFill="1"/>
    <xf numFmtId="44" fontId="0" fillId="0" borderId="0" xfId="0" applyNumberFormat="1"/>
    <xf numFmtId="44" fontId="0" fillId="0" borderId="0" xfId="11" applyFont="1"/>
    <xf numFmtId="0" fontId="0" fillId="0" borderId="11" xfId="0" applyBorder="1"/>
    <xf numFmtId="44" fontId="10" fillId="0" borderId="0" xfId="0" applyNumberFormat="1" applyFont="1"/>
    <xf numFmtId="0" fontId="23" fillId="0" borderId="9" xfId="13" applyFont="1" applyBorder="1"/>
    <xf numFmtId="0" fontId="0" fillId="0" borderId="7" xfId="0" applyBorder="1"/>
    <xf numFmtId="44" fontId="0" fillId="2" borderId="0" xfId="0" applyNumberFormat="1" applyFill="1"/>
    <xf numFmtId="43" fontId="0" fillId="0" borderId="0" xfId="17" applyFont="1"/>
    <xf numFmtId="43" fontId="10" fillId="0" borderId="0" xfId="17" applyFont="1"/>
    <xf numFmtId="44" fontId="10" fillId="2" borderId="0" xfId="0" applyNumberFormat="1" applyFont="1" applyFill="1"/>
    <xf numFmtId="44" fontId="10" fillId="0" borderId="0" xfId="11" applyFont="1"/>
    <xf numFmtId="43" fontId="0" fillId="0" borderId="11" xfId="17" applyFont="1" applyBorder="1"/>
    <xf numFmtId="44" fontId="0" fillId="0" borderId="11" xfId="11" applyFont="1" applyBorder="1"/>
    <xf numFmtId="44" fontId="0" fillId="2" borderId="11" xfId="0" applyNumberFormat="1" applyFill="1" applyBorder="1"/>
    <xf numFmtId="0" fontId="21" fillId="0" borderId="0" xfId="0" applyFont="1"/>
    <xf numFmtId="43" fontId="0" fillId="0" borderId="0" xfId="0" applyNumberFormat="1"/>
    <xf numFmtId="0" fontId="0" fillId="0" borderId="0" xfId="0" applyAlignment="1">
      <alignment vertical="top"/>
    </xf>
    <xf numFmtId="0" fontId="0" fillId="9" borderId="0" xfId="0" applyFill="1"/>
    <xf numFmtId="174" fontId="0" fillId="0" borderId="0" xfId="17" applyNumberFormat="1" applyFont="1"/>
    <xf numFmtId="0" fontId="25" fillId="0" borderId="0" xfId="19" applyFont="1"/>
    <xf numFmtId="0" fontId="22" fillId="0" borderId="0" xfId="19" applyFont="1"/>
    <xf numFmtId="3" fontId="24" fillId="0" borderId="0" xfId="19" applyNumberFormat="1" applyFont="1"/>
    <xf numFmtId="173" fontId="25" fillId="0" borderId="0" xfId="19" applyNumberFormat="1" applyFont="1"/>
    <xf numFmtId="0" fontId="19" fillId="0" borderId="0" xfId="19" applyFont="1"/>
    <xf numFmtId="0" fontId="25" fillId="0" borderId="0" xfId="19" quotePrefix="1" applyFont="1" applyAlignment="1">
      <alignment horizontal="left"/>
    </xf>
    <xf numFmtId="3" fontId="30" fillId="0" borderId="0" xfId="19" applyNumberFormat="1" applyFont="1"/>
    <xf numFmtId="3" fontId="30" fillId="0" borderId="0" xfId="19" applyNumberFormat="1" applyFont="1" applyAlignment="1">
      <alignment horizontal="center"/>
    </xf>
    <xf numFmtId="3" fontId="31" fillId="0" borderId="0" xfId="19" applyNumberFormat="1" applyFont="1" applyAlignment="1">
      <alignment horizontal="center"/>
    </xf>
    <xf numFmtId="3" fontId="22" fillId="0" borderId="0" xfId="19" applyNumberFormat="1" applyFont="1" applyAlignment="1">
      <alignment horizontal="center"/>
    </xf>
    <xf numFmtId="171" fontId="24" fillId="0" borderId="0" xfId="11" applyNumberFormat="1" applyFont="1"/>
    <xf numFmtId="0" fontId="0" fillId="0" borderId="0" xfId="0" applyAlignment="1">
      <alignment horizontal="left" vertical="top" wrapText="1"/>
    </xf>
    <xf numFmtId="0" fontId="0" fillId="6" borderId="0" xfId="0" applyFill="1"/>
    <xf numFmtId="2" fontId="0" fillId="0" borderId="0" xfId="0" applyNumberFormat="1"/>
    <xf numFmtId="0" fontId="0" fillId="0" borderId="0" xfId="0" applyAlignment="1">
      <alignment vertical="top" wrapText="1"/>
    </xf>
    <xf numFmtId="0" fontId="37" fillId="0" borderId="0" xfId="13" applyFont="1" applyAlignment="1">
      <alignment horizontal="center"/>
    </xf>
    <xf numFmtId="0" fontId="23" fillId="0" borderId="0" xfId="13" applyFont="1" applyAlignment="1">
      <alignment horizontal="center"/>
    </xf>
    <xf numFmtId="170" fontId="0" fillId="0" borderId="0" xfId="0" applyNumberFormat="1"/>
    <xf numFmtId="171" fontId="23" fillId="0" borderId="0" xfId="11" applyNumberFormat="1" applyFont="1"/>
    <xf numFmtId="0" fontId="52" fillId="0" borderId="0" xfId="13" applyFont="1"/>
    <xf numFmtId="38" fontId="54" fillId="0" borderId="0" xfId="13" applyNumberFormat="1" applyFont="1"/>
    <xf numFmtId="44" fontId="24" fillId="0" borderId="0" xfId="11" applyFont="1"/>
    <xf numFmtId="0" fontId="23" fillId="2" borderId="0" xfId="13" applyFont="1" applyFill="1"/>
    <xf numFmtId="44" fontId="24" fillId="2" borderId="0" xfId="11" applyFont="1" applyFill="1"/>
    <xf numFmtId="44" fontId="23" fillId="2" borderId="0" xfId="11" applyFont="1" applyFill="1"/>
    <xf numFmtId="0" fontId="23" fillId="0" borderId="6" xfId="0" applyFont="1" applyBorder="1" applyAlignment="1">
      <alignment horizontal="right"/>
    </xf>
    <xf numFmtId="0" fontId="23" fillId="0" borderId="7" xfId="0" applyFont="1" applyBorder="1" applyAlignment="1">
      <alignment horizontal="right"/>
    </xf>
    <xf numFmtId="40" fontId="24" fillId="0" borderId="6" xfId="0" applyNumberFormat="1" applyFont="1" applyBorder="1"/>
    <xf numFmtId="0" fontId="22" fillId="0" borderId="6" xfId="13" applyBorder="1"/>
    <xf numFmtId="38" fontId="23" fillId="0" borderId="8" xfId="13" applyNumberFormat="1" applyFont="1" applyBorder="1"/>
    <xf numFmtId="38" fontId="23" fillId="0" borderId="4" xfId="13" applyNumberFormat="1" applyFont="1" applyBorder="1"/>
    <xf numFmtId="0" fontId="0" fillId="8" borderId="8" xfId="0" applyFill="1" applyBorder="1"/>
    <xf numFmtId="44" fontId="22" fillId="0" borderId="0" xfId="13" applyNumberFormat="1"/>
    <xf numFmtId="0" fontId="56" fillId="0" borderId="0" xfId="0" applyFont="1" applyAlignment="1">
      <alignment vertical="top"/>
    </xf>
    <xf numFmtId="0" fontId="0" fillId="0" borderId="0" xfId="0" applyAlignment="1">
      <alignment wrapText="1"/>
    </xf>
    <xf numFmtId="0" fontId="0" fillId="0" borderId="3" xfId="0" applyBorder="1"/>
    <xf numFmtId="171" fontId="0" fillId="0" borderId="0" xfId="0" applyNumberFormat="1"/>
    <xf numFmtId="0" fontId="0" fillId="0" borderId="0" xfId="0" applyAlignment="1">
      <alignment horizontal="left" wrapText="1"/>
    </xf>
    <xf numFmtId="0" fontId="0" fillId="0" borderId="0" xfId="0" applyAlignment="1">
      <alignment horizontal="center"/>
    </xf>
    <xf numFmtId="0" fontId="10" fillId="0" borderId="0" xfId="0" applyFont="1" applyAlignment="1">
      <alignment vertical="center" wrapText="1"/>
    </xf>
    <xf numFmtId="0" fontId="0" fillId="0" borderId="3" xfId="0" applyBorder="1" applyAlignment="1">
      <alignment horizontal="center" vertical="center" wrapText="1"/>
    </xf>
    <xf numFmtId="175" fontId="0" fillId="0" borderId="0" xfId="17" applyNumberFormat="1" applyFont="1"/>
    <xf numFmtId="169" fontId="0" fillId="0" borderId="0" xfId="17" applyNumberFormat="1" applyFont="1"/>
    <xf numFmtId="1" fontId="0" fillId="0" borderId="0" xfId="0" applyNumberFormat="1" applyAlignment="1">
      <alignment horizontal="center"/>
    </xf>
    <xf numFmtId="44" fontId="43" fillId="0" borderId="0" xfId="11" applyFont="1"/>
    <xf numFmtId="44" fontId="59" fillId="0" borderId="0" xfId="0" applyNumberFormat="1" applyFont="1"/>
    <xf numFmtId="44" fontId="10" fillId="8" borderId="0" xfId="11" applyFont="1" applyFill="1"/>
    <xf numFmtId="0" fontId="10" fillId="0" borderId="3" xfId="0" applyFont="1" applyBorder="1"/>
    <xf numFmtId="44" fontId="10" fillId="8" borderId="0" xfId="0" applyNumberFormat="1" applyFont="1" applyFill="1"/>
    <xf numFmtId="171" fontId="0" fillId="0" borderId="0" xfId="11" applyNumberFormat="1" applyFont="1"/>
    <xf numFmtId="174" fontId="0" fillId="0" borderId="0" xfId="0" applyNumberFormat="1"/>
    <xf numFmtId="171" fontId="10" fillId="0" borderId="0" xfId="11" applyNumberFormat="1" applyFont="1"/>
    <xf numFmtId="0" fontId="23" fillId="0" borderId="0" xfId="13" applyFont="1" applyAlignment="1">
      <alignment horizontal="left"/>
    </xf>
    <xf numFmtId="0" fontId="24" fillId="0" borderId="9" xfId="13" applyFont="1" applyBorder="1"/>
    <xf numFmtId="0" fontId="0" fillId="0" borderId="0" xfId="0" applyAlignment="1">
      <alignment horizontal="right"/>
    </xf>
    <xf numFmtId="0" fontId="64" fillId="0" borderId="0" xfId="14" applyFont="1"/>
    <xf numFmtId="175" fontId="10" fillId="0" borderId="0" xfId="0" applyNumberFormat="1" applyFont="1"/>
    <xf numFmtId="175" fontId="10" fillId="0" borderId="0" xfId="17" applyNumberFormat="1" applyFont="1"/>
    <xf numFmtId="0" fontId="51" fillId="0" borderId="3" xfId="0" applyFont="1" applyBorder="1"/>
    <xf numFmtId="0" fontId="65" fillId="0" borderId="0" xfId="0" applyFont="1"/>
    <xf numFmtId="0" fontId="10" fillId="14" borderId="0" xfId="0" applyFont="1" applyFill="1" applyAlignment="1">
      <alignment vertical="center"/>
    </xf>
    <xf numFmtId="0" fontId="10" fillId="0" borderId="0" xfId="0" applyFont="1" applyAlignment="1">
      <alignment vertical="center"/>
    </xf>
    <xf numFmtId="0" fontId="10" fillId="9" borderId="0" xfId="0" applyFont="1" applyFill="1" applyAlignment="1">
      <alignment vertical="center"/>
    </xf>
    <xf numFmtId="0" fontId="0" fillId="0" borderId="0" xfId="0" applyAlignment="1">
      <alignment vertical="center" wrapText="1"/>
    </xf>
    <xf numFmtId="0" fontId="0" fillId="0" borderId="3" xfId="0" applyBorder="1" applyAlignment="1">
      <alignment vertical="center" wrapText="1"/>
    </xf>
    <xf numFmtId="44" fontId="10" fillId="0" borderId="0" xfId="11" applyFont="1" applyBorder="1" applyAlignment="1">
      <alignment horizontal="right" vertical="center" wrapText="1"/>
    </xf>
    <xf numFmtId="171" fontId="0" fillId="0" borderId="0" xfId="11" applyNumberFormat="1" applyFont="1" applyBorder="1" applyAlignment="1">
      <alignment horizontal="right" vertical="center" wrapText="1"/>
    </xf>
    <xf numFmtId="171" fontId="10" fillId="0" borderId="0" xfId="0" applyNumberFormat="1" applyFont="1"/>
    <xf numFmtId="171" fontId="10" fillId="8" borderId="0" xfId="0" applyNumberFormat="1" applyFont="1" applyFill="1"/>
    <xf numFmtId="0" fontId="28" fillId="0" borderId="0" xfId="41" applyAlignment="1">
      <alignment vertical="top"/>
    </xf>
    <xf numFmtId="171" fontId="0" fillId="0" borderId="0" xfId="43" applyNumberFormat="1" applyFont="1" applyAlignment="1">
      <alignment vertical="top"/>
    </xf>
    <xf numFmtId="0" fontId="63" fillId="0" borderId="0" xfId="0" applyFont="1" applyAlignment="1">
      <alignment vertical="center"/>
    </xf>
    <xf numFmtId="0" fontId="63" fillId="0" borderId="0" xfId="0" applyFont="1" applyAlignment="1">
      <alignment horizontal="center" vertical="center"/>
    </xf>
    <xf numFmtId="0" fontId="58" fillId="0" borderId="3" xfId="0" applyFont="1" applyBorder="1" applyAlignment="1">
      <alignment horizontal="left" vertical="center"/>
    </xf>
    <xf numFmtId="0" fontId="58" fillId="0" borderId="0" xfId="0" applyFont="1" applyAlignment="1">
      <alignment vertical="center"/>
    </xf>
    <xf numFmtId="0" fontId="58" fillId="0" borderId="0" xfId="0" applyFont="1" applyAlignment="1">
      <alignment horizontal="left" vertical="center"/>
    </xf>
    <xf numFmtId="0" fontId="58" fillId="0" borderId="3" xfId="0" applyFont="1" applyBorder="1" applyAlignment="1">
      <alignment horizontal="left" vertical="center" wrapText="1"/>
    </xf>
    <xf numFmtId="44" fontId="0" fillId="0" borderId="0" xfId="11" applyFont="1" applyAlignment="1">
      <alignment horizontal="left" indent="1"/>
    </xf>
    <xf numFmtId="44" fontId="56" fillId="0" borderId="0" xfId="11" applyAlignment="1">
      <alignment horizontal="left" indent="1"/>
    </xf>
    <xf numFmtId="0" fontId="58" fillId="0" borderId="0" xfId="0" applyFont="1" applyAlignment="1">
      <alignment horizontal="left" vertical="center" wrapText="1"/>
    </xf>
    <xf numFmtId="0" fontId="64" fillId="0" borderId="0" xfId="14" applyFont="1" applyAlignment="1">
      <alignment wrapText="1"/>
    </xf>
    <xf numFmtId="175" fontId="0" fillId="0" borderId="0" xfId="17" applyNumberFormat="1" applyFont="1" applyFill="1"/>
    <xf numFmtId="0" fontId="21" fillId="0" borderId="0" xfId="0" applyFont="1" applyAlignment="1">
      <alignment vertical="top"/>
    </xf>
    <xf numFmtId="0" fontId="58" fillId="0" borderId="0" xfId="0" applyFont="1"/>
    <xf numFmtId="0" fontId="58" fillId="0" borderId="0" xfId="0" applyFont="1" applyAlignment="1">
      <alignment horizontal="center" vertical="center" wrapText="1"/>
    </xf>
    <xf numFmtId="175" fontId="62" fillId="0" borderId="0" xfId="4" applyNumberFormat="1" applyFont="1"/>
    <xf numFmtId="0" fontId="0" fillId="8" borderId="0" xfId="0" applyFill="1" applyAlignment="1">
      <alignment horizontal="center"/>
    </xf>
    <xf numFmtId="0" fontId="58" fillId="9" borderId="0" xfId="0" applyFont="1" applyFill="1" applyAlignment="1">
      <alignment horizontal="left" vertical="center"/>
    </xf>
    <xf numFmtId="0" fontId="58" fillId="9" borderId="0" xfId="0" applyFont="1" applyFill="1" applyAlignment="1">
      <alignment vertical="center"/>
    </xf>
    <xf numFmtId="0" fontId="58" fillId="10" borderId="0" xfId="0" applyFont="1" applyFill="1" applyAlignment="1">
      <alignment vertical="center"/>
    </xf>
    <xf numFmtId="0" fontId="0" fillId="10" borderId="0" xfId="0" applyFill="1"/>
    <xf numFmtId="0" fontId="58" fillId="10" borderId="0" xfId="0" applyFont="1" applyFill="1" applyAlignment="1">
      <alignment horizontal="left" vertical="center"/>
    </xf>
    <xf numFmtId="0" fontId="58" fillId="8" borderId="0" xfId="0" applyFont="1" applyFill="1" applyAlignment="1">
      <alignment horizontal="left" vertical="center" wrapText="1"/>
    </xf>
    <xf numFmtId="175" fontId="58" fillId="0" borderId="0" xfId="17" applyNumberFormat="1" applyFont="1"/>
    <xf numFmtId="0" fontId="58" fillId="0" borderId="3" xfId="0" applyFont="1" applyBorder="1" applyAlignment="1">
      <alignment horizontal="center" vertical="center" wrapText="1"/>
    </xf>
    <xf numFmtId="0" fontId="58" fillId="9" borderId="0" xfId="0" applyFont="1" applyFill="1" applyAlignment="1">
      <alignment horizontal="center" vertical="center"/>
    </xf>
    <xf numFmtId="0" fontId="0" fillId="10" borderId="0" xfId="0" applyFill="1" applyAlignment="1">
      <alignment vertical="center"/>
    </xf>
    <xf numFmtId="0" fontId="68" fillId="0" borderId="0" xfId="0" applyFont="1"/>
    <xf numFmtId="0" fontId="20" fillId="0" borderId="0" xfId="0" applyFont="1" applyAlignment="1">
      <alignment vertical="center"/>
    </xf>
    <xf numFmtId="0" fontId="57" fillId="0" borderId="0" xfId="0" applyFont="1"/>
    <xf numFmtId="44" fontId="58" fillId="8" borderId="0" xfId="0" applyNumberFormat="1" applyFont="1" applyFill="1"/>
    <xf numFmtId="171" fontId="56" fillId="0" borderId="0" xfId="11" applyNumberFormat="1"/>
    <xf numFmtId="44" fontId="58" fillId="0" borderId="3" xfId="0" applyNumberFormat="1" applyFont="1" applyBorder="1" applyAlignment="1">
      <alignment horizontal="center" vertical="center" wrapText="1"/>
    </xf>
    <xf numFmtId="44" fontId="58" fillId="0" borderId="0" xfId="0" applyNumberFormat="1" applyFont="1"/>
    <xf numFmtId="44" fontId="58" fillId="0" borderId="0" xfId="11" applyFont="1"/>
    <xf numFmtId="0" fontId="0" fillId="0" borderId="7" xfId="0" applyBorder="1" applyAlignment="1">
      <alignment vertical="top"/>
    </xf>
    <xf numFmtId="44" fontId="58" fillId="0" borderId="3" xfId="0" applyNumberFormat="1" applyFont="1" applyBorder="1" applyAlignment="1">
      <alignment horizontal="left" vertical="center" wrapText="1"/>
    </xf>
    <xf numFmtId="0" fontId="50" fillId="0" borderId="0" xfId="14" applyFont="1" applyAlignment="1">
      <alignment vertical="top"/>
    </xf>
    <xf numFmtId="0" fontId="58" fillId="8" borderId="3" xfId="0" applyFont="1" applyFill="1" applyBorder="1" applyAlignment="1">
      <alignment horizontal="center" vertical="center"/>
    </xf>
    <xf numFmtId="0" fontId="0" fillId="0" borderId="0" xfId="0" applyAlignment="1">
      <alignment horizontal="left" vertical="center" wrapText="1"/>
    </xf>
    <xf numFmtId="0" fontId="67" fillId="0" borderId="0" xfId="41" applyFont="1" applyAlignment="1">
      <alignment vertical="top"/>
    </xf>
    <xf numFmtId="0" fontId="62" fillId="0" borderId="0" xfId="41" applyFont="1" applyAlignment="1">
      <alignment horizontal="left" vertical="center" wrapText="1"/>
    </xf>
    <xf numFmtId="0" fontId="61" fillId="0" borderId="0" xfId="41" applyFont="1" applyAlignment="1">
      <alignment vertical="top"/>
    </xf>
    <xf numFmtId="171" fontId="61" fillId="0" borderId="0" xfId="43" applyNumberFormat="1" applyFont="1" applyAlignment="1">
      <alignment vertical="top"/>
    </xf>
    <xf numFmtId="169" fontId="61" fillId="0" borderId="0" xfId="41" applyNumberFormat="1" applyFont="1" applyAlignment="1">
      <alignment vertical="top"/>
    </xf>
    <xf numFmtId="168" fontId="61" fillId="0" borderId="0" xfId="42" applyNumberFormat="1" applyFont="1"/>
    <xf numFmtId="10" fontId="61" fillId="0" borderId="0" xfId="45" applyFont="1"/>
    <xf numFmtId="0" fontId="61" fillId="3" borderId="0" xfId="41" applyFont="1" applyFill="1" applyAlignment="1">
      <alignment vertical="top"/>
    </xf>
    <xf numFmtId="171" fontId="61" fillId="3" borderId="0" xfId="43" applyNumberFormat="1" applyFont="1" applyFill="1" applyAlignment="1">
      <alignment vertical="top"/>
    </xf>
    <xf numFmtId="169" fontId="61" fillId="3" borderId="0" xfId="41" applyNumberFormat="1" applyFont="1" applyFill="1" applyAlignment="1">
      <alignment vertical="top"/>
    </xf>
    <xf numFmtId="168" fontId="61" fillId="3" borderId="0" xfId="42" applyNumberFormat="1" applyFont="1" applyFill="1"/>
    <xf numFmtId="10" fontId="61" fillId="3" borderId="0" xfId="45" applyFont="1" applyFill="1"/>
    <xf numFmtId="0" fontId="45" fillId="0" borderId="0" xfId="41" applyFont="1" applyAlignment="1">
      <alignment vertical="top"/>
    </xf>
    <xf numFmtId="0" fontId="62" fillId="0" borderId="0" xfId="41" applyFont="1" applyAlignment="1">
      <alignment horizontal="left" vertical="center"/>
    </xf>
    <xf numFmtId="0" fontId="56" fillId="0" borderId="0" xfId="46" applyFont="1"/>
    <xf numFmtId="44" fontId="61" fillId="0" borderId="0" xfId="0" applyNumberFormat="1" applyFont="1" applyAlignment="1">
      <alignment vertical="top"/>
    </xf>
    <xf numFmtId="0" fontId="61" fillId="0" borderId="0" xfId="0" applyFont="1"/>
    <xf numFmtId="171" fontId="0" fillId="0" borderId="0" xfId="11" applyNumberFormat="1" applyFont="1" applyAlignment="1">
      <alignment vertical="top"/>
    </xf>
    <xf numFmtId="175" fontId="0" fillId="0" borderId="0" xfId="0" applyNumberFormat="1"/>
    <xf numFmtId="171" fontId="58" fillId="0" borderId="0" xfId="11" applyNumberFormat="1" applyFont="1" applyFill="1" applyAlignment="1">
      <alignment horizontal="left" indent="1"/>
    </xf>
    <xf numFmtId="0" fontId="69" fillId="0" borderId="0" xfId="0" applyFont="1"/>
    <xf numFmtId="174" fontId="69" fillId="0" borderId="0" xfId="17" applyNumberFormat="1" applyFont="1" applyFill="1" applyBorder="1"/>
    <xf numFmtId="174" fontId="69" fillId="18" borderId="0" xfId="17" applyNumberFormat="1" applyFont="1" applyFill="1" applyBorder="1"/>
    <xf numFmtId="0" fontId="69" fillId="18" borderId="0" xfId="0" applyFont="1" applyFill="1"/>
    <xf numFmtId="169" fontId="0" fillId="0" borderId="0" xfId="11" applyNumberFormat="1" applyFont="1"/>
    <xf numFmtId="172" fontId="0" fillId="0" borderId="0" xfId="11" applyNumberFormat="1" applyFont="1"/>
    <xf numFmtId="0" fontId="0" fillId="0" borderId="0" xfId="0" applyAlignment="1">
      <alignment vertical="center"/>
    </xf>
    <xf numFmtId="0" fontId="68" fillId="0" borderId="0" xfId="0" applyFont="1" applyAlignment="1">
      <alignment horizontal="center" vertical="center" wrapText="1"/>
    </xf>
    <xf numFmtId="0" fontId="20" fillId="0" borderId="0" xfId="0" applyFont="1"/>
    <xf numFmtId="0" fontId="74" fillId="9" borderId="0" xfId="0" applyFont="1" applyFill="1" applyAlignment="1">
      <alignment wrapText="1"/>
    </xf>
    <xf numFmtId="0" fontId="23" fillId="0" borderId="3" xfId="13" applyFont="1" applyBorder="1"/>
    <xf numFmtId="0" fontId="23" fillId="0" borderId="3" xfId="13" applyFont="1" applyBorder="1" applyAlignment="1">
      <alignment horizontal="right"/>
    </xf>
    <xf numFmtId="0" fontId="23" fillId="0" borderId="8" xfId="0" applyFont="1" applyBorder="1" applyAlignment="1">
      <alignment horizontal="right"/>
    </xf>
    <xf numFmtId="0" fontId="23" fillId="0" borderId="4" xfId="0" applyFont="1" applyBorder="1" applyAlignment="1">
      <alignment horizontal="right"/>
    </xf>
    <xf numFmtId="0" fontId="22" fillId="0" borderId="3" xfId="13" applyBorder="1"/>
    <xf numFmtId="0" fontId="24" fillId="2" borderId="3" xfId="13" applyFont="1" applyFill="1" applyBorder="1"/>
    <xf numFmtId="0" fontId="53" fillId="0" borderId="3" xfId="13" applyFont="1" applyBorder="1"/>
    <xf numFmtId="0" fontId="49" fillId="0" borderId="0" xfId="0" applyFont="1" applyAlignment="1">
      <alignment vertical="center" wrapText="1"/>
    </xf>
    <xf numFmtId="0" fontId="76" fillId="0" borderId="0" xfId="40" applyFont="1" applyBorder="1" applyAlignment="1" applyProtection="1">
      <alignment vertical="center" wrapText="1"/>
    </xf>
    <xf numFmtId="0" fontId="49" fillId="0" borderId="3" xfId="0" applyFont="1" applyBorder="1" applyAlignment="1">
      <alignment vertical="center" wrapText="1"/>
    </xf>
    <xf numFmtId="0" fontId="0" fillId="8" borderId="0" xfId="0" applyFill="1"/>
    <xf numFmtId="0" fontId="58" fillId="8" borderId="0" xfId="0" applyFont="1" applyFill="1"/>
    <xf numFmtId="0" fontId="63" fillId="9" borderId="0" xfId="0" applyFont="1" applyFill="1" applyAlignment="1">
      <alignment wrapText="1"/>
    </xf>
    <xf numFmtId="2" fontId="77" fillId="0" borderId="0" xfId="0" applyNumberFormat="1" applyFont="1"/>
    <xf numFmtId="0" fontId="78" fillId="0" borderId="0" xfId="13" applyFont="1" applyAlignment="1">
      <alignment horizontal="center" vertical="center"/>
    </xf>
    <xf numFmtId="0" fontId="21" fillId="0" borderId="0" xfId="0" applyFont="1" applyAlignment="1">
      <alignment vertical="center"/>
    </xf>
    <xf numFmtId="0" fontId="0" fillId="0" borderId="14" xfId="0" applyBorder="1"/>
    <xf numFmtId="0" fontId="0" fillId="0" borderId="15" xfId="0" applyBorder="1"/>
    <xf numFmtId="0" fontId="68" fillId="0" borderId="3" xfId="0" applyFont="1" applyBorder="1" applyAlignment="1">
      <alignment horizontal="left" vertical="center" wrapText="1"/>
    </xf>
    <xf numFmtId="0" fontId="42" fillId="7" borderId="0" xfId="13" applyFont="1" applyFill="1"/>
    <xf numFmtId="38" fontId="23" fillId="7" borderId="0" xfId="13" applyNumberFormat="1" applyFont="1" applyFill="1"/>
    <xf numFmtId="0" fontId="22" fillId="7" borderId="0" xfId="13" applyFill="1"/>
    <xf numFmtId="0" fontId="0" fillId="7" borderId="0" xfId="0" applyFill="1"/>
    <xf numFmtId="171" fontId="23" fillId="7" borderId="0" xfId="11" applyNumberFormat="1" applyFont="1" applyFill="1"/>
    <xf numFmtId="44" fontId="23" fillId="7" borderId="0" xfId="11" applyFont="1" applyFill="1"/>
    <xf numFmtId="0" fontId="79" fillId="0" borderId="0" xfId="0" applyFont="1"/>
    <xf numFmtId="0" fontId="22" fillId="8" borderId="10" xfId="13" applyFill="1" applyBorder="1"/>
    <xf numFmtId="170" fontId="80" fillId="8" borderId="2" xfId="0" applyNumberFormat="1" applyFont="1" applyFill="1" applyBorder="1"/>
    <xf numFmtId="38" fontId="0" fillId="0" borderId="0" xfId="0" applyNumberFormat="1"/>
    <xf numFmtId="176" fontId="0" fillId="0" borderId="0" xfId="0" applyNumberFormat="1"/>
    <xf numFmtId="0" fontId="22" fillId="7" borderId="0" xfId="19" applyFont="1" applyFill="1"/>
    <xf numFmtId="0" fontId="22" fillId="2" borderId="0" xfId="19" applyFont="1" applyFill="1"/>
    <xf numFmtId="3" fontId="25" fillId="2" borderId="0" xfId="19" applyNumberFormat="1" applyFont="1" applyFill="1"/>
    <xf numFmtId="3" fontId="25" fillId="7" borderId="0" xfId="19" applyNumberFormat="1" applyFont="1" applyFill="1"/>
    <xf numFmtId="0" fontId="25" fillId="2" borderId="0" xfId="19" applyFont="1" applyFill="1"/>
    <xf numFmtId="0" fontId="49" fillId="9" borderId="3" xfId="0" applyFont="1" applyFill="1" applyBorder="1" applyAlignment="1">
      <alignment wrapText="1"/>
    </xf>
    <xf numFmtId="0" fontId="63" fillId="9" borderId="3" xfId="0" applyFont="1" applyFill="1" applyBorder="1" applyAlignment="1">
      <alignment wrapText="1"/>
    </xf>
    <xf numFmtId="0" fontId="49" fillId="9" borderId="3" xfId="0" applyFont="1" applyFill="1" applyBorder="1" applyAlignment="1">
      <alignment horizontal="center" wrapText="1"/>
    </xf>
    <xf numFmtId="172" fontId="0" fillId="8" borderId="0" xfId="11" applyNumberFormat="1" applyFont="1" applyFill="1" applyAlignment="1">
      <alignment horizontal="center" vertical="center"/>
    </xf>
    <xf numFmtId="171" fontId="58" fillId="0" borderId="0" xfId="11" applyNumberFormat="1" applyFont="1" applyFill="1"/>
    <xf numFmtId="0" fontId="68" fillId="8" borderId="0" xfId="0" applyFont="1" applyFill="1" applyAlignment="1">
      <alignment horizontal="right" vertical="center" wrapText="1"/>
    </xf>
    <xf numFmtId="0" fontId="82" fillId="0" borderId="0" xfId="0" applyFont="1" applyAlignment="1">
      <alignment horizontal="right" vertical="top"/>
    </xf>
    <xf numFmtId="0" fontId="28" fillId="0" borderId="0" xfId="0" applyFont="1" applyAlignment="1">
      <alignment vertical="center"/>
    </xf>
    <xf numFmtId="0" fontId="70" fillId="0" borderId="0" xfId="0" applyFont="1" applyAlignment="1">
      <alignment vertical="center"/>
    </xf>
    <xf numFmtId="171" fontId="27" fillId="0" borderId="0" xfId="11" applyNumberFormat="1" applyFont="1"/>
    <xf numFmtId="175" fontId="83" fillId="0" borderId="3" xfId="0" applyNumberFormat="1" applyFont="1" applyBorder="1" applyAlignment="1">
      <alignment vertical="center"/>
    </xf>
    <xf numFmtId="0" fontId="27" fillId="0" borderId="0" xfId="0" applyFont="1" applyAlignment="1">
      <alignment horizontal="left" indent="3"/>
    </xf>
    <xf numFmtId="0" fontId="27" fillId="9" borderId="0" xfId="0" applyFont="1" applyFill="1" applyAlignment="1">
      <alignment vertical="center"/>
    </xf>
    <xf numFmtId="171" fontId="27" fillId="9" borderId="0" xfId="0" applyNumberFormat="1" applyFont="1" applyFill="1" applyAlignment="1">
      <alignment vertical="center"/>
    </xf>
    <xf numFmtId="0" fontId="0" fillId="9" borderId="0" xfId="0" applyFill="1" applyAlignment="1">
      <alignment vertical="center"/>
    </xf>
    <xf numFmtId="44" fontId="27" fillId="9" borderId="0" xfId="11" applyFont="1" applyFill="1" applyAlignment="1">
      <alignment horizontal="right" vertical="center"/>
    </xf>
    <xf numFmtId="0" fontId="27" fillId="9" borderId="0" xfId="0" applyFont="1" applyFill="1" applyAlignment="1">
      <alignment horizontal="right" vertical="center"/>
    </xf>
    <xf numFmtId="0" fontId="83" fillId="0" borderId="0" xfId="0" applyFont="1" applyAlignment="1">
      <alignment horizontal="left" vertical="center" indent="2"/>
    </xf>
    <xf numFmtId="171" fontId="83" fillId="0" borderId="0" xfId="0" applyNumberFormat="1" applyFont="1"/>
    <xf numFmtId="0" fontId="85" fillId="0" borderId="0" xfId="0" applyFont="1" applyAlignment="1">
      <alignment horizontal="right"/>
    </xf>
    <xf numFmtId="0" fontId="86" fillId="0" borderId="0" xfId="0" applyFont="1"/>
    <xf numFmtId="0" fontId="87" fillId="0" borderId="0" xfId="0" applyFont="1"/>
    <xf numFmtId="0" fontId="87" fillId="0" borderId="0" xfId="0" applyFont="1" applyAlignment="1">
      <alignment horizontal="left" indent="4"/>
    </xf>
    <xf numFmtId="173" fontId="88" fillId="0" borderId="0" xfId="18" applyNumberFormat="1" applyFont="1" applyBorder="1" applyAlignment="1">
      <alignment horizontal="right" vertical="center"/>
    </xf>
    <xf numFmtId="175" fontId="87" fillId="0" borderId="0" xfId="17" applyNumberFormat="1" applyFont="1"/>
    <xf numFmtId="171" fontId="87" fillId="0" borderId="0" xfId="0" applyNumberFormat="1" applyFont="1"/>
    <xf numFmtId="175" fontId="87" fillId="0" borderId="11" xfId="17" applyNumberFormat="1" applyFont="1" applyBorder="1"/>
    <xf numFmtId="0" fontId="83" fillId="0" borderId="0" xfId="0" applyFont="1" applyAlignment="1">
      <alignment horizontal="left" vertical="center" indent="3"/>
    </xf>
    <xf numFmtId="0" fontId="87" fillId="0" borderId="0" xfId="0" applyFont="1" applyAlignment="1">
      <alignment horizontal="center"/>
    </xf>
    <xf numFmtId="171" fontId="87" fillId="0" borderId="0" xfId="11" applyNumberFormat="1" applyFont="1"/>
    <xf numFmtId="0" fontId="86" fillId="0" borderId="0" xfId="0" applyFont="1" applyAlignment="1">
      <alignment horizontal="center"/>
    </xf>
    <xf numFmtId="171" fontId="87" fillId="0" borderId="11" xfId="11" applyNumberFormat="1" applyFont="1" applyBorder="1"/>
    <xf numFmtId="0" fontId="87" fillId="0" borderId="0" xfId="0" applyFont="1" applyAlignment="1">
      <alignment vertical="center"/>
    </xf>
    <xf numFmtId="0" fontId="83" fillId="0" borderId="0" xfId="0" applyFont="1" applyAlignment="1">
      <alignment horizontal="left" indent="2"/>
    </xf>
    <xf numFmtId="0" fontId="83" fillId="0" borderId="0" xfId="0" applyFont="1" applyAlignment="1">
      <alignment horizontal="right"/>
    </xf>
    <xf numFmtId="0" fontId="89" fillId="0" borderId="0" xfId="0" applyFont="1"/>
    <xf numFmtId="0" fontId="58" fillId="0" borderId="3" xfId="0" applyFont="1" applyBorder="1" applyAlignment="1">
      <alignment horizontal="right" vertical="center" wrapText="1"/>
    </xf>
    <xf numFmtId="174" fontId="62" fillId="0" borderId="0" xfId="17" applyNumberFormat="1" applyFont="1"/>
    <xf numFmtId="49" fontId="0" fillId="0" borderId="0" xfId="0" applyNumberFormat="1"/>
    <xf numFmtId="0" fontId="58" fillId="0" borderId="3" xfId="1" applyFont="1" applyBorder="1" applyAlignment="1">
      <alignment horizontal="left" vertical="center" wrapText="1"/>
    </xf>
    <xf numFmtId="177" fontId="0" fillId="0" borderId="0" xfId="0" applyNumberFormat="1"/>
    <xf numFmtId="0" fontId="56" fillId="0" borderId="0" xfId="1" applyFont="1"/>
    <xf numFmtId="0" fontId="62" fillId="0" borderId="0" xfId="0" applyFont="1" applyAlignment="1">
      <alignment vertical="top"/>
    </xf>
    <xf numFmtId="0" fontId="56" fillId="0" borderId="0" xfId="1" applyFont="1" applyAlignment="1">
      <alignment horizontal="right" vertical="center" wrapText="1"/>
    </xf>
    <xf numFmtId="0" fontId="61" fillId="0" borderId="0" xfId="0" applyFont="1" applyAlignment="1">
      <alignment vertical="top"/>
    </xf>
    <xf numFmtId="0" fontId="58" fillId="0" borderId="0" xfId="1" applyFont="1" applyAlignment="1">
      <alignment horizontal="left" vertical="center" wrapText="1"/>
    </xf>
    <xf numFmtId="0" fontId="10" fillId="0" borderId="3" xfId="1" applyFont="1" applyBorder="1" applyAlignment="1">
      <alignment horizontal="center" vertical="center" wrapText="1"/>
    </xf>
    <xf numFmtId="0" fontId="58" fillId="8" borderId="0" xfId="1" applyFont="1" applyFill="1" applyAlignment="1">
      <alignment horizontal="left" vertical="center" wrapText="1"/>
    </xf>
    <xf numFmtId="0" fontId="29" fillId="0" borderId="0" xfId="41" applyFont="1" applyAlignment="1">
      <alignment vertical="top" wrapText="1"/>
    </xf>
    <xf numFmtId="0" fontId="16" fillId="0" borderId="0" xfId="8" applyAlignment="1">
      <alignment vertical="top"/>
    </xf>
    <xf numFmtId="0" fontId="91" fillId="0" borderId="0" xfId="44" applyFont="1" applyFill="1" applyBorder="1" applyAlignment="1" applyProtection="1">
      <alignment vertical="top"/>
    </xf>
    <xf numFmtId="178" fontId="28" fillId="0" borderId="0" xfId="41" applyNumberFormat="1" applyAlignment="1">
      <alignment vertical="top"/>
    </xf>
    <xf numFmtId="3" fontId="28" fillId="0" borderId="0" xfId="42" applyNumberFormat="1"/>
    <xf numFmtId="0" fontId="28" fillId="0" borderId="3" xfId="41" applyBorder="1" applyAlignment="1">
      <alignment vertical="top"/>
    </xf>
    <xf numFmtId="0" fontId="29" fillId="0" borderId="3" xfId="41" applyFont="1" applyBorder="1" applyAlignment="1">
      <alignment vertical="top"/>
    </xf>
    <xf numFmtId="0" fontId="29" fillId="0" borderId="0" xfId="41" applyFont="1" applyAlignment="1">
      <alignment vertical="top"/>
    </xf>
    <xf numFmtId="171" fontId="28" fillId="0" borderId="0" xfId="41" applyNumberFormat="1" applyAlignment="1">
      <alignment vertical="top"/>
    </xf>
    <xf numFmtId="0" fontId="58" fillId="0" borderId="3" xfId="41" applyFont="1" applyBorder="1" applyAlignment="1">
      <alignment horizontal="center" vertical="center"/>
    </xf>
    <xf numFmtId="0" fontId="73" fillId="0" borderId="3" xfId="41" applyFont="1" applyBorder="1" applyAlignment="1">
      <alignment horizontal="center" vertical="center" wrapText="1"/>
    </xf>
    <xf numFmtId="0" fontId="58" fillId="0" borderId="3" xfId="41" applyFont="1" applyBorder="1" applyAlignment="1">
      <alignment horizontal="center" vertical="center" wrapText="1"/>
    </xf>
    <xf numFmtId="0" fontId="29" fillId="0" borderId="3" xfId="41" applyFont="1" applyBorder="1" applyAlignment="1">
      <alignment vertical="top" wrapText="1"/>
    </xf>
    <xf numFmtId="171" fontId="28" fillId="0" borderId="0" xfId="43" applyNumberFormat="1" applyFont="1" applyFill="1" applyAlignment="1">
      <alignment vertical="top"/>
    </xf>
    <xf numFmtId="178" fontId="28" fillId="0" borderId="0" xfId="43" applyNumberFormat="1" applyFont="1" applyFill="1" applyAlignment="1">
      <alignment vertical="top"/>
    </xf>
    <xf numFmtId="9" fontId="28" fillId="0" borderId="0" xfId="41" applyNumberFormat="1" applyAlignment="1">
      <alignment vertical="top"/>
    </xf>
    <xf numFmtId="0" fontId="28" fillId="0" borderId="0" xfId="41" applyAlignment="1">
      <alignment vertical="center" wrapText="1"/>
    </xf>
    <xf numFmtId="0" fontId="28" fillId="8" borderId="0" xfId="41" applyFill="1" applyAlignment="1">
      <alignment vertical="center" wrapText="1"/>
    </xf>
    <xf numFmtId="0" fontId="28" fillId="0" borderId="0" xfId="41" applyAlignment="1">
      <alignment vertical="top" wrapText="1"/>
    </xf>
    <xf numFmtId="44" fontId="61" fillId="0" borderId="0" xfId="43" applyFont="1" applyBorder="1" applyAlignment="1">
      <alignment vertical="top"/>
    </xf>
    <xf numFmtId="171" fontId="28" fillId="0" borderId="0" xfId="43" applyNumberFormat="1" applyFont="1" applyBorder="1" applyAlignment="1">
      <alignment vertical="top"/>
    </xf>
    <xf numFmtId="3" fontId="28" fillId="0" borderId="0" xfId="41" applyNumberFormat="1" applyAlignment="1">
      <alignment vertical="top"/>
    </xf>
    <xf numFmtId="0" fontId="28" fillId="0" borderId="3" xfId="41" applyBorder="1" applyAlignment="1">
      <alignment vertical="top" wrapText="1"/>
    </xf>
    <xf numFmtId="44" fontId="61" fillId="0" borderId="3" xfId="43" applyFont="1" applyBorder="1" applyAlignment="1">
      <alignment vertical="top"/>
    </xf>
    <xf numFmtId="171" fontId="28" fillId="0" borderId="3" xfId="43" applyNumberFormat="1" applyFont="1" applyBorder="1" applyAlignment="1">
      <alignment vertical="top"/>
    </xf>
    <xf numFmtId="171" fontId="28" fillId="0" borderId="3" xfId="41" applyNumberFormat="1" applyBorder="1" applyAlignment="1">
      <alignment vertical="top"/>
    </xf>
    <xf numFmtId="178" fontId="28" fillId="0" borderId="3" xfId="41" applyNumberFormat="1" applyBorder="1" applyAlignment="1">
      <alignment vertical="top"/>
    </xf>
    <xf numFmtId="171" fontId="29" fillId="0" borderId="0" xfId="41" applyNumberFormat="1" applyFont="1" applyAlignment="1">
      <alignment vertical="top"/>
    </xf>
    <xf numFmtId="44" fontId="28" fillId="0" borderId="0" xfId="41" applyNumberFormat="1" applyAlignment="1">
      <alignment vertical="top"/>
    </xf>
    <xf numFmtId="178" fontId="29" fillId="0" borderId="0" xfId="41" applyNumberFormat="1" applyFont="1" applyAlignment="1">
      <alignment vertical="top"/>
    </xf>
    <xf numFmtId="0" fontId="28" fillId="0" borderId="3" xfId="41" applyBorder="1" applyAlignment="1">
      <alignment vertical="center" wrapText="1"/>
    </xf>
    <xf numFmtId="0" fontId="28" fillId="8" borderId="3" xfId="41" applyFill="1" applyBorder="1" applyAlignment="1">
      <alignment vertical="center" wrapText="1"/>
    </xf>
    <xf numFmtId="0" fontId="10" fillId="0" borderId="0" xfId="41" applyFont="1" applyAlignment="1">
      <alignment horizontal="right"/>
    </xf>
    <xf numFmtId="0" fontId="29" fillId="0" borderId="0" xfId="41" applyFont="1"/>
    <xf numFmtId="169" fontId="29" fillId="0" borderId="0" xfId="41" applyNumberFormat="1" applyFont="1"/>
    <xf numFmtId="0" fontId="28" fillId="0" borderId="0" xfId="41" applyAlignment="1">
      <alignment vertical="center"/>
    </xf>
    <xf numFmtId="2" fontId="28" fillId="0" borderId="0" xfId="41" applyNumberFormat="1" applyAlignment="1">
      <alignment vertical="center"/>
    </xf>
    <xf numFmtId="0" fontId="91" fillId="0" borderId="0" xfId="44" applyFont="1" applyBorder="1" applyAlignment="1" applyProtection="1">
      <alignment vertical="top"/>
    </xf>
    <xf numFmtId="44" fontId="28" fillId="0" borderId="0" xfId="43" applyFont="1" applyBorder="1" applyAlignment="1">
      <alignment vertical="top"/>
    </xf>
    <xf numFmtId="0" fontId="28" fillId="0" borderId="0" xfId="41"/>
    <xf numFmtId="6" fontId="28" fillId="0" borderId="0" xfId="41" applyNumberFormat="1" applyAlignment="1">
      <alignment vertical="top"/>
    </xf>
    <xf numFmtId="0" fontId="28" fillId="0" borderId="0" xfId="41" applyAlignment="1">
      <alignment wrapText="1"/>
    </xf>
    <xf numFmtId="0" fontId="34" fillId="0" borderId="0" xfId="44" applyBorder="1" applyAlignment="1" applyProtection="1"/>
    <xf numFmtId="0" fontId="29" fillId="0" borderId="0" xfId="41" applyFont="1" applyAlignment="1">
      <alignment vertical="center"/>
    </xf>
    <xf numFmtId="0" fontId="28" fillId="0" borderId="3" xfId="41" applyBorder="1" applyAlignment="1">
      <alignment vertical="center"/>
    </xf>
    <xf numFmtId="2" fontId="28" fillId="0" borderId="3" xfId="41" applyNumberFormat="1" applyBorder="1" applyAlignment="1">
      <alignment vertical="center"/>
    </xf>
    <xf numFmtId="2" fontId="29" fillId="0" borderId="0" xfId="41" applyNumberFormat="1" applyFont="1" applyAlignment="1">
      <alignment vertical="top"/>
    </xf>
    <xf numFmtId="0" fontId="29" fillId="8" borderId="0" xfId="41" applyFont="1" applyFill="1" applyAlignment="1">
      <alignment vertical="top" wrapText="1"/>
    </xf>
    <xf numFmtId="0" fontId="28" fillId="8" borderId="0" xfId="41" applyFill="1" applyAlignment="1">
      <alignment vertical="top"/>
    </xf>
    <xf numFmtId="171" fontId="28" fillId="0" borderId="0" xfId="43" applyNumberFormat="1" applyFont="1" applyFill="1" applyBorder="1" applyAlignment="1">
      <alignment vertical="top"/>
    </xf>
    <xf numFmtId="0" fontId="92" fillId="0" borderId="0" xfId="41" applyFont="1" applyAlignment="1">
      <alignment vertical="top"/>
    </xf>
    <xf numFmtId="171" fontId="92" fillId="0" borderId="0" xfId="41" applyNumberFormat="1" applyFont="1" applyAlignment="1">
      <alignment vertical="top"/>
    </xf>
    <xf numFmtId="0" fontId="34" fillId="0" borderId="0" xfId="44" applyFill="1" applyBorder="1" applyAlignment="1" applyProtection="1">
      <alignment vertical="top"/>
    </xf>
    <xf numFmtId="171" fontId="29" fillId="0" borderId="0" xfId="43" applyNumberFormat="1" applyFont="1" applyBorder="1" applyAlignment="1">
      <alignment vertical="top"/>
    </xf>
    <xf numFmtId="0" fontId="60" fillId="0" borderId="0" xfId="41" applyFont="1"/>
    <xf numFmtId="0" fontId="60" fillId="0" borderId="0" xfId="41" applyFont="1" applyAlignment="1">
      <alignment vertical="top"/>
    </xf>
    <xf numFmtId="44" fontId="29" fillId="0" borderId="0" xfId="43" applyFont="1" applyBorder="1" applyAlignment="1">
      <alignment vertical="top"/>
    </xf>
    <xf numFmtId="171" fontId="28" fillId="0" borderId="0" xfId="43" applyNumberFormat="1" applyFont="1" applyAlignment="1">
      <alignment vertical="top"/>
    </xf>
    <xf numFmtId="44" fontId="28" fillId="0" borderId="0" xfId="43" applyFont="1" applyAlignment="1">
      <alignment vertical="top"/>
    </xf>
    <xf numFmtId="171" fontId="58" fillId="0" borderId="0" xfId="11" applyNumberFormat="1" applyFont="1"/>
    <xf numFmtId="171" fontId="56" fillId="8" borderId="0" xfId="11" applyNumberFormat="1" applyFill="1"/>
    <xf numFmtId="171" fontId="0" fillId="8" borderId="0" xfId="0" applyNumberFormat="1" applyFill="1"/>
    <xf numFmtId="0" fontId="0" fillId="0" borderId="8" xfId="0" applyBorder="1"/>
    <xf numFmtId="44" fontId="0" fillId="8" borderId="4" xfId="0" applyNumberFormat="1" applyFill="1" applyBorder="1"/>
    <xf numFmtId="0" fontId="81" fillId="0" borderId="0" xfId="14" applyFont="1" applyAlignment="1">
      <alignment vertical="center"/>
    </xf>
    <xf numFmtId="178" fontId="29" fillId="8" borderId="0" xfId="41" applyNumberFormat="1" applyFont="1" applyFill="1" applyAlignment="1">
      <alignment vertical="top"/>
    </xf>
    <xf numFmtId="0" fontId="50" fillId="0" borderId="0" xfId="44" applyFont="1" applyAlignment="1" applyProtection="1">
      <alignment vertical="top" wrapText="1"/>
    </xf>
    <xf numFmtId="0" fontId="61" fillId="0" borderId="0" xfId="41" applyFont="1" applyAlignment="1">
      <alignment vertical="top" wrapText="1"/>
    </xf>
    <xf numFmtId="0" fontId="93" fillId="0" borderId="0" xfId="41" applyFont="1" applyAlignment="1">
      <alignment vertical="top"/>
    </xf>
    <xf numFmtId="173" fontId="87" fillId="0" borderId="11" xfId="18" applyNumberFormat="1" applyFont="1" applyBorder="1" applyAlignment="1">
      <alignment horizontal="center"/>
    </xf>
    <xf numFmtId="173" fontId="87" fillId="0" borderId="0" xfId="18" applyNumberFormat="1" applyFont="1" applyAlignment="1">
      <alignment horizontal="center"/>
    </xf>
    <xf numFmtId="173" fontId="27" fillId="0" borderId="0" xfId="18" applyNumberFormat="1" applyFont="1" applyAlignment="1">
      <alignment horizontal="center"/>
    </xf>
    <xf numFmtId="0" fontId="72" fillId="10" borderId="0" xfId="0" applyFont="1" applyFill="1"/>
    <xf numFmtId="15" fontId="58" fillId="0" borderId="0" xfId="0" applyNumberFormat="1" applyFont="1" applyAlignment="1">
      <alignment horizontal="center"/>
    </xf>
    <xf numFmtId="0" fontId="49" fillId="0" borderId="0" xfId="0" applyFont="1"/>
    <xf numFmtId="0" fontId="58" fillId="0" borderId="0" xfId="0" applyFont="1" applyAlignment="1">
      <alignment horizontal="center" vertical="top"/>
    </xf>
    <xf numFmtId="0" fontId="62" fillId="0" borderId="0" xfId="0" applyFont="1" applyAlignment="1">
      <alignment horizontal="center" vertical="top"/>
    </xf>
    <xf numFmtId="0" fontId="23" fillId="0" borderId="2" xfId="0" quotePrefix="1" applyFont="1" applyBorder="1" applyAlignment="1">
      <alignment horizontal="left" vertical="center"/>
    </xf>
    <xf numFmtId="0" fontId="96" fillId="0" borderId="2" xfId="0" applyFont="1" applyBorder="1" applyAlignment="1">
      <alignment horizontal="center" vertical="center"/>
    </xf>
    <xf numFmtId="168"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xf>
    <xf numFmtId="3" fontId="24" fillId="0" borderId="0" xfId="0" applyNumberFormat="1" applyFont="1"/>
    <xf numFmtId="3" fontId="24" fillId="0" borderId="0" xfId="0" applyNumberFormat="1" applyFont="1" applyAlignment="1">
      <alignment horizontal="center"/>
    </xf>
    <xf numFmtId="3" fontId="23" fillId="0" borderId="7" xfId="0" applyNumberFormat="1" applyFont="1" applyBorder="1" applyAlignment="1">
      <alignment horizontal="center"/>
    </xf>
    <xf numFmtId="0" fontId="23" fillId="0" borderId="10" xfId="0" applyFont="1" applyBorder="1"/>
    <xf numFmtId="3" fontId="23" fillId="0" borderId="10" xfId="0" applyNumberFormat="1" applyFont="1" applyBorder="1" applyAlignment="1">
      <alignment horizontal="center"/>
    </xf>
    <xf numFmtId="0" fontId="23" fillId="0" borderId="2" xfId="0" quotePrefix="1" applyFont="1" applyBorder="1" applyAlignment="1">
      <alignment horizontal="left" wrapText="1"/>
    </xf>
    <xf numFmtId="3" fontId="24" fillId="0" borderId="2" xfId="0" applyNumberFormat="1" applyFont="1" applyBorder="1" applyAlignment="1">
      <alignment horizontal="center"/>
    </xf>
    <xf numFmtId="3" fontId="23" fillId="0" borderId="2" xfId="0" applyNumberFormat="1" applyFont="1" applyBorder="1" applyAlignment="1">
      <alignment horizontal="center"/>
    </xf>
    <xf numFmtId="0" fontId="23" fillId="0" borderId="8" xfId="0" quotePrefix="1" applyFont="1" applyBorder="1" applyAlignment="1">
      <alignment horizontal="left"/>
    </xf>
    <xf numFmtId="0" fontId="23" fillId="0" borderId="6" xfId="0" applyFont="1" applyBorder="1" applyAlignment="1">
      <alignment horizontal="left"/>
    </xf>
    <xf numFmtId="0" fontId="23" fillId="0" borderId="10" xfId="0" quotePrefix="1" applyFont="1" applyBorder="1" applyAlignment="1">
      <alignment horizontal="left"/>
    </xf>
    <xf numFmtId="3" fontId="99" fillId="0" borderId="10" xfId="0" applyNumberFormat="1" applyFont="1" applyBorder="1" applyAlignment="1">
      <alignment horizontal="center"/>
    </xf>
    <xf numFmtId="3" fontId="24" fillId="0" borderId="10" xfId="0" applyNumberFormat="1" applyFont="1" applyBorder="1" applyAlignment="1">
      <alignment horizontal="center"/>
    </xf>
    <xf numFmtId="0" fontId="22" fillId="0" borderId="0" xfId="0" quotePrefix="1" applyFont="1" applyAlignment="1">
      <alignment horizontal="justify" vertical="center"/>
    </xf>
    <xf numFmtId="0" fontId="25" fillId="0" borderId="0" xfId="0" quotePrefix="1" applyFont="1" applyAlignment="1">
      <alignment horizontal="left"/>
    </xf>
    <xf numFmtId="3" fontId="30" fillId="0" borderId="0" xfId="0" applyNumberFormat="1" applyFont="1"/>
    <xf numFmtId="3" fontId="30" fillId="0" borderId="0" xfId="0" applyNumberFormat="1" applyFont="1" applyAlignment="1">
      <alignment horizontal="center"/>
    </xf>
    <xf numFmtId="3" fontId="31" fillId="0" borderId="0" xfId="0" applyNumberFormat="1" applyFont="1" applyAlignment="1">
      <alignment horizontal="center"/>
    </xf>
    <xf numFmtId="3" fontId="22" fillId="0" borderId="0" xfId="0" applyNumberFormat="1" applyFont="1" applyAlignment="1">
      <alignment horizontal="center"/>
    </xf>
    <xf numFmtId="0" fontId="25" fillId="2" borderId="8" xfId="19" applyFont="1" applyFill="1" applyBorder="1" applyAlignment="1">
      <alignment horizontal="center"/>
    </xf>
    <xf numFmtId="0" fontId="22" fillId="7" borderId="3" xfId="19" applyFont="1" applyFill="1" applyBorder="1"/>
    <xf numFmtId="3" fontId="23" fillId="0" borderId="5" xfId="0" applyNumberFormat="1" applyFont="1" applyBorder="1"/>
    <xf numFmtId="3" fontId="24" fillId="0" borderId="5" xfId="0" applyNumberFormat="1" applyFont="1" applyBorder="1" applyAlignment="1">
      <alignment horizontal="center"/>
    </xf>
    <xf numFmtId="3" fontId="23" fillId="0" borderId="5" xfId="0" applyNumberFormat="1" applyFont="1" applyBorder="1" applyAlignment="1">
      <alignment horizontal="center"/>
    </xf>
    <xf numFmtId="0" fontId="23" fillId="0" borderId="2" xfId="0" quotePrefix="1" applyFont="1" applyBorder="1" applyAlignment="1">
      <alignment horizontal="left"/>
    </xf>
    <xf numFmtId="0" fontId="23" fillId="0" borderId="16" xfId="0" quotePrefix="1" applyFont="1" applyBorder="1" applyAlignment="1">
      <alignment horizontal="left"/>
    </xf>
    <xf numFmtId="3" fontId="23" fillId="0" borderId="16" xfId="0" applyNumberFormat="1" applyFont="1" applyBorder="1" applyAlignment="1">
      <alignment horizontal="center"/>
    </xf>
    <xf numFmtId="0" fontId="58" fillId="8" borderId="3" xfId="0" applyFont="1" applyFill="1" applyBorder="1"/>
    <xf numFmtId="171" fontId="61" fillId="0" borderId="0" xfId="0" applyNumberFormat="1" applyFont="1" applyAlignment="1">
      <alignment vertical="top"/>
    </xf>
    <xf numFmtId="168" fontId="61" fillId="0" borderId="0" xfId="0" applyNumberFormat="1" applyFont="1"/>
    <xf numFmtId="168" fontId="61" fillId="0" borderId="0" xfId="0" applyNumberFormat="1" applyFont="1" applyAlignment="1">
      <alignment vertical="top"/>
    </xf>
    <xf numFmtId="0" fontId="28" fillId="0" borderId="0" xfId="0" applyFont="1" applyAlignment="1">
      <alignment vertical="top"/>
    </xf>
    <xf numFmtId="171" fontId="57" fillId="0" borderId="0" xfId="11" applyNumberFormat="1" applyFont="1"/>
    <xf numFmtId="0" fontId="34" fillId="0" borderId="0" xfId="14" applyBorder="1" applyAlignment="1" applyProtection="1">
      <alignment vertical="center"/>
    </xf>
    <xf numFmtId="0" fontId="34" fillId="0" borderId="3" xfId="14" applyBorder="1" applyAlignment="1" applyProtection="1">
      <alignment vertical="center"/>
    </xf>
    <xf numFmtId="171" fontId="56" fillId="0" borderId="0" xfId="11" applyNumberFormat="1" applyAlignment="1">
      <alignment vertical="center"/>
    </xf>
    <xf numFmtId="0" fontId="58" fillId="3" borderId="0" xfId="0" applyFont="1" applyFill="1"/>
    <xf numFmtId="6" fontId="0" fillId="0" borderId="0" xfId="0" applyNumberFormat="1"/>
    <xf numFmtId="44" fontId="0" fillId="0" borderId="0" xfId="0" applyNumberFormat="1" applyAlignment="1">
      <alignment vertical="center"/>
    </xf>
    <xf numFmtId="44" fontId="56" fillId="0" borderId="0" xfId="11" applyAlignment="1">
      <alignment vertical="center"/>
    </xf>
    <xf numFmtId="171" fontId="0" fillId="0" borderId="0" xfId="0" applyNumberFormat="1" applyAlignment="1">
      <alignment vertical="center"/>
    </xf>
    <xf numFmtId="0" fontId="0" fillId="3" borderId="0" xfId="0" applyFill="1"/>
    <xf numFmtId="0" fontId="10" fillId="0" borderId="0" xfId="0" applyFont="1" applyAlignment="1">
      <alignment horizontal="right"/>
    </xf>
    <xf numFmtId="8" fontId="0" fillId="0" borderId="0" xfId="0" applyNumberFormat="1"/>
    <xf numFmtId="0" fontId="51" fillId="0" borderId="0" xfId="0" applyFont="1" applyAlignment="1">
      <alignment horizontal="right"/>
    </xf>
    <xf numFmtId="171" fontId="51" fillId="0" borderId="0" xfId="0" applyNumberFormat="1" applyFont="1"/>
    <xf numFmtId="0" fontId="0" fillId="0" borderId="0" xfId="0" applyAlignment="1">
      <alignment horizontal="left"/>
    </xf>
    <xf numFmtId="0" fontId="0" fillId="0" borderId="0" xfId="0" applyAlignment="1">
      <alignment horizontal="left" indent="3"/>
    </xf>
    <xf numFmtId="169" fontId="61" fillId="0" borderId="0" xfId="0" applyNumberFormat="1" applyFont="1"/>
    <xf numFmtId="0" fontId="56" fillId="0" borderId="0" xfId="48" applyFont="1"/>
    <xf numFmtId="0" fontId="0" fillId="0" borderId="0" xfId="48" applyFont="1"/>
    <xf numFmtId="169" fontId="58" fillId="0" borderId="0" xfId="48" applyNumberFormat="1" applyFont="1"/>
    <xf numFmtId="0" fontId="58" fillId="0" borderId="0" xfId="48" applyFont="1"/>
    <xf numFmtId="0" fontId="58" fillId="0" borderId="0" xfId="0" applyFont="1" applyAlignment="1">
      <alignment vertical="center" wrapText="1"/>
    </xf>
    <xf numFmtId="0" fontId="58" fillId="13" borderId="0" xfId="0" applyFont="1" applyFill="1" applyAlignment="1">
      <alignment vertical="center" wrapText="1"/>
    </xf>
    <xf numFmtId="44" fontId="56" fillId="0" borderId="0" xfId="11"/>
    <xf numFmtId="0" fontId="0" fillId="0" borderId="0" xfId="0" applyAlignment="1">
      <alignment horizontal="left" vertical="center"/>
    </xf>
    <xf numFmtId="0" fontId="57" fillId="9" borderId="0" xfId="0" applyFont="1" applyFill="1" applyAlignment="1">
      <alignment horizontal="left" vertical="center"/>
    </xf>
    <xf numFmtId="171" fontId="58" fillId="8" borderId="0" xfId="11" applyNumberFormat="1" applyFont="1" applyFill="1"/>
    <xf numFmtId="10" fontId="0" fillId="0" borderId="0" xfId="18" applyNumberFormat="1" applyFont="1"/>
    <xf numFmtId="0" fontId="37" fillId="0" borderId="0" xfId="13" applyFont="1"/>
    <xf numFmtId="44" fontId="28" fillId="0" borderId="0" xfId="43" applyFont="1" applyFill="1" applyBorder="1" applyAlignment="1">
      <alignment vertical="top"/>
    </xf>
    <xf numFmtId="0" fontId="92" fillId="0" borderId="3" xfId="41" applyFont="1" applyBorder="1" applyAlignment="1">
      <alignment vertical="top"/>
    </xf>
    <xf numFmtId="0" fontId="58" fillId="24" borderId="0" xfId="0" applyFont="1" applyFill="1" applyAlignment="1">
      <alignment horizontal="left" vertical="center" wrapText="1"/>
    </xf>
    <xf numFmtId="0" fontId="58" fillId="24" borderId="0" xfId="0" applyFont="1" applyFill="1" applyAlignment="1">
      <alignment horizontal="center" vertical="center" wrapText="1"/>
    </xf>
    <xf numFmtId="9" fontId="87" fillId="0" borderId="0" xfId="18" applyFont="1"/>
    <xf numFmtId="0" fontId="103" fillId="0" borderId="0" xfId="0" applyFont="1"/>
    <xf numFmtId="0" fontId="0" fillId="13" borderId="3" xfId="0" applyFill="1" applyBorder="1" applyAlignment="1">
      <alignment horizontal="center" vertical="center" wrapText="1"/>
    </xf>
    <xf numFmtId="0" fontId="58" fillId="0" borderId="0" xfId="0" applyFont="1" applyAlignment="1">
      <alignment horizontal="right" vertical="center" wrapText="1"/>
    </xf>
    <xf numFmtId="0" fontId="58" fillId="13" borderId="3" xfId="0" applyFont="1" applyFill="1" applyBorder="1" applyAlignment="1">
      <alignment horizontal="center" vertical="center" wrapText="1"/>
    </xf>
    <xf numFmtId="0" fontId="68" fillId="26" borderId="3" xfId="0" applyFont="1" applyFill="1" applyBorder="1" applyAlignment="1">
      <alignment horizontal="center" vertical="center" wrapText="1"/>
    </xf>
    <xf numFmtId="44" fontId="58" fillId="8" borderId="0" xfId="11" applyFont="1" applyFill="1"/>
    <xf numFmtId="44" fontId="56" fillId="8" borderId="0" xfId="1" applyNumberFormat="1" applyFont="1" applyFill="1"/>
    <xf numFmtId="171" fontId="87" fillId="0" borderId="0" xfId="11" applyNumberFormat="1" applyFont="1" applyFill="1"/>
    <xf numFmtId="171" fontId="0" fillId="0" borderId="0" xfId="18" applyNumberFormat="1" applyFont="1"/>
    <xf numFmtId="0" fontId="10" fillId="8" borderId="0" xfId="0" applyFont="1" applyFill="1" applyAlignment="1">
      <alignment horizontal="right"/>
    </xf>
    <xf numFmtId="0" fontId="104" fillId="0" borderId="0" xfId="0" applyFont="1" applyAlignment="1">
      <alignment horizontal="left"/>
    </xf>
    <xf numFmtId="0" fontId="51" fillId="27" borderId="0" xfId="0" applyFont="1" applyFill="1" applyAlignment="1">
      <alignment horizontal="right"/>
    </xf>
    <xf numFmtId="171" fontId="51" fillId="27" borderId="0" xfId="0" applyNumberFormat="1" applyFont="1" applyFill="1"/>
    <xf numFmtId="0" fontId="51" fillId="13" borderId="0" xfId="0" applyFont="1" applyFill="1" applyAlignment="1">
      <alignment horizontal="right"/>
    </xf>
    <xf numFmtId="171" fontId="51" fillId="13" borderId="0" xfId="0" applyNumberFormat="1" applyFont="1" applyFill="1"/>
    <xf numFmtId="0" fontId="58" fillId="27" borderId="0" xfId="0" applyFont="1" applyFill="1" applyAlignment="1">
      <alignment horizontal="left" vertical="center" wrapText="1"/>
    </xf>
    <xf numFmtId="0" fontId="29" fillId="0" borderId="0" xfId="0" applyFont="1" applyAlignment="1">
      <alignment vertical="center"/>
    </xf>
    <xf numFmtId="0" fontId="108" fillId="0" borderId="0" xfId="0" applyFont="1"/>
    <xf numFmtId="0" fontId="109" fillId="8" borderId="0" xfId="0" applyFont="1" applyFill="1" applyAlignment="1">
      <alignment horizontal="center"/>
    </xf>
    <xf numFmtId="0" fontId="108" fillId="0" borderId="0" xfId="0" applyFont="1" applyAlignment="1">
      <alignment horizontal="center"/>
    </xf>
    <xf numFmtId="169" fontId="108" fillId="0" borderId="0" xfId="0" applyNumberFormat="1" applyFont="1"/>
    <xf numFmtId="175" fontId="109" fillId="0" borderId="0" xfId="4" applyNumberFormat="1" applyFont="1"/>
    <xf numFmtId="0" fontId="109" fillId="0" borderId="0" xfId="0" applyFont="1"/>
    <xf numFmtId="175" fontId="110" fillId="0" borderId="0" xfId="17" applyNumberFormat="1" applyFont="1"/>
    <xf numFmtId="0" fontId="110" fillId="0" borderId="0" xfId="0" applyFont="1"/>
    <xf numFmtId="169" fontId="108" fillId="0" borderId="0" xfId="17" applyNumberFormat="1" applyFont="1"/>
    <xf numFmtId="0" fontId="108" fillId="3" borderId="0" xfId="0" applyFont="1" applyFill="1"/>
    <xf numFmtId="1" fontId="108" fillId="0" borderId="0" xfId="0" applyNumberFormat="1" applyFont="1" applyAlignment="1">
      <alignment horizontal="center"/>
    </xf>
    <xf numFmtId="2" fontId="108" fillId="0" borderId="0" xfId="0" applyNumberFormat="1" applyFont="1"/>
    <xf numFmtId="175" fontId="109" fillId="0" borderId="0" xfId="17" applyNumberFormat="1" applyFont="1"/>
    <xf numFmtId="174" fontId="108" fillId="0" borderId="0" xfId="17" applyNumberFormat="1" applyFont="1"/>
    <xf numFmtId="170" fontId="108" fillId="0" borderId="0" xfId="0" applyNumberFormat="1" applyFont="1"/>
    <xf numFmtId="169" fontId="108" fillId="17" borderId="0" xfId="0" applyNumberFormat="1" applyFont="1" applyFill="1"/>
    <xf numFmtId="1" fontId="108" fillId="17" borderId="0" xfId="0" applyNumberFormat="1" applyFont="1" applyFill="1"/>
    <xf numFmtId="175" fontId="110" fillId="0" borderId="0" xfId="4" applyNumberFormat="1" applyFont="1"/>
    <xf numFmtId="0" fontId="109" fillId="0" borderId="0" xfId="17" applyNumberFormat="1" applyFont="1"/>
    <xf numFmtId="0" fontId="108" fillId="0" borderId="0" xfId="48" applyFont="1"/>
    <xf numFmtId="169" fontId="109" fillId="0" borderId="0" xfId="48" applyNumberFormat="1" applyFont="1"/>
    <xf numFmtId="0" fontId="109" fillId="0" borderId="0" xfId="48" applyFont="1"/>
    <xf numFmtId="0" fontId="109" fillId="27" borderId="0" xfId="48" applyFont="1" applyFill="1"/>
    <xf numFmtId="0" fontId="111" fillId="0" borderId="0" xfId="0" applyFont="1" applyAlignment="1">
      <alignment vertical="top"/>
    </xf>
    <xf numFmtId="0" fontId="108" fillId="0" borderId="0" xfId="0" applyFont="1" applyAlignment="1">
      <alignment vertical="top"/>
    </xf>
    <xf numFmtId="0" fontId="108" fillId="25" borderId="0" xfId="0" applyFont="1" applyFill="1"/>
    <xf numFmtId="0" fontId="111" fillId="17" borderId="0" xfId="0" applyFont="1" applyFill="1" applyAlignment="1">
      <alignment vertical="top"/>
    </xf>
    <xf numFmtId="0" fontId="111" fillId="25" borderId="0" xfId="0" applyFont="1" applyFill="1" applyAlignment="1">
      <alignment vertical="top"/>
    </xf>
    <xf numFmtId="169" fontId="109" fillId="0" borderId="0" xfId="0" applyNumberFormat="1" applyFont="1" applyAlignment="1">
      <alignment vertical="top"/>
    </xf>
    <xf numFmtId="0" fontId="109" fillId="0" borderId="0" xfId="0" applyFont="1" applyAlignment="1">
      <alignment vertical="top"/>
    </xf>
    <xf numFmtId="0" fontId="109" fillId="27" borderId="0" xfId="0" applyFont="1" applyFill="1" applyAlignment="1">
      <alignment vertical="top"/>
    </xf>
    <xf numFmtId="0" fontId="108" fillId="25" borderId="0" xfId="0" applyFont="1" applyFill="1" applyAlignment="1">
      <alignment vertical="top"/>
    </xf>
    <xf numFmtId="0" fontId="112" fillId="28" borderId="0" xfId="0" applyFont="1" applyFill="1"/>
    <xf numFmtId="0" fontId="112" fillId="28" borderId="0" xfId="0" applyFont="1" applyFill="1" applyAlignment="1">
      <alignment wrapText="1"/>
    </xf>
    <xf numFmtId="0" fontId="112" fillId="29" borderId="0" xfId="0" applyFont="1" applyFill="1"/>
    <xf numFmtId="0" fontId="112" fillId="30" borderId="0" xfId="0" applyFont="1" applyFill="1"/>
    <xf numFmtId="0" fontId="113" fillId="31" borderId="0" xfId="0" applyFont="1" applyFill="1" applyAlignment="1">
      <alignment wrapText="1"/>
    </xf>
    <xf numFmtId="0" fontId="112" fillId="0" borderId="0" xfId="0" applyFont="1"/>
    <xf numFmtId="0" fontId="112" fillId="0" borderId="18" xfId="0" applyFont="1" applyBorder="1"/>
    <xf numFmtId="179" fontId="0" fillId="0" borderId="0" xfId="0" applyNumberFormat="1"/>
    <xf numFmtId="0" fontId="114" fillId="0" borderId="0" xfId="0" applyFont="1"/>
    <xf numFmtId="0" fontId="114" fillId="3" borderId="0" xfId="0" applyFont="1" applyFill="1"/>
    <xf numFmtId="0" fontId="0" fillId="27" borderId="0" xfId="0" applyFill="1"/>
    <xf numFmtId="0" fontId="114" fillId="27" borderId="0" xfId="0" applyFont="1" applyFill="1"/>
    <xf numFmtId="0" fontId="115" fillId="0" borderId="0" xfId="0" applyFont="1" applyAlignment="1">
      <alignment horizontal="right" vertical="top"/>
    </xf>
    <xf numFmtId="0" fontId="74" fillId="34" borderId="0" xfId="0" applyFont="1" applyFill="1"/>
    <xf numFmtId="0" fontId="0" fillId="34" borderId="0" xfId="0" applyFill="1"/>
    <xf numFmtId="0" fontId="0" fillId="32" borderId="0" xfId="0" applyFill="1"/>
    <xf numFmtId="0" fontId="10" fillId="0" borderId="19" xfId="0" applyFont="1" applyBorder="1" applyAlignment="1">
      <alignment horizontal="center"/>
    </xf>
    <xf numFmtId="0" fontId="10" fillId="35" borderId="19" xfId="0" applyFont="1" applyFill="1" applyBorder="1" applyAlignment="1">
      <alignment horizontal="center"/>
    </xf>
    <xf numFmtId="0" fontId="10" fillId="26" borderId="19" xfId="0" applyFont="1" applyFill="1" applyBorder="1" applyAlignment="1">
      <alignment horizontal="center"/>
    </xf>
    <xf numFmtId="0" fontId="10" fillId="36" borderId="19" xfId="0" applyFont="1" applyFill="1" applyBorder="1" applyAlignment="1">
      <alignment horizontal="center"/>
    </xf>
    <xf numFmtId="0" fontId="10" fillId="36" borderId="0" xfId="0" applyFont="1" applyFill="1" applyAlignment="1">
      <alignment horizontal="center"/>
    </xf>
    <xf numFmtId="0" fontId="10" fillId="0" borderId="20" xfId="0" applyFont="1" applyBorder="1" applyAlignment="1">
      <alignment horizontal="center" wrapText="1"/>
    </xf>
    <xf numFmtId="0" fontId="10" fillId="0" borderId="20" xfId="0" applyFont="1" applyBorder="1" applyAlignment="1">
      <alignment horizontal="center"/>
    </xf>
    <xf numFmtId="0" fontId="10" fillId="35" borderId="20" xfId="0" applyFont="1" applyFill="1" applyBorder="1" applyAlignment="1">
      <alignment horizontal="center" wrapText="1"/>
    </xf>
    <xf numFmtId="0" fontId="10" fillId="26" borderId="20" xfId="0" applyFont="1" applyFill="1" applyBorder="1" applyAlignment="1">
      <alignment horizontal="center" wrapText="1"/>
    </xf>
    <xf numFmtId="0" fontId="10" fillId="36" borderId="20" xfId="0" applyFont="1" applyFill="1" applyBorder="1" applyAlignment="1">
      <alignment horizontal="center" wrapText="1"/>
    </xf>
    <xf numFmtId="0" fontId="10" fillId="26" borderId="0" xfId="0" applyFont="1" applyFill="1" applyAlignment="1">
      <alignment horizontal="center" wrapText="1"/>
    </xf>
    <xf numFmtId="0" fontId="0" fillId="37" borderId="0" xfId="0" applyFill="1"/>
    <xf numFmtId="0" fontId="0" fillId="38" borderId="0" xfId="0" applyFill="1"/>
    <xf numFmtId="0" fontId="43" fillId="3" borderId="0" xfId="0" applyFont="1" applyFill="1"/>
    <xf numFmtId="0" fontId="0" fillId="35" borderId="0" xfId="0" applyFill="1"/>
    <xf numFmtId="0" fontId="116" fillId="35" borderId="0" xfId="0" applyFont="1" applyFill="1"/>
    <xf numFmtId="0" fontId="10" fillId="0" borderId="21" xfId="0" applyFont="1" applyBorder="1"/>
    <xf numFmtId="0" fontId="0" fillId="39" borderId="0" xfId="0" applyFill="1"/>
    <xf numFmtId="0" fontId="117" fillId="0" borderId="0" xfId="0" applyFont="1"/>
    <xf numFmtId="0" fontId="0" fillId="25" borderId="0" xfId="0" applyFill="1"/>
    <xf numFmtId="0" fontId="0" fillId="25" borderId="0" xfId="0" applyFill="1" applyAlignment="1">
      <alignment wrapText="1"/>
    </xf>
    <xf numFmtId="0" fontId="0" fillId="0" borderId="6" xfId="0" applyBorder="1" applyAlignment="1">
      <alignment wrapText="1"/>
    </xf>
    <xf numFmtId="0" fontId="10" fillId="0" borderId="0" xfId="0" applyFont="1" applyAlignment="1">
      <alignment wrapText="1"/>
    </xf>
    <xf numFmtId="0" fontId="10" fillId="0" borderId="6" xfId="0" applyFont="1" applyBorder="1" applyAlignment="1">
      <alignment wrapText="1"/>
    </xf>
    <xf numFmtId="0" fontId="10" fillId="40" borderId="8" xfId="0" applyFont="1" applyFill="1" applyBorder="1" applyAlignment="1">
      <alignment wrapText="1"/>
    </xf>
    <xf numFmtId="0" fontId="10" fillId="40" borderId="0" xfId="0" applyFont="1" applyFill="1" applyAlignment="1">
      <alignment wrapText="1"/>
    </xf>
    <xf numFmtId="44" fontId="0" fillId="0" borderId="0" xfId="11" applyFont="1" applyFill="1" applyAlignment="1">
      <alignment wrapText="1"/>
    </xf>
    <xf numFmtId="6" fontId="0" fillId="0" borderId="0" xfId="0" applyNumberFormat="1" applyAlignment="1">
      <alignment wrapText="1"/>
    </xf>
    <xf numFmtId="44" fontId="0" fillId="0" borderId="0" xfId="0" applyNumberFormat="1" applyAlignment="1">
      <alignment wrapText="1"/>
    </xf>
    <xf numFmtId="0" fontId="11" fillId="0" borderId="0" xfId="0" applyFont="1"/>
    <xf numFmtId="0" fontId="112" fillId="38" borderId="0" xfId="0" applyFont="1" applyFill="1"/>
    <xf numFmtId="171" fontId="0" fillId="19" borderId="0" xfId="11" applyNumberFormat="1" applyFont="1" applyFill="1" applyBorder="1" applyAlignment="1">
      <alignment horizontal="right" vertical="center" wrapText="1"/>
    </xf>
    <xf numFmtId="171" fontId="0" fillId="19" borderId="3" xfId="11" applyNumberFormat="1" applyFont="1" applyFill="1" applyBorder="1" applyAlignment="1">
      <alignment horizontal="right" vertical="center" wrapText="1"/>
    </xf>
    <xf numFmtId="0" fontId="119" fillId="0" borderId="0" xfId="0" applyFont="1"/>
    <xf numFmtId="0" fontId="120" fillId="0" borderId="0" xfId="0" applyFont="1"/>
    <xf numFmtId="0" fontId="122" fillId="43" borderId="0" xfId="0" applyFont="1" applyFill="1"/>
    <xf numFmtId="0" fontId="124" fillId="44" borderId="0" xfId="0" applyFont="1" applyFill="1" applyAlignment="1">
      <alignment horizontal="center" vertical="center"/>
    </xf>
    <xf numFmtId="16" fontId="58" fillId="45" borderId="22" xfId="0" applyNumberFormat="1" applyFont="1" applyFill="1" applyBorder="1" applyAlignment="1">
      <alignment vertical="center"/>
    </xf>
    <xf numFmtId="0" fontId="0" fillId="0" borderId="22" xfId="0" applyBorder="1"/>
    <xf numFmtId="0" fontId="125" fillId="47" borderId="22" xfId="0" applyFont="1" applyFill="1" applyBorder="1" applyAlignment="1">
      <alignment horizontal="left" vertical="center" indent="1"/>
    </xf>
    <xf numFmtId="180" fontId="0" fillId="0" borderId="22" xfId="11" applyNumberFormat="1" applyFont="1" applyBorder="1"/>
    <xf numFmtId="0" fontId="0" fillId="0" borderId="22" xfId="0" applyBorder="1" applyAlignment="1">
      <alignment vertical="center"/>
    </xf>
    <xf numFmtId="180" fontId="58" fillId="0" borderId="22" xfId="0" applyNumberFormat="1" applyFont="1" applyBorder="1"/>
    <xf numFmtId="180" fontId="56" fillId="0" borderId="22" xfId="11" applyNumberFormat="1" applyBorder="1"/>
    <xf numFmtId="0" fontId="58" fillId="45" borderId="22" xfId="0" applyFont="1" applyFill="1" applyBorder="1" applyAlignment="1">
      <alignment vertical="center"/>
    </xf>
    <xf numFmtId="16" fontId="58" fillId="45" borderId="22" xfId="0" applyNumberFormat="1" applyFont="1" applyFill="1" applyBorder="1" applyAlignment="1">
      <alignment horizontal="left" vertical="center" wrapText="1"/>
    </xf>
    <xf numFmtId="16" fontId="58" fillId="45" borderId="22" xfId="0" applyNumberFormat="1" applyFont="1" applyFill="1" applyBorder="1" applyAlignment="1">
      <alignment horizontal="left" vertical="center"/>
    </xf>
    <xf numFmtId="0" fontId="58" fillId="0" borderId="22" xfId="0" applyFont="1" applyBorder="1"/>
    <xf numFmtId="0" fontId="58" fillId="46" borderId="22" xfId="0" applyFont="1" applyFill="1" applyBorder="1" applyAlignment="1">
      <alignment vertical="center" wrapText="1"/>
    </xf>
    <xf numFmtId="0" fontId="0" fillId="0" borderId="22" xfId="0" applyBorder="1" applyAlignment="1">
      <alignment vertical="top" wrapText="1"/>
    </xf>
    <xf numFmtId="0" fontId="0" fillId="0" borderId="22" xfId="0" applyBorder="1" applyAlignment="1">
      <alignment vertical="center" wrapText="1"/>
    </xf>
    <xf numFmtId="0" fontId="126" fillId="47" borderId="22" xfId="0" applyFont="1" applyFill="1" applyBorder="1" applyAlignment="1">
      <alignment horizontal="left" vertical="center" indent="8"/>
    </xf>
    <xf numFmtId="0" fontId="0" fillId="48" borderId="22" xfId="0" applyFill="1" applyBorder="1" applyAlignment="1">
      <alignment vertical="center" wrapText="1"/>
    </xf>
    <xf numFmtId="0" fontId="0" fillId="0" borderId="22" xfId="0" applyBorder="1" applyAlignment="1">
      <alignment wrapText="1"/>
    </xf>
    <xf numFmtId="171" fontId="0" fillId="0" borderId="22" xfId="0" applyNumberFormat="1" applyBorder="1" applyAlignment="1">
      <alignment wrapText="1"/>
    </xf>
    <xf numFmtId="180" fontId="58" fillId="0" borderId="22" xfId="11" applyNumberFormat="1" applyFont="1" applyBorder="1"/>
    <xf numFmtId="0" fontId="58" fillId="0" borderId="22" xfId="0" applyFont="1" applyBorder="1" applyAlignment="1">
      <alignment wrapText="1"/>
    </xf>
    <xf numFmtId="180" fontId="0" fillId="13" borderId="22" xfId="0" applyNumberFormat="1" applyFill="1" applyBorder="1" applyAlignment="1">
      <alignment wrapText="1"/>
    </xf>
    <xf numFmtId="171" fontId="58" fillId="0" borderId="22" xfId="0" applyNumberFormat="1" applyFont="1" applyBorder="1"/>
    <xf numFmtId="180" fontId="0" fillId="0" borderId="22" xfId="0" applyNumberFormat="1" applyBorder="1"/>
    <xf numFmtId="0" fontId="58" fillId="19" borderId="0" xfId="0" applyFont="1" applyFill="1"/>
    <xf numFmtId="0" fontId="0" fillId="19" borderId="0" xfId="0" applyFill="1"/>
    <xf numFmtId="0" fontId="123" fillId="19" borderId="0" xfId="0" applyFont="1" applyFill="1"/>
    <xf numFmtId="0" fontId="121" fillId="19" borderId="0" xfId="0" applyFont="1" applyFill="1"/>
    <xf numFmtId="0" fontId="0" fillId="19" borderId="0" xfId="0" applyFill="1" applyAlignment="1">
      <alignment horizontal="right"/>
    </xf>
    <xf numFmtId="0" fontId="0" fillId="19" borderId="0" xfId="0" applyFill="1" applyAlignment="1">
      <alignment horizontal="center"/>
    </xf>
    <xf numFmtId="44" fontId="56" fillId="19" borderId="0" xfId="11" applyFill="1"/>
    <xf numFmtId="0" fontId="57" fillId="19" borderId="0" xfId="0" applyFont="1" applyFill="1" applyAlignment="1">
      <alignment horizontal="center"/>
    </xf>
    <xf numFmtId="0" fontId="0" fillId="0" borderId="25" xfId="0" applyBorder="1"/>
    <xf numFmtId="0" fontId="0" fillId="0" borderId="26" xfId="0" applyBorder="1"/>
    <xf numFmtId="171" fontId="127" fillId="0" borderId="24" xfId="0" applyNumberFormat="1" applyFont="1" applyBorder="1"/>
    <xf numFmtId="171" fontId="120" fillId="0" borderId="0" xfId="0" applyNumberFormat="1" applyFont="1"/>
    <xf numFmtId="0" fontId="0" fillId="19" borderId="0" xfId="0" applyFill="1" applyAlignment="1">
      <alignment horizontal="left"/>
    </xf>
    <xf numFmtId="0" fontId="128" fillId="0" borderId="0" xfId="0" applyFont="1"/>
    <xf numFmtId="171" fontId="128" fillId="8" borderId="0" xfId="0" applyNumberFormat="1" applyFont="1" applyFill="1"/>
    <xf numFmtId="171" fontId="59" fillId="0" borderId="0" xfId="0" applyNumberFormat="1" applyFont="1"/>
    <xf numFmtId="0" fontId="58" fillId="0" borderId="0" xfId="0" applyFont="1" applyAlignment="1">
      <alignment horizontal="center"/>
    </xf>
    <xf numFmtId="171" fontId="119" fillId="0" borderId="0" xfId="0" applyNumberFormat="1" applyFont="1"/>
    <xf numFmtId="0" fontId="129" fillId="0" borderId="0" xfId="0" applyFont="1"/>
    <xf numFmtId="171" fontId="130" fillId="0" borderId="0" xfId="0" applyNumberFormat="1" applyFont="1" applyAlignment="1">
      <alignment horizontal="right"/>
    </xf>
    <xf numFmtId="0" fontId="107" fillId="0" borderId="0" xfId="0" applyFont="1"/>
    <xf numFmtId="183" fontId="19" fillId="49" borderId="1" xfId="0" applyNumberFormat="1" applyFont="1" applyFill="1" applyBorder="1" applyAlignment="1">
      <alignment vertical="center"/>
    </xf>
    <xf numFmtId="183" fontId="19" fillId="0" borderId="1" xfId="0" applyNumberFormat="1" applyFont="1" applyBorder="1" applyAlignment="1">
      <alignment vertical="center"/>
    </xf>
    <xf numFmtId="0" fontId="34" fillId="0" borderId="0" xfId="14"/>
    <xf numFmtId="0" fontId="19" fillId="0" borderId="0" xfId="0" applyFont="1"/>
    <xf numFmtId="0" fontId="131" fillId="0" borderId="9" xfId="0" quotePrefix="1" applyFont="1" applyBorder="1" applyAlignment="1">
      <alignment horizontal="center" wrapText="1"/>
    </xf>
    <xf numFmtId="0" fontId="131" fillId="0" borderId="2" xfId="0" applyFont="1" applyBorder="1"/>
    <xf numFmtId="0" fontId="131" fillId="0" borderId="32" xfId="0" quotePrefix="1" applyFont="1" applyBorder="1" applyAlignment="1">
      <alignment horizontal="center" wrapText="1"/>
    </xf>
    <xf numFmtId="0" fontId="131" fillId="0" borderId="0" xfId="0" applyFont="1"/>
    <xf numFmtId="182" fontId="19" fillId="0" borderId="0" xfId="0" applyNumberFormat="1" applyFont="1"/>
    <xf numFmtId="49" fontId="19" fillId="49" borderId="1" xfId="0" applyNumberFormat="1" applyFont="1" applyFill="1" applyBorder="1" applyAlignment="1">
      <alignment vertical="center"/>
    </xf>
    <xf numFmtId="49" fontId="19" fillId="0" borderId="1" xfId="0" applyNumberFormat="1" applyFont="1" applyBorder="1" applyAlignment="1">
      <alignment vertical="center"/>
    </xf>
    <xf numFmtId="0" fontId="131" fillId="0" borderId="1" xfId="0" applyFont="1" applyBorder="1"/>
    <xf numFmtId="0" fontId="131" fillId="0" borderId="33" xfId="0" applyFont="1" applyBorder="1" applyAlignment="1">
      <alignment horizontal="center"/>
    </xf>
    <xf numFmtId="0" fontId="34" fillId="0" borderId="0" xfId="14" applyAlignment="1"/>
    <xf numFmtId="0" fontId="23" fillId="0" borderId="3" xfId="13" quotePrefix="1" applyFont="1" applyBorder="1" applyAlignment="1">
      <alignment horizontal="left"/>
    </xf>
    <xf numFmtId="0" fontId="23" fillId="0" borderId="8" xfId="13" quotePrefix="1" applyFont="1" applyBorder="1" applyAlignment="1">
      <alignment horizontal="left"/>
    </xf>
    <xf numFmtId="168" fontId="23" fillId="0" borderId="2" xfId="13" applyNumberFormat="1" applyFont="1" applyBorder="1" applyAlignment="1">
      <alignment horizontal="center"/>
    </xf>
    <xf numFmtId="3" fontId="23" fillId="0" borderId="2" xfId="13" quotePrefix="1" applyNumberFormat="1" applyFont="1" applyBorder="1" applyAlignment="1">
      <alignment horizontal="center"/>
    </xf>
    <xf numFmtId="168" fontId="23" fillId="0" borderId="8" xfId="13" applyNumberFormat="1" applyFont="1" applyBorder="1" applyAlignment="1">
      <alignment horizontal="center"/>
    </xf>
    <xf numFmtId="3" fontId="23" fillId="0" borderId="5" xfId="13" applyNumberFormat="1" applyFont="1" applyBorder="1"/>
    <xf numFmtId="3" fontId="24" fillId="0" borderId="5" xfId="13" applyNumberFormat="1" applyFont="1" applyBorder="1" applyAlignment="1">
      <alignment horizontal="center"/>
    </xf>
    <xf numFmtId="3" fontId="23" fillId="0" borderId="5" xfId="13" applyNumberFormat="1" applyFont="1" applyBorder="1" applyAlignment="1">
      <alignment horizontal="center"/>
    </xf>
    <xf numFmtId="43" fontId="25" fillId="0" borderId="0" xfId="17" applyFont="1"/>
    <xf numFmtId="43" fontId="23" fillId="0" borderId="0" xfId="17" applyFont="1"/>
    <xf numFmtId="43" fontId="22" fillId="0" borderId="3" xfId="17" applyFont="1" applyBorder="1"/>
    <xf numFmtId="43" fontId="37" fillId="0" borderId="0" xfId="17" applyFont="1" applyAlignment="1"/>
    <xf numFmtId="43" fontId="23" fillId="2" borderId="0" xfId="17" applyFont="1" applyFill="1"/>
    <xf numFmtId="43" fontId="24" fillId="2" borderId="3" xfId="17" applyFont="1" applyFill="1" applyBorder="1"/>
    <xf numFmtId="174" fontId="0" fillId="7" borderId="0" xfId="17" applyNumberFormat="1" applyFont="1" applyFill="1"/>
    <xf numFmtId="43" fontId="0" fillId="7" borderId="0" xfId="17" applyFont="1" applyFill="1"/>
    <xf numFmtId="174" fontId="58" fillId="7" borderId="0" xfId="17" applyNumberFormat="1" applyFont="1" applyFill="1"/>
    <xf numFmtId="0" fontId="34" fillId="0" borderId="0" xfId="14" applyAlignment="1">
      <alignment vertical="top"/>
    </xf>
    <xf numFmtId="182" fontId="133" fillId="0" borderId="0" xfId="0" applyNumberFormat="1" applyFont="1" applyProtection="1">
      <protection locked="0"/>
    </xf>
    <xf numFmtId="182" fontId="19" fillId="0" borderId="35" xfId="0" applyNumberFormat="1" applyFont="1" applyBorder="1"/>
    <xf numFmtId="0" fontId="131" fillId="51" borderId="35" xfId="0" quotePrefix="1" applyFont="1" applyFill="1" applyBorder="1" applyAlignment="1">
      <alignment horizontal="centerContinuous" vertical="center"/>
    </xf>
    <xf numFmtId="0" fontId="19" fillId="51" borderId="35" xfId="0" applyFont="1" applyFill="1" applyBorder="1" applyAlignment="1">
      <alignment horizontal="centerContinuous"/>
    </xf>
    <xf numFmtId="0" fontId="19" fillId="51" borderId="35" xfId="0" applyFont="1" applyFill="1" applyBorder="1"/>
    <xf numFmtId="0" fontId="19" fillId="51" borderId="0" xfId="0" applyFont="1" applyFill="1"/>
    <xf numFmtId="0" fontId="131" fillId="49" borderId="36" xfId="0" applyFont="1" applyFill="1" applyBorder="1" applyAlignment="1">
      <alignment horizontal="centerContinuous"/>
    </xf>
    <xf numFmtId="185" fontId="19" fillId="49" borderId="1" xfId="0" applyNumberFormat="1" applyFont="1" applyFill="1" applyBorder="1" applyAlignment="1">
      <alignment vertical="center"/>
    </xf>
    <xf numFmtId="185" fontId="19" fillId="0" borderId="1" xfId="0" applyNumberFormat="1" applyFont="1" applyBorder="1" applyAlignment="1">
      <alignment vertical="center"/>
    </xf>
    <xf numFmtId="49" fontId="19" fillId="0" borderId="0" xfId="0" applyNumberFormat="1" applyFont="1" applyAlignment="1">
      <alignment vertical="center"/>
    </xf>
    <xf numFmtId="184" fontId="19" fillId="0" borderId="0" xfId="0" applyNumberFormat="1" applyFont="1" applyAlignment="1">
      <alignment vertical="center"/>
    </xf>
    <xf numFmtId="185" fontId="19" fillId="0" borderId="0" xfId="0" applyNumberFormat="1" applyFont="1" applyAlignment="1">
      <alignment vertical="center"/>
    </xf>
    <xf numFmtId="49" fontId="19" fillId="49" borderId="1" xfId="0" quotePrefix="1" applyNumberFormat="1" applyFont="1" applyFill="1" applyBorder="1" applyAlignment="1">
      <alignment horizontal="left" vertical="center"/>
    </xf>
    <xf numFmtId="3" fontId="0" fillId="0" borderId="0" xfId="0" applyNumberFormat="1"/>
    <xf numFmtId="1" fontId="61" fillId="0" borderId="0" xfId="0" applyNumberFormat="1" applyFont="1"/>
    <xf numFmtId="0" fontId="62" fillId="0" borderId="0" xfId="0" applyFont="1"/>
    <xf numFmtId="0" fontId="109" fillId="8" borderId="0" xfId="0" applyFont="1" applyFill="1" applyAlignment="1">
      <alignment horizontal="left" vertical="center" wrapText="1"/>
    </xf>
    <xf numFmtId="0" fontId="109" fillId="0" borderId="0" xfId="0" applyFont="1" applyAlignment="1">
      <alignment horizontal="left" vertical="center" wrapText="1"/>
    </xf>
    <xf numFmtId="0" fontId="109" fillId="24" borderId="0" xfId="0" applyFont="1" applyFill="1" applyAlignment="1">
      <alignment horizontal="left" vertical="center" wrapText="1"/>
    </xf>
    <xf numFmtId="0" fontId="109" fillId="24" borderId="0" xfId="0" applyFont="1" applyFill="1" applyAlignment="1">
      <alignment horizontal="center" vertical="center" wrapText="1"/>
    </xf>
    <xf numFmtId="175" fontId="109" fillId="33" borderId="0" xfId="17" applyNumberFormat="1" applyFont="1" applyFill="1"/>
    <xf numFmtId="0" fontId="108" fillId="8" borderId="0" xfId="0" applyFont="1" applyFill="1" applyAlignment="1">
      <alignment horizontal="center"/>
    </xf>
    <xf numFmtId="175" fontId="108" fillId="0" borderId="0" xfId="0" applyNumberFormat="1" applyFont="1"/>
    <xf numFmtId="174" fontId="108" fillId="0" borderId="0" xfId="0" applyNumberFormat="1" applyFont="1"/>
    <xf numFmtId="0" fontId="108" fillId="0" borderId="0" xfId="0" applyFont="1" applyAlignment="1">
      <alignment vertical="center" wrapText="1"/>
    </xf>
    <xf numFmtId="0" fontId="109" fillId="0" borderId="0" xfId="0" applyFont="1" applyAlignment="1">
      <alignment horizontal="left" vertical="center"/>
    </xf>
    <xf numFmtId="0" fontId="136" fillId="0" borderId="0" xfId="0" applyFont="1"/>
    <xf numFmtId="0" fontId="108" fillId="0" borderId="0" xfId="0" applyFont="1" applyAlignment="1">
      <alignment horizontal="center" vertical="center" wrapText="1"/>
    </xf>
    <xf numFmtId="0" fontId="108" fillId="13" borderId="0" xfId="0" applyFont="1" applyFill="1" applyAlignment="1">
      <alignment horizontal="center" vertical="center" wrapText="1"/>
    </xf>
    <xf numFmtId="169" fontId="62" fillId="0" borderId="0" xfId="0" applyNumberFormat="1" applyFont="1"/>
    <xf numFmtId="171" fontId="58" fillId="0" borderId="0" xfId="11" applyNumberFormat="1" applyFont="1" applyFill="1" applyAlignment="1">
      <alignment horizontal="left" indent="2"/>
    </xf>
    <xf numFmtId="0" fontId="0" fillId="0" borderId="0" xfId="17" applyNumberFormat="1" applyFont="1"/>
    <xf numFmtId="0" fontId="109" fillId="3" borderId="0" xfId="0" applyFont="1" applyFill="1"/>
    <xf numFmtId="0" fontId="0" fillId="41" borderId="0" xfId="0" applyFill="1"/>
    <xf numFmtId="171" fontId="0" fillId="41" borderId="0" xfId="0" applyNumberFormat="1" applyFill="1"/>
    <xf numFmtId="0" fontId="58" fillId="0" borderId="0" xfId="0" applyFont="1" applyAlignment="1">
      <alignment horizontal="right"/>
    </xf>
    <xf numFmtId="44" fontId="58" fillId="0" borderId="0" xfId="11" applyFont="1" applyFill="1" applyBorder="1" applyAlignment="1">
      <alignment horizontal="left" indent="1"/>
    </xf>
    <xf numFmtId="0" fontId="56" fillId="0" borderId="0" xfId="48" applyFont="1" applyAlignment="1">
      <alignment vertical="top"/>
    </xf>
    <xf numFmtId="0" fontId="137" fillId="0" borderId="0" xfId="0" applyFont="1"/>
    <xf numFmtId="0" fontId="138" fillId="0" borderId="0" xfId="0" applyFont="1" applyAlignment="1">
      <alignment horizontal="left" vertical="center" wrapText="1"/>
    </xf>
    <xf numFmtId="0" fontId="138" fillId="0" borderId="0" xfId="0" applyFont="1" applyAlignment="1">
      <alignment horizontal="left" vertical="center"/>
    </xf>
    <xf numFmtId="0" fontId="137" fillId="0" borderId="0" xfId="0" applyFont="1" applyAlignment="1">
      <alignment horizontal="center" vertical="center" wrapText="1"/>
    </xf>
    <xf numFmtId="0" fontId="137" fillId="13" borderId="0" xfId="0" applyFont="1" applyFill="1" applyAlignment="1">
      <alignment horizontal="center" vertical="center" wrapText="1"/>
    </xf>
    <xf numFmtId="0" fontId="137" fillId="0" borderId="0" xfId="48" applyFont="1"/>
    <xf numFmtId="0" fontId="137" fillId="0" borderId="0" xfId="0" applyFont="1" applyAlignment="1">
      <alignment vertical="top"/>
    </xf>
    <xf numFmtId="0" fontId="137" fillId="0" borderId="0" xfId="48" applyFont="1" applyAlignment="1">
      <alignment vertical="top"/>
    </xf>
    <xf numFmtId="169" fontId="138" fillId="0" borderId="0" xfId="48" applyNumberFormat="1" applyFont="1"/>
    <xf numFmtId="0" fontId="138" fillId="0" borderId="0" xfId="48" applyFont="1"/>
    <xf numFmtId="0" fontId="138" fillId="27" borderId="0" xfId="48" applyFont="1" applyFill="1"/>
    <xf numFmtId="0" fontId="139" fillId="0" borderId="0" xfId="0" applyFont="1" applyAlignment="1">
      <alignment vertical="top"/>
    </xf>
    <xf numFmtId="0" fontId="139" fillId="5" borderId="0" xfId="0" applyFont="1" applyFill="1" applyAlignment="1">
      <alignment vertical="top"/>
    </xf>
    <xf numFmtId="0" fontId="137" fillId="25" borderId="0" xfId="0" applyFont="1" applyFill="1"/>
    <xf numFmtId="0" fontId="139" fillId="25" borderId="0" xfId="0" applyFont="1" applyFill="1" applyAlignment="1">
      <alignment vertical="top"/>
    </xf>
    <xf numFmtId="0" fontId="138" fillId="0" borderId="0" xfId="0" applyFont="1"/>
    <xf numFmtId="169" fontId="138" fillId="0" borderId="0" xfId="0" applyNumberFormat="1" applyFont="1" applyAlignment="1">
      <alignment vertical="top"/>
    </xf>
    <xf numFmtId="0" fontId="138" fillId="0" borderId="0" xfId="0" applyFont="1" applyAlignment="1">
      <alignment vertical="top"/>
    </xf>
    <xf numFmtId="0" fontId="138" fillId="27" borderId="0" xfId="0" applyFont="1" applyFill="1" applyAlignment="1">
      <alignment vertical="top"/>
    </xf>
    <xf numFmtId="0" fontId="137" fillId="25" borderId="0" xfId="0" applyFont="1" applyFill="1" applyAlignment="1">
      <alignment vertical="top"/>
    </xf>
    <xf numFmtId="169" fontId="137" fillId="0" borderId="0" xfId="0" applyNumberFormat="1" applyFont="1"/>
    <xf numFmtId="0" fontId="0" fillId="56" borderId="40" xfId="18" applyNumberFormat="1" applyFont="1" applyFill="1" applyBorder="1" applyAlignment="1">
      <alignment horizontal="center"/>
    </xf>
    <xf numFmtId="0" fontId="0" fillId="5" borderId="41" xfId="0" applyFill="1" applyBorder="1" applyAlignment="1">
      <alignment horizontal="center"/>
    </xf>
    <xf numFmtId="0" fontId="0" fillId="3" borderId="40" xfId="0" applyFill="1" applyBorder="1" applyAlignment="1">
      <alignment horizontal="left"/>
    </xf>
    <xf numFmtId="0" fontId="0" fillId="55" borderId="40" xfId="76" applyNumberFormat="1" applyFont="1" applyBorder="1" applyAlignment="1">
      <alignment horizontal="center"/>
    </xf>
    <xf numFmtId="0" fontId="0" fillId="5" borderId="40" xfId="0" applyFill="1" applyBorder="1" applyAlignment="1">
      <alignment horizontal="center"/>
    </xf>
    <xf numFmtId="0" fontId="0" fillId="5" borderId="40" xfId="18" applyNumberFormat="1" applyFont="1" applyFill="1" applyBorder="1" applyAlignment="1">
      <alignment horizontal="center"/>
    </xf>
    <xf numFmtId="0" fontId="0" fillId="56" borderId="41" xfId="0" applyFill="1" applyBorder="1" applyAlignment="1">
      <alignment horizontal="center"/>
    </xf>
    <xf numFmtId="0" fontId="0" fillId="57" borderId="40" xfId="0" applyFill="1" applyBorder="1" applyAlignment="1">
      <alignment horizontal="left"/>
    </xf>
    <xf numFmtId="0" fontId="0" fillId="56" borderId="40" xfId="0" applyFill="1" applyBorder="1" applyAlignment="1">
      <alignment horizontal="center"/>
    </xf>
    <xf numFmtId="0" fontId="0" fillId="59" borderId="40" xfId="0" applyFill="1" applyBorder="1" applyAlignment="1">
      <alignment horizontal="left"/>
    </xf>
    <xf numFmtId="0" fontId="0" fillId="53" borderId="40" xfId="0" applyFill="1" applyBorder="1" applyAlignment="1">
      <alignment horizontal="left"/>
    </xf>
    <xf numFmtId="0" fontId="0" fillId="55" borderId="42" xfId="76" applyNumberFormat="1" applyFont="1" applyBorder="1" applyAlignment="1">
      <alignment horizontal="center"/>
    </xf>
    <xf numFmtId="0" fontId="0" fillId="53" borderId="44" xfId="0" applyFill="1" applyBorder="1"/>
    <xf numFmtId="0" fontId="0" fillId="53" borderId="18" xfId="0" applyFill="1" applyBorder="1"/>
    <xf numFmtId="0" fontId="0" fillId="56" borderId="42" xfId="18" applyNumberFormat="1" applyFont="1" applyFill="1" applyBorder="1" applyAlignment="1">
      <alignment horizontal="center"/>
    </xf>
    <xf numFmtId="0" fontId="0" fillId="56" borderId="42" xfId="0" applyFill="1" applyBorder="1" applyAlignment="1">
      <alignment horizontal="center"/>
    </xf>
    <xf numFmtId="0" fontId="0" fillId="61" borderId="42" xfId="0" applyFill="1" applyBorder="1" applyAlignment="1">
      <alignment horizontal="left"/>
    </xf>
    <xf numFmtId="0" fontId="0" fillId="28" borderId="42" xfId="0" applyFill="1" applyBorder="1"/>
    <xf numFmtId="0" fontId="0" fillId="56" borderId="46" xfId="0" applyFill="1" applyBorder="1" applyAlignment="1">
      <alignment horizontal="center"/>
    </xf>
    <xf numFmtId="0" fontId="61" fillId="0" borderId="0" xfId="0" applyFont="1" applyAlignment="1">
      <alignment horizontal="center"/>
    </xf>
    <xf numFmtId="186" fontId="61" fillId="0" borderId="0" xfId="17" applyNumberFormat="1" applyFont="1" applyFill="1" applyBorder="1" applyAlignment="1">
      <alignment horizontal="center"/>
    </xf>
    <xf numFmtId="9" fontId="23" fillId="0" borderId="0" xfId="18" applyFont="1" applyFill="1" applyBorder="1" applyAlignment="1">
      <alignment horizontal="center" vertical="center" wrapText="1"/>
    </xf>
    <xf numFmtId="0" fontId="61" fillId="0" borderId="0" xfId="18" applyNumberFormat="1" applyFont="1" applyFill="1" applyBorder="1" applyAlignment="1">
      <alignment horizontal="center"/>
    </xf>
    <xf numFmtId="9" fontId="61" fillId="0" borderId="0" xfId="18" applyFont="1" applyFill="1" applyBorder="1" applyAlignment="1">
      <alignment horizontal="right"/>
    </xf>
    <xf numFmtId="186" fontId="23" fillId="0" borderId="0" xfId="0" applyNumberFormat="1" applyFont="1"/>
    <xf numFmtId="9" fontId="23" fillId="0" borderId="0" xfId="18" applyFont="1" applyFill="1" applyBorder="1"/>
    <xf numFmtId="0" fontId="0" fillId="56" borderId="45" xfId="18" applyNumberFormat="1" applyFont="1" applyFill="1" applyBorder="1" applyAlignment="1">
      <alignment horizontal="center"/>
    </xf>
    <xf numFmtId="0" fontId="0" fillId="53" borderId="0" xfId="0" applyFill="1"/>
    <xf numFmtId="0" fontId="0" fillId="53" borderId="0" xfId="0" applyFill="1" applyAlignment="1">
      <alignment horizontal="right"/>
    </xf>
    <xf numFmtId="0" fontId="0" fillId="53" borderId="0" xfId="0" applyFill="1" applyAlignment="1">
      <alignment horizontal="center"/>
    </xf>
    <xf numFmtId="0" fontId="55" fillId="0" borderId="0" xfId="0" applyFont="1" applyAlignment="1">
      <alignment horizontal="right"/>
    </xf>
    <xf numFmtId="0" fontId="55" fillId="0" borderId="0" xfId="0" applyFont="1" applyAlignment="1">
      <alignment horizontal="center"/>
    </xf>
    <xf numFmtId="0" fontId="23" fillId="54" borderId="47" xfId="75" applyFont="1" applyBorder="1" applyAlignment="1">
      <alignment horizontal="center" vertical="center" wrapText="1"/>
    </xf>
    <xf numFmtId="9" fontId="23" fillId="54" borderId="47" xfId="18" applyFont="1" applyFill="1" applyBorder="1" applyAlignment="1">
      <alignment horizontal="center" vertical="center" wrapText="1"/>
    </xf>
    <xf numFmtId="9" fontId="23" fillId="54" borderId="48" xfId="18" applyFont="1" applyFill="1" applyBorder="1" applyAlignment="1">
      <alignment horizontal="center" vertical="center" wrapText="1"/>
    </xf>
    <xf numFmtId="0" fontId="0" fillId="28" borderId="40" xfId="0" applyFill="1" applyBorder="1"/>
    <xf numFmtId="0" fontId="0" fillId="56" borderId="43" xfId="18" applyNumberFormat="1" applyFont="1" applyFill="1" applyBorder="1" applyAlignment="1">
      <alignment horizontal="center"/>
    </xf>
    <xf numFmtId="0" fontId="0" fillId="0" borderId="40" xfId="0" applyBorder="1"/>
    <xf numFmtId="0" fontId="0" fillId="5" borderId="43" xfId="18" applyNumberFormat="1" applyFont="1" applyFill="1" applyBorder="1" applyAlignment="1">
      <alignment horizontal="center"/>
    </xf>
    <xf numFmtId="0" fontId="0" fillId="58" borderId="40" xfId="0" applyFill="1" applyBorder="1" applyAlignment="1">
      <alignment horizontal="left"/>
    </xf>
    <xf numFmtId="9" fontId="0" fillId="0" borderId="0" xfId="18" applyFont="1"/>
    <xf numFmtId="0" fontId="0" fillId="8" borderId="6" xfId="0" applyFill="1" applyBorder="1"/>
    <xf numFmtId="0" fontId="10" fillId="8" borderId="50" xfId="0" applyFont="1" applyFill="1" applyBorder="1"/>
    <xf numFmtId="39" fontId="0" fillId="0" borderId="0" xfId="0" applyNumberFormat="1"/>
    <xf numFmtId="174" fontId="0" fillId="0" borderId="0" xfId="17" applyNumberFormat="1" applyFont="1" applyFill="1" applyBorder="1"/>
    <xf numFmtId="43" fontId="0" fillId="0" borderId="0" xfId="17" applyFont="1" applyFill="1" applyBorder="1"/>
    <xf numFmtId="171" fontId="56" fillId="0" borderId="0" xfId="11" applyNumberFormat="1" applyFill="1"/>
    <xf numFmtId="0" fontId="10" fillId="8" borderId="49" xfId="0" applyFont="1" applyFill="1" applyBorder="1"/>
    <xf numFmtId="43" fontId="107" fillId="0" borderId="0" xfId="0" applyNumberFormat="1" applyFont="1" applyAlignment="1">
      <alignment vertical="center" wrapText="1"/>
    </xf>
    <xf numFmtId="171" fontId="73" fillId="0" borderId="0" xfId="11" applyNumberFormat="1" applyFont="1" applyFill="1" applyBorder="1" applyAlignment="1">
      <alignment horizontal="right" vertical="center" wrapText="1"/>
    </xf>
    <xf numFmtId="175" fontId="73" fillId="0" borderId="0" xfId="17" applyNumberFormat="1" applyFont="1" applyFill="1" applyBorder="1" applyAlignment="1">
      <alignment horizontal="right" vertical="center" wrapText="1"/>
    </xf>
    <xf numFmtId="43" fontId="73" fillId="0" borderId="0" xfId="0" applyNumberFormat="1" applyFont="1" applyAlignment="1">
      <alignment vertical="center" wrapText="1"/>
    </xf>
    <xf numFmtId="44" fontId="73" fillId="0" borderId="0" xfId="11" applyFont="1" applyFill="1" applyBorder="1" applyAlignment="1">
      <alignment horizontal="right" vertical="center" wrapText="1"/>
    </xf>
    <xf numFmtId="171" fontId="58" fillId="2" borderId="0" xfId="11" applyNumberFormat="1" applyFont="1" applyFill="1" applyAlignment="1">
      <alignment horizontal="left" indent="1"/>
    </xf>
    <xf numFmtId="171" fontId="0" fillId="2" borderId="0" xfId="0" applyNumberFormat="1" applyFill="1"/>
    <xf numFmtId="0" fontId="58" fillId="2" borderId="0" xfId="0" applyFont="1" applyFill="1" applyAlignment="1">
      <alignment horizontal="left" vertical="center" wrapText="1"/>
    </xf>
    <xf numFmtId="171" fontId="58" fillId="10" borderId="0" xfId="11" applyNumberFormat="1" applyFont="1" applyFill="1" applyAlignment="1">
      <alignment horizontal="left" indent="1"/>
    </xf>
    <xf numFmtId="171" fontId="58" fillId="10" borderId="0" xfId="11" applyNumberFormat="1" applyFont="1" applyFill="1" applyAlignment="1">
      <alignment horizontal="left" indent="2"/>
    </xf>
    <xf numFmtId="0" fontId="63" fillId="2" borderId="0" xfId="0" applyFont="1" applyFill="1" applyAlignment="1">
      <alignment horizontal="center" vertical="center"/>
    </xf>
    <xf numFmtId="44" fontId="58" fillId="2" borderId="0" xfId="11" applyFont="1" applyFill="1" applyAlignment="1">
      <alignment horizontal="left" indent="1"/>
    </xf>
    <xf numFmtId="44" fontId="58" fillId="2" borderId="0" xfId="11" applyFont="1" applyFill="1" applyAlignment="1">
      <alignment horizontal="left" indent="2"/>
    </xf>
    <xf numFmtId="44" fontId="58" fillId="10" borderId="0" xfId="11" applyFont="1" applyFill="1" applyAlignment="1">
      <alignment horizontal="left" indent="1"/>
    </xf>
    <xf numFmtId="44" fontId="58" fillId="24" borderId="0" xfId="11" applyFont="1" applyFill="1" applyAlignment="1">
      <alignment horizontal="left" indent="1"/>
    </xf>
    <xf numFmtId="0" fontId="58" fillId="2" borderId="3" xfId="0" applyFont="1" applyFill="1" applyBorder="1" applyAlignment="1">
      <alignment horizontal="center" vertical="center"/>
    </xf>
    <xf numFmtId="44" fontId="58" fillId="2" borderId="0" xfId="0" applyNumberFormat="1" applyFont="1" applyFill="1" applyAlignment="1">
      <alignment horizontal="left" indent="1"/>
    </xf>
    <xf numFmtId="0" fontId="58" fillId="2" borderId="0" xfId="0" applyFont="1" applyFill="1" applyAlignment="1">
      <alignment horizontal="center" vertical="center"/>
    </xf>
    <xf numFmtId="44" fontId="58" fillId="2" borderId="0" xfId="11" applyFont="1" applyFill="1"/>
    <xf numFmtId="174" fontId="58" fillId="10" borderId="0" xfId="17" applyNumberFormat="1" applyFont="1" applyFill="1" applyAlignment="1">
      <alignment horizontal="left" indent="1"/>
    </xf>
    <xf numFmtId="44" fontId="58" fillId="10" borderId="0" xfId="11" applyFont="1" applyFill="1"/>
    <xf numFmtId="44" fontId="58" fillId="24" borderId="0" xfId="11" applyFont="1" applyFill="1"/>
    <xf numFmtId="37" fontId="0" fillId="0" borderId="0" xfId="0" applyNumberFormat="1" applyAlignment="1">
      <alignment vertical="top" wrapText="1"/>
    </xf>
    <xf numFmtId="0" fontId="0" fillId="24" borderId="0" xfId="0" applyFill="1"/>
    <xf numFmtId="0" fontId="58" fillId="9" borderId="0" xfId="48" applyFont="1" applyFill="1"/>
    <xf numFmtId="169" fontId="28" fillId="0" borderId="0" xfId="41" applyNumberFormat="1" applyAlignment="1">
      <alignment vertical="top"/>
    </xf>
    <xf numFmtId="0" fontId="11" fillId="0" borderId="0" xfId="1"/>
    <xf numFmtId="3" fontId="61" fillId="8" borderId="0" xfId="42" applyNumberFormat="1" applyFont="1" applyFill="1"/>
    <xf numFmtId="171" fontId="56" fillId="8" borderId="0" xfId="43" applyNumberFormat="1" applyFont="1" applyFill="1" applyBorder="1" applyAlignment="1">
      <alignment horizontal="center" vertical="center" wrapText="1"/>
    </xf>
    <xf numFmtId="171" fontId="61" fillId="8" borderId="0" xfId="43" applyNumberFormat="1" applyFont="1" applyFill="1" applyBorder="1" applyAlignment="1">
      <alignment vertical="top"/>
    </xf>
    <xf numFmtId="1" fontId="58" fillId="8" borderId="0" xfId="0" applyNumberFormat="1" applyFont="1" applyFill="1" applyAlignment="1">
      <alignment horizontal="center"/>
    </xf>
    <xf numFmtId="0" fontId="107" fillId="0" borderId="0" xfId="0" applyFont="1" applyAlignment="1">
      <alignment horizontal="right"/>
    </xf>
    <xf numFmtId="44" fontId="107" fillId="0" borderId="0" xfId="0" applyNumberFormat="1" applyFont="1"/>
    <xf numFmtId="16" fontId="107" fillId="0" borderId="0" xfId="0" applyNumberFormat="1" applyFont="1" applyAlignment="1">
      <alignment horizontal="right"/>
    </xf>
    <xf numFmtId="0" fontId="73" fillId="0" borderId="0" xfId="0" applyFont="1" applyAlignment="1">
      <alignment horizontal="right"/>
    </xf>
    <xf numFmtId="44" fontId="73" fillId="0" borderId="0" xfId="0" applyNumberFormat="1" applyFont="1"/>
    <xf numFmtId="44" fontId="0" fillId="0" borderId="29" xfId="0" applyNumberFormat="1" applyBorder="1"/>
    <xf numFmtId="44" fontId="56" fillId="0" borderId="0" xfId="11" applyFill="1"/>
    <xf numFmtId="0" fontId="140" fillId="0" borderId="0" xfId="0" applyFont="1"/>
    <xf numFmtId="0" fontId="140" fillId="0" borderId="0" xfId="0" applyFont="1" applyAlignment="1">
      <alignment horizontal="center" wrapText="1"/>
    </xf>
    <xf numFmtId="0" fontId="142" fillId="27" borderId="0" xfId="0" applyFont="1" applyFill="1" applyAlignment="1">
      <alignment horizontal="left" wrapText="1"/>
    </xf>
    <xf numFmtId="171" fontId="83" fillId="0" borderId="3" xfId="11" applyNumberFormat="1" applyFont="1" applyFill="1" applyBorder="1" applyAlignment="1">
      <alignment vertical="center"/>
    </xf>
    <xf numFmtId="171" fontId="58" fillId="2" borderId="0" xfId="11" applyNumberFormat="1" applyFont="1" applyFill="1"/>
    <xf numFmtId="171" fontId="58" fillId="24" borderId="0" xfId="11" applyNumberFormat="1" applyFont="1" applyFill="1"/>
    <xf numFmtId="171" fontId="58" fillId="24" borderId="0" xfId="0" applyNumberFormat="1" applyFont="1" applyFill="1"/>
    <xf numFmtId="171" fontId="58" fillId="0" borderId="0" xfId="11" applyNumberFormat="1" applyFont="1" applyFill="1" applyBorder="1"/>
    <xf numFmtId="0" fontId="58" fillId="24" borderId="3" xfId="0" applyFont="1" applyFill="1" applyBorder="1" applyAlignment="1">
      <alignment horizontal="center" vertical="center" wrapText="1"/>
    </xf>
    <xf numFmtId="44" fontId="58" fillId="24" borderId="0" xfId="0" applyNumberFormat="1" applyFont="1" applyFill="1"/>
    <xf numFmtId="44" fontId="56" fillId="24" borderId="0" xfId="11" applyFill="1"/>
    <xf numFmtId="44" fontId="58" fillId="24" borderId="3" xfId="0" applyNumberFormat="1" applyFont="1" applyFill="1" applyBorder="1" applyAlignment="1">
      <alignment horizontal="center" vertical="center" wrapText="1"/>
    </xf>
    <xf numFmtId="0" fontId="58" fillId="24" borderId="0" xfId="0" applyFont="1" applyFill="1" applyAlignment="1">
      <alignment horizontal="center" vertical="center"/>
    </xf>
    <xf numFmtId="0" fontId="63" fillId="10" borderId="0" xfId="0" applyFont="1" applyFill="1" applyAlignment="1">
      <alignment horizontal="center" vertical="center"/>
    </xf>
    <xf numFmtId="44" fontId="58" fillId="10" borderId="0" xfId="11" applyFont="1" applyFill="1" applyAlignment="1">
      <alignment horizontal="left" indent="2"/>
    </xf>
    <xf numFmtId="0" fontId="0" fillId="64" borderId="0" xfId="0" applyFill="1"/>
    <xf numFmtId="169" fontId="0" fillId="64" borderId="0" xfId="0" applyNumberFormat="1" applyFill="1"/>
    <xf numFmtId="0" fontId="0" fillId="8" borderId="49" xfId="0" applyFill="1" applyBorder="1" applyAlignment="1">
      <alignment horizontal="right" vertical="center" wrapText="1"/>
    </xf>
    <xf numFmtId="0" fontId="0" fillId="8" borderId="49" xfId="0" applyFill="1" applyBorder="1" applyAlignment="1">
      <alignment horizontal="right"/>
    </xf>
    <xf numFmtId="0" fontId="21" fillId="0" borderId="58" xfId="0" applyFont="1" applyBorder="1"/>
    <xf numFmtId="0" fontId="0" fillId="0" borderId="58" xfId="0" applyBorder="1"/>
    <xf numFmtId="0" fontId="0" fillId="5" borderId="0" xfId="0" applyFill="1"/>
    <xf numFmtId="0" fontId="0" fillId="5" borderId="0" xfId="0" applyFill="1" applyAlignment="1">
      <alignment horizontal="left" vertical="top" indent="2"/>
    </xf>
    <xf numFmtId="0" fontId="0" fillId="0" borderId="51" xfId="0" applyBorder="1"/>
    <xf numFmtId="0" fontId="0" fillId="5" borderId="58" xfId="0" applyFill="1" applyBorder="1"/>
    <xf numFmtId="0" fontId="0" fillId="5" borderId="67" xfId="0" applyFill="1" applyBorder="1"/>
    <xf numFmtId="0" fontId="21" fillId="0" borderId="60" xfId="0" applyFont="1" applyBorder="1"/>
    <xf numFmtId="0" fontId="0" fillId="0" borderId="61" xfId="0" applyBorder="1"/>
    <xf numFmtId="0" fontId="0" fillId="0" borderId="62" xfId="0" applyBorder="1"/>
    <xf numFmtId="0" fontId="0" fillId="0" borderId="63" xfId="0" applyBorder="1"/>
    <xf numFmtId="0" fontId="0" fillId="0" borderId="68" xfId="0" applyBorder="1"/>
    <xf numFmtId="0" fontId="0" fillId="0" borderId="69" xfId="0" applyBorder="1"/>
    <xf numFmtId="0" fontId="0" fillId="0" borderId="59" xfId="0" applyBorder="1"/>
    <xf numFmtId="0" fontId="0" fillId="5" borderId="55" xfId="0" applyFill="1" applyBorder="1" applyAlignment="1">
      <alignment vertical="top"/>
    </xf>
    <xf numFmtId="0" fontId="0" fillId="5" borderId="52" xfId="0" applyFill="1" applyBorder="1"/>
    <xf numFmtId="0" fontId="0" fillId="5" borderId="56" xfId="0" applyFill="1" applyBorder="1"/>
    <xf numFmtId="0" fontId="0" fillId="5" borderId="63" xfId="0" applyFill="1" applyBorder="1" applyAlignment="1">
      <alignment vertical="top"/>
    </xf>
    <xf numFmtId="0" fontId="0" fillId="5" borderId="0" xfId="0" applyFill="1" applyAlignment="1">
      <alignment vertical="top"/>
    </xf>
    <xf numFmtId="0" fontId="0" fillId="5" borderId="64" xfId="0" applyFill="1" applyBorder="1"/>
    <xf numFmtId="0" fontId="0" fillId="0" borderId="60" xfId="0" applyBorder="1"/>
    <xf numFmtId="0" fontId="0" fillId="0" borderId="70" xfId="0" applyBorder="1"/>
    <xf numFmtId="0" fontId="0" fillId="0" borderId="69" xfId="0" applyBorder="1" applyAlignment="1">
      <alignment vertical="top"/>
    </xf>
    <xf numFmtId="0" fontId="21" fillId="0" borderId="54" xfId="0" applyFont="1" applyBorder="1"/>
    <xf numFmtId="171" fontId="58" fillId="8" borderId="50" xfId="11" applyNumberFormat="1" applyFont="1" applyFill="1" applyBorder="1"/>
    <xf numFmtId="0" fontId="0" fillId="0" borderId="62" xfId="0" applyBorder="1" applyAlignment="1">
      <alignment vertical="top" wrapText="1"/>
    </xf>
    <xf numFmtId="0" fontId="0" fillId="0" borderId="54" xfId="0" applyBorder="1"/>
    <xf numFmtId="0" fontId="0" fillId="0" borderId="68" xfId="0" applyBorder="1" applyAlignment="1">
      <alignment vertical="top"/>
    </xf>
    <xf numFmtId="0" fontId="0" fillId="0" borderId="69" xfId="0" applyBorder="1" applyAlignment="1">
      <alignment vertical="top" wrapText="1"/>
    </xf>
    <xf numFmtId="0" fontId="0" fillId="0" borderId="71" xfId="0" applyBorder="1"/>
    <xf numFmtId="0" fontId="143" fillId="0" borderId="0" xfId="0" applyFont="1"/>
    <xf numFmtId="0" fontId="121" fillId="0" borderId="0" xfId="0" applyFont="1"/>
    <xf numFmtId="171" fontId="58" fillId="66" borderId="50" xfId="11" applyNumberFormat="1" applyFont="1" applyFill="1" applyBorder="1"/>
    <xf numFmtId="0" fontId="145" fillId="0" borderId="3" xfId="14" applyFont="1" applyBorder="1" applyAlignment="1" applyProtection="1">
      <alignment vertical="center"/>
    </xf>
    <xf numFmtId="0" fontId="145" fillId="0" borderId="0" xfId="44" applyFont="1" applyBorder="1" applyAlignment="1" applyProtection="1"/>
    <xf numFmtId="0" fontId="21" fillId="0" borderId="0" xfId="77" applyFont="1"/>
    <xf numFmtId="0" fontId="4" fillId="0" borderId="0" xfId="77"/>
    <xf numFmtId="0" fontId="149" fillId="0" borderId="0" xfId="77" applyFont="1" applyAlignment="1">
      <alignment horizontal="left"/>
    </xf>
    <xf numFmtId="37" fontId="131" fillId="0" borderId="1" xfId="77" applyNumberFormat="1" applyFont="1" applyBorder="1" applyAlignment="1">
      <alignment horizontal="center" vertical="top" wrapText="1"/>
    </xf>
    <xf numFmtId="37" fontId="146" fillId="0" borderId="72" xfId="77" applyNumberFormat="1" applyFont="1" applyBorder="1" applyAlignment="1">
      <alignment horizontal="center" vertical="top" wrapText="1"/>
    </xf>
    <xf numFmtId="37" fontId="146" fillId="0" borderId="0" xfId="77" applyNumberFormat="1" applyFont="1" applyAlignment="1">
      <alignment horizontal="center" vertical="top" wrapText="1"/>
    </xf>
    <xf numFmtId="0" fontId="131" fillId="51" borderId="73" xfId="77" applyFont="1" applyFill="1" applyBorder="1"/>
    <xf numFmtId="37" fontId="131" fillId="0" borderId="33" xfId="77" applyNumberFormat="1" applyFont="1" applyBorder="1" applyAlignment="1">
      <alignment horizontal="center"/>
    </xf>
    <xf numFmtId="37" fontId="150" fillId="0" borderId="33" xfId="77" applyNumberFormat="1" applyFont="1" applyBorder="1" applyAlignment="1">
      <alignment horizontal="center"/>
    </xf>
    <xf numFmtId="0" fontId="19" fillId="51" borderId="0" xfId="77" applyFont="1" applyFill="1"/>
    <xf numFmtId="37" fontId="19" fillId="67" borderId="1" xfId="77" applyNumberFormat="1" applyFont="1" applyFill="1" applyBorder="1"/>
    <xf numFmtId="37" fontId="19" fillId="0" borderId="1" xfId="77" applyNumberFormat="1" applyFont="1" applyBorder="1"/>
    <xf numFmtId="174" fontId="19" fillId="0" borderId="0" xfId="78" applyNumberFormat="1" applyFont="1" applyAlignment="1"/>
    <xf numFmtId="3" fontId="0" fillId="0" borderId="0" xfId="78" quotePrefix="1" applyNumberFormat="1" applyFont="1" applyAlignment="1">
      <alignment horizontal="right"/>
    </xf>
    <xf numFmtId="3" fontId="4" fillId="0" borderId="0" xfId="77" applyNumberFormat="1"/>
    <xf numFmtId="174" fontId="0" fillId="0" borderId="0" xfId="78" applyNumberFormat="1" applyFont="1"/>
    <xf numFmtId="37" fontId="19" fillId="0" borderId="72" xfId="77" applyNumberFormat="1" applyFont="1" applyBorder="1"/>
    <xf numFmtId="174" fontId="19" fillId="0" borderId="0" xfId="78" applyNumberFormat="1" applyFont="1" applyAlignment="1" applyProtection="1"/>
    <xf numFmtId="37" fontId="4" fillId="0" borderId="0" xfId="77" applyNumberFormat="1"/>
    <xf numFmtId="174" fontId="0" fillId="0" borderId="0" xfId="78" applyNumberFormat="1" applyFont="1" applyAlignment="1"/>
    <xf numFmtId="0" fontId="19" fillId="0" borderId="0" xfId="77" applyFont="1"/>
    <xf numFmtId="174" fontId="19" fillId="0" borderId="29" xfId="78" applyNumberFormat="1" applyFont="1" applyBorder="1"/>
    <xf numFmtId="37" fontId="19" fillId="0" borderId="0" xfId="77" applyNumberFormat="1" applyFont="1"/>
    <xf numFmtId="37" fontId="19" fillId="67" borderId="1" xfId="12" applyNumberFormat="1" applyFont="1" applyFill="1" applyBorder="1"/>
    <xf numFmtId="0" fontId="0" fillId="9" borderId="6" xfId="0" applyFill="1" applyBorder="1"/>
    <xf numFmtId="174" fontId="0" fillId="9" borderId="0" xfId="17" applyNumberFormat="1" applyFont="1" applyFill="1" applyBorder="1"/>
    <xf numFmtId="43" fontId="0" fillId="9" borderId="0" xfId="17" applyFont="1" applyFill="1" applyBorder="1"/>
    <xf numFmtId="187" fontId="0" fillId="9" borderId="7" xfId="0" applyNumberFormat="1" applyFill="1" applyBorder="1"/>
    <xf numFmtId="0" fontId="0" fillId="9" borderId="10" xfId="0" applyFill="1" applyBorder="1"/>
    <xf numFmtId="0" fontId="0" fillId="9" borderId="2" xfId="0" applyFill="1" applyBorder="1"/>
    <xf numFmtId="49" fontId="0" fillId="9" borderId="50" xfId="0" applyNumberFormat="1" applyFill="1" applyBorder="1"/>
    <xf numFmtId="187" fontId="0" fillId="9" borderId="49" xfId="0" applyNumberFormat="1" applyFill="1" applyBorder="1"/>
    <xf numFmtId="0" fontId="10" fillId="9" borderId="50" xfId="0" applyFont="1" applyFill="1" applyBorder="1"/>
    <xf numFmtId="0" fontId="10" fillId="9" borderId="49" xfId="0" applyFont="1" applyFill="1" applyBorder="1" applyAlignment="1">
      <alignment wrapText="1"/>
    </xf>
    <xf numFmtId="44" fontId="58" fillId="0" borderId="0" xfId="11" applyFont="1" applyFill="1" applyBorder="1"/>
    <xf numFmtId="0" fontId="30" fillId="0" borderId="0" xfId="0" applyFont="1"/>
    <xf numFmtId="0" fontId="31" fillId="0" borderId="0" xfId="0" applyFont="1"/>
    <xf numFmtId="0" fontId="23" fillId="0" borderId="50" xfId="0" quotePrefix="1" applyFont="1" applyBorder="1" applyAlignment="1">
      <alignment horizontal="left"/>
    </xf>
    <xf numFmtId="0" fontId="10" fillId="14" borderId="0" xfId="0" applyFont="1" applyFill="1" applyAlignment="1">
      <alignment vertical="center" wrapText="1"/>
    </xf>
    <xf numFmtId="0" fontId="151" fillId="0" borderId="0" xfId="0" applyFont="1" applyAlignment="1">
      <alignment horizontal="left" vertical="center" wrapText="1"/>
    </xf>
    <xf numFmtId="0" fontId="152" fillId="0" borderId="0" xfId="0" applyFont="1" applyAlignment="1">
      <alignment vertical="center" wrapText="1"/>
    </xf>
    <xf numFmtId="0" fontId="151" fillId="0" borderId="0" xfId="0" applyFont="1" applyAlignment="1">
      <alignment vertical="center" wrapText="1"/>
    </xf>
    <xf numFmtId="188" fontId="56" fillId="0" borderId="0" xfId="11" applyNumberFormat="1"/>
    <xf numFmtId="0" fontId="0" fillId="5" borderId="0" xfId="0" applyFill="1" applyAlignment="1">
      <alignment horizontal="left" vertical="top" wrapText="1"/>
    </xf>
    <xf numFmtId="0" fontId="28" fillId="0" borderId="0" xfId="41" applyAlignment="1">
      <alignment horizontal="right" vertical="top"/>
    </xf>
    <xf numFmtId="0" fontId="0" fillId="0" borderId="4" xfId="0" applyBorder="1"/>
    <xf numFmtId="174" fontId="72" fillId="69" borderId="74" xfId="17" applyNumberFormat="1" applyFont="1" applyFill="1" applyBorder="1"/>
    <xf numFmtId="174" fontId="0" fillId="69" borderId="75" xfId="17" applyNumberFormat="1" applyFont="1" applyFill="1" applyBorder="1"/>
    <xf numFmtId="174" fontId="10" fillId="69" borderId="39" xfId="17" applyNumberFormat="1" applyFont="1" applyFill="1" applyBorder="1"/>
    <xf numFmtId="174" fontId="10" fillId="69" borderId="76" xfId="17" applyNumberFormat="1" applyFont="1" applyFill="1" applyBorder="1"/>
    <xf numFmtId="174" fontId="0" fillId="0" borderId="39" xfId="17" applyNumberFormat="1" applyFont="1" applyBorder="1"/>
    <xf numFmtId="174" fontId="0" fillId="0" borderId="76" xfId="17" applyNumberFormat="1" applyFont="1" applyBorder="1"/>
    <xf numFmtId="3" fontId="55" fillId="0" borderId="10" xfId="0" applyNumberFormat="1" applyFont="1" applyBorder="1" applyAlignment="1">
      <alignment horizontal="center"/>
    </xf>
    <xf numFmtId="0" fontId="25" fillId="0" borderId="0" xfId="0" applyFont="1" applyAlignment="1">
      <alignment horizontal="left"/>
    </xf>
    <xf numFmtId="174" fontId="0" fillId="0" borderId="77" xfId="17" applyNumberFormat="1" applyFont="1" applyBorder="1"/>
    <xf numFmtId="174" fontId="0" fillId="0" borderId="78" xfId="17" applyNumberFormat="1" applyFont="1" applyBorder="1"/>
    <xf numFmtId="174" fontId="147" fillId="67" borderId="72" xfId="78" applyNumberFormat="1" applyFont="1" applyFill="1" applyBorder="1" applyAlignment="1" applyProtection="1"/>
    <xf numFmtId="174" fontId="147" fillId="67" borderId="0" xfId="78" applyNumberFormat="1" applyFont="1" applyFill="1" applyBorder="1" applyAlignment="1" applyProtection="1"/>
    <xf numFmtId="174" fontId="147" fillId="0" borderId="0" xfId="78" applyNumberFormat="1" applyFont="1" applyFill="1" applyBorder="1" applyAlignment="1" applyProtection="1"/>
    <xf numFmtId="174" fontId="0" fillId="8" borderId="0" xfId="17" applyNumberFormat="1" applyFont="1" applyFill="1" applyBorder="1"/>
    <xf numFmtId="43" fontId="0" fillId="8" borderId="0" xfId="0" applyNumberFormat="1" applyFill="1" applyAlignment="1">
      <alignment horizontal="left" vertical="top" wrapText="1"/>
    </xf>
    <xf numFmtId="174" fontId="0" fillId="8" borderId="3" xfId="17" applyNumberFormat="1" applyFont="1" applyFill="1" applyBorder="1"/>
    <xf numFmtId="43" fontId="0" fillId="8" borderId="3" xfId="0" applyNumberFormat="1" applyFill="1" applyBorder="1" applyAlignment="1">
      <alignment horizontal="left" vertical="top" wrapText="1"/>
    </xf>
    <xf numFmtId="44" fontId="56" fillId="8" borderId="7" xfId="11" applyFill="1" applyBorder="1"/>
    <xf numFmtId="44" fontId="56" fillId="8" borderId="4" xfId="11" applyFill="1" applyBorder="1"/>
    <xf numFmtId="44" fontId="56" fillId="0" borderId="0" xfId="11"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0" borderId="6" xfId="0" applyBorder="1"/>
    <xf numFmtId="165" fontId="10" fillId="0" borderId="0" xfId="0" applyNumberFormat="1" applyFont="1"/>
    <xf numFmtId="0" fontId="10" fillId="9" borderId="49" xfId="0" applyFont="1" applyFill="1" applyBorder="1"/>
    <xf numFmtId="0" fontId="10" fillId="9" borderId="2" xfId="0" applyFont="1" applyFill="1" applyBorder="1" applyAlignment="1">
      <alignment horizontal="right"/>
    </xf>
    <xf numFmtId="165" fontId="0" fillId="9" borderId="3" xfId="0" applyNumberFormat="1" applyFill="1" applyBorder="1"/>
    <xf numFmtId="165" fontId="0" fillId="9" borderId="4" xfId="0" applyNumberFormat="1" applyFill="1" applyBorder="1"/>
    <xf numFmtId="175" fontId="0" fillId="0" borderId="0" xfId="17" applyNumberFormat="1" applyFont="1" applyFill="1" applyBorder="1"/>
    <xf numFmtId="44" fontId="0" fillId="0" borderId="0" xfId="11" applyFont="1" applyFill="1" applyBorder="1"/>
    <xf numFmtId="0" fontId="0" fillId="0" borderId="50" xfId="0" applyBorder="1"/>
    <xf numFmtId="165" fontId="0" fillId="0" borderId="49" xfId="0" applyNumberFormat="1" applyBorder="1"/>
    <xf numFmtId="0" fontId="10" fillId="0" borderId="8" xfId="0" applyFont="1" applyBorder="1"/>
    <xf numFmtId="175" fontId="0" fillId="0" borderId="3" xfId="17" applyNumberFormat="1" applyFont="1" applyFill="1" applyBorder="1"/>
    <xf numFmtId="44" fontId="0" fillId="0" borderId="3" xfId="11" applyFont="1" applyFill="1" applyBorder="1"/>
    <xf numFmtId="0" fontId="61" fillId="60" borderId="40" xfId="0" applyFont="1" applyFill="1" applyBorder="1" applyAlignment="1">
      <alignment horizontal="left"/>
    </xf>
    <xf numFmtId="0" fontId="61" fillId="5" borderId="41" xfId="0" applyFont="1" applyFill="1" applyBorder="1" applyAlignment="1">
      <alignment horizontal="center"/>
    </xf>
    <xf numFmtId="0" fontId="61" fillId="56" borderId="41" xfId="0" applyFont="1" applyFill="1" applyBorder="1" applyAlignment="1">
      <alignment horizontal="center"/>
    </xf>
    <xf numFmtId="0" fontId="61" fillId="58" borderId="40" xfId="0" applyFont="1" applyFill="1" applyBorder="1" applyAlignment="1">
      <alignment horizontal="left"/>
    </xf>
    <xf numFmtId="0" fontId="61" fillId="62" borderId="40" xfId="0" applyFont="1" applyFill="1" applyBorder="1" applyAlignment="1">
      <alignment horizontal="left"/>
    </xf>
    <xf numFmtId="0" fontId="61" fillId="63" borderId="40" xfId="0" applyFont="1" applyFill="1" applyBorder="1" applyAlignment="1">
      <alignment horizontal="left"/>
    </xf>
    <xf numFmtId="0" fontId="61" fillId="56" borderId="46" xfId="0" applyFont="1" applyFill="1" applyBorder="1" applyAlignment="1">
      <alignment horizontal="center"/>
    </xf>
    <xf numFmtId="0" fontId="61" fillId="62" borderId="42" xfId="0" applyFont="1" applyFill="1" applyBorder="1" applyAlignment="1">
      <alignment horizontal="left"/>
    </xf>
    <xf numFmtId="0" fontId="0" fillId="8" borderId="50" xfId="0" applyFill="1" applyBorder="1"/>
    <xf numFmtId="0" fontId="0" fillId="8" borderId="49" xfId="0" applyFill="1" applyBorder="1"/>
    <xf numFmtId="44" fontId="58" fillId="2" borderId="0" xfId="11" applyFont="1" applyFill="1" applyAlignment="1">
      <alignment horizontal="left" indent="3"/>
    </xf>
    <xf numFmtId="44" fontId="0" fillId="0" borderId="0" xfId="11" applyFont="1" applyFill="1"/>
    <xf numFmtId="43" fontId="0" fillId="0" borderId="0" xfId="17" applyFont="1" applyFill="1"/>
    <xf numFmtId="0" fontId="0" fillId="0" borderId="0" xfId="0" applyAlignment="1">
      <alignment horizontal="center" vertical="center"/>
    </xf>
    <xf numFmtId="43" fontId="0" fillId="24" borderId="0" xfId="17" applyFont="1" applyFill="1"/>
    <xf numFmtId="169" fontId="0" fillId="0" borderId="0" xfId="17" applyNumberFormat="1" applyFont="1" applyFill="1"/>
    <xf numFmtId="0" fontId="20" fillId="0" borderId="0" xfId="79" applyFont="1"/>
    <xf numFmtId="0" fontId="3" fillId="0" borderId="0" xfId="79"/>
    <xf numFmtId="0" fontId="10" fillId="2" borderId="0" xfId="79" applyFont="1" applyFill="1"/>
    <xf numFmtId="0" fontId="10" fillId="2" borderId="3" xfId="79" applyFont="1" applyFill="1" applyBorder="1"/>
    <xf numFmtId="0" fontId="10" fillId="0" borderId="0" xfId="79" applyFont="1"/>
    <xf numFmtId="0" fontId="58" fillId="71" borderId="0" xfId="0" applyFont="1" applyFill="1" applyAlignment="1">
      <alignment horizontal="left" vertical="center" wrapText="1"/>
    </xf>
    <xf numFmtId="169" fontId="58" fillId="0" borderId="3" xfId="0" applyNumberFormat="1" applyFont="1" applyBorder="1" applyAlignment="1">
      <alignment horizontal="left" vertical="center" wrapText="1"/>
    </xf>
    <xf numFmtId="0" fontId="154" fillId="0" borderId="0" xfId="0" applyFont="1"/>
    <xf numFmtId="0" fontId="155" fillId="0" borderId="0" xfId="0" applyFont="1"/>
    <xf numFmtId="0" fontId="0" fillId="72" borderId="82" xfId="0" applyFill="1" applyBorder="1"/>
    <xf numFmtId="0" fontId="0" fillId="0" borderId="82" xfId="0" applyBorder="1"/>
    <xf numFmtId="0" fontId="0" fillId="72" borderId="81" xfId="0" applyFill="1" applyBorder="1"/>
    <xf numFmtId="0" fontId="0" fillId="0" borderId="81" xfId="0" applyBorder="1"/>
    <xf numFmtId="0" fontId="38" fillId="73" borderId="81" xfId="0" applyFont="1" applyFill="1" applyBorder="1"/>
    <xf numFmtId="0" fontId="38" fillId="73" borderId="82" xfId="0" applyFont="1" applyFill="1" applyBorder="1"/>
    <xf numFmtId="0" fontId="38" fillId="73" borderId="82" xfId="0" applyFont="1" applyFill="1" applyBorder="1" applyAlignment="1">
      <alignment wrapText="1"/>
    </xf>
    <xf numFmtId="0" fontId="38" fillId="74" borderId="82" xfId="0" applyFont="1" applyFill="1" applyBorder="1" applyAlignment="1">
      <alignment wrapText="1"/>
    </xf>
    <xf numFmtId="175" fontId="58" fillId="0" borderId="0" xfId="0" applyNumberFormat="1" applyFont="1"/>
    <xf numFmtId="175" fontId="62" fillId="0" borderId="0" xfId="0" applyNumberFormat="1" applyFont="1"/>
    <xf numFmtId="174" fontId="10" fillId="38" borderId="0" xfId="17" applyNumberFormat="1" applyFont="1" applyFill="1" applyBorder="1" applyAlignment="1">
      <alignment wrapText="1"/>
    </xf>
    <xf numFmtId="43" fontId="56" fillId="0" borderId="0" xfId="17" applyFont="1" applyFill="1"/>
    <xf numFmtId="44" fontId="56" fillId="10" borderId="0" xfId="11" applyFill="1"/>
    <xf numFmtId="44" fontId="56" fillId="0" borderId="0" xfId="11" applyAlignment="1">
      <alignment horizontal="left" vertical="center" wrapText="1"/>
    </xf>
    <xf numFmtId="44" fontId="56" fillId="0" borderId="0" xfId="11" applyAlignment="1">
      <alignment horizontal="center" vertical="center" wrapText="1"/>
    </xf>
    <xf numFmtId="44" fontId="56" fillId="7" borderId="0" xfId="11" applyFill="1" applyAlignment="1">
      <alignment horizontal="center" vertical="center" wrapText="1"/>
    </xf>
    <xf numFmtId="44" fontId="56" fillId="15" borderId="0" xfId="11" applyFill="1" applyAlignment="1">
      <alignment horizontal="center" vertical="center" wrapText="1"/>
    </xf>
    <xf numFmtId="44" fontId="56" fillId="20" borderId="0" xfId="11" applyFill="1" applyAlignment="1">
      <alignment horizontal="center" vertical="center" wrapText="1"/>
    </xf>
    <xf numFmtId="44" fontId="56" fillId="16" borderId="0" xfId="11" applyFill="1" applyAlignment="1">
      <alignment horizontal="center" vertical="center" wrapText="1"/>
    </xf>
    <xf numFmtId="44" fontId="56" fillId="8" borderId="0" xfId="11" applyFill="1"/>
    <xf numFmtId="44" fontId="56" fillId="2" borderId="0" xfId="11" applyFill="1"/>
    <xf numFmtId="44" fontId="56" fillId="17" borderId="0" xfId="11" applyFill="1"/>
    <xf numFmtId="175" fontId="58" fillId="0" borderId="0" xfId="17" applyNumberFormat="1" applyFont="1" applyFill="1"/>
    <xf numFmtId="6" fontId="0" fillId="3" borderId="0" xfId="0" applyNumberFormat="1" applyFill="1"/>
    <xf numFmtId="0" fontId="0" fillId="3" borderId="3" xfId="0" applyFill="1" applyBorder="1"/>
    <xf numFmtId="6" fontId="0" fillId="3" borderId="3" xfId="0" applyNumberFormat="1" applyFill="1" applyBorder="1"/>
    <xf numFmtId="0" fontId="38" fillId="52" borderId="6" xfId="0" applyFont="1" applyFill="1" applyBorder="1" applyAlignment="1">
      <alignment vertical="center" wrapText="1"/>
    </xf>
    <xf numFmtId="174" fontId="0" fillId="0" borderId="0" xfId="17" applyNumberFormat="1" applyFont="1" applyFill="1"/>
    <xf numFmtId="2" fontId="29" fillId="0" borderId="0" xfId="41" applyNumberFormat="1" applyFont="1"/>
    <xf numFmtId="0" fontId="0" fillId="0" borderId="74" xfId="0" applyBorder="1"/>
    <xf numFmtId="174" fontId="0" fillId="0" borderId="84" xfId="17" applyNumberFormat="1" applyFont="1" applyFill="1" applyBorder="1"/>
    <xf numFmtId="0" fontId="0" fillId="0" borderId="75" xfId="0" applyBorder="1"/>
    <xf numFmtId="0" fontId="0" fillId="0" borderId="77" xfId="0" applyBorder="1"/>
    <xf numFmtId="174" fontId="0" fillId="0" borderId="11" xfId="17" applyNumberFormat="1" applyFont="1" applyFill="1" applyBorder="1"/>
    <xf numFmtId="0" fontId="0" fillId="0" borderId="78" xfId="0" applyBorder="1"/>
    <xf numFmtId="44" fontId="56" fillId="0" borderId="0" xfId="11" applyFill="1" applyBorder="1"/>
    <xf numFmtId="0" fontId="68" fillId="10" borderId="0" xfId="0" applyFont="1" applyFill="1" applyAlignment="1">
      <alignment wrapText="1"/>
    </xf>
    <xf numFmtId="0" fontId="68" fillId="10" borderId="0" xfId="0" applyFont="1" applyFill="1" applyAlignment="1">
      <alignment horizontal="center" wrapText="1"/>
    </xf>
    <xf numFmtId="174" fontId="0" fillId="10" borderId="0" xfId="17" applyNumberFormat="1" applyFont="1" applyFill="1"/>
    <xf numFmtId="16" fontId="107" fillId="10" borderId="0" xfId="0" applyNumberFormat="1" applyFont="1" applyFill="1" applyAlignment="1">
      <alignment horizontal="right"/>
    </xf>
    <xf numFmtId="174" fontId="0" fillId="10" borderId="0" xfId="0" applyNumberFormat="1" applyFill="1"/>
    <xf numFmtId="0" fontId="121" fillId="10" borderId="0" xfId="0" applyFont="1" applyFill="1" applyAlignment="1">
      <alignment horizontal="left"/>
    </xf>
    <xf numFmtId="171" fontId="0" fillId="10" borderId="0" xfId="0" applyNumberFormat="1" applyFill="1" applyAlignment="1">
      <alignment horizontal="right"/>
    </xf>
    <xf numFmtId="171" fontId="0" fillId="10" borderId="0" xfId="0" applyNumberFormat="1" applyFill="1"/>
    <xf numFmtId="0" fontId="0" fillId="10" borderId="0" xfId="0" applyFill="1" applyAlignment="1">
      <alignment horizontal="right"/>
    </xf>
    <xf numFmtId="0" fontId="156" fillId="0" borderId="0" xfId="0" applyFont="1"/>
    <xf numFmtId="0" fontId="108" fillId="0" borderId="0" xfId="0" applyFont="1" applyAlignment="1">
      <alignment wrapText="1"/>
    </xf>
    <xf numFmtId="0" fontId="136" fillId="0" borderId="0" xfId="0" applyFont="1" applyAlignment="1">
      <alignment wrapText="1"/>
    </xf>
    <xf numFmtId="0" fontId="136" fillId="0" borderId="0" xfId="0" applyFont="1" applyAlignment="1">
      <alignment horizontal="center" wrapText="1"/>
    </xf>
    <xf numFmtId="0" fontId="108" fillId="0" borderId="0" xfId="0" applyFont="1" applyAlignment="1">
      <alignment horizontal="right"/>
    </xf>
    <xf numFmtId="16" fontId="108" fillId="0" borderId="0" xfId="0" applyNumberFormat="1" applyFont="1" applyAlignment="1">
      <alignment horizontal="right"/>
    </xf>
    <xf numFmtId="171" fontId="108" fillId="0" borderId="0" xfId="0" applyNumberFormat="1" applyFont="1"/>
    <xf numFmtId="0" fontId="157" fillId="0" borderId="0" xfId="0" applyFont="1" applyAlignment="1">
      <alignment horizontal="left"/>
    </xf>
    <xf numFmtId="171" fontId="108" fillId="0" borderId="0" xfId="0" applyNumberFormat="1" applyFont="1" applyAlignment="1">
      <alignment horizontal="right"/>
    </xf>
    <xf numFmtId="0" fontId="157" fillId="0" borderId="0" xfId="0" applyFont="1"/>
    <xf numFmtId="0" fontId="158" fillId="10" borderId="0" xfId="0" applyFont="1" applyFill="1" applyAlignment="1">
      <alignment wrapText="1"/>
    </xf>
    <xf numFmtId="174" fontId="108" fillId="0" borderId="0" xfId="17" applyNumberFormat="1" applyFont="1" applyBorder="1"/>
    <xf numFmtId="0" fontId="108" fillId="0" borderId="0" xfId="0" applyFont="1" applyAlignment="1">
      <alignment horizontal="center" vertical="center"/>
    </xf>
    <xf numFmtId="174" fontId="108" fillId="0" borderId="0" xfId="17" applyNumberFormat="1" applyFont="1" applyFill="1" applyBorder="1"/>
    <xf numFmtId="0" fontId="61" fillId="0" borderId="0" xfId="0" applyFont="1" applyAlignment="1">
      <alignment horizontal="right"/>
    </xf>
    <xf numFmtId="44" fontId="61" fillId="0" borderId="0" xfId="0" applyNumberFormat="1" applyFont="1" applyAlignment="1">
      <alignment horizontal="right"/>
    </xf>
    <xf numFmtId="166" fontId="61" fillId="0" borderId="0" xfId="0" applyNumberFormat="1" applyFont="1" applyAlignment="1">
      <alignment horizontal="right"/>
    </xf>
    <xf numFmtId="171" fontId="0" fillId="0" borderId="0" xfId="11" applyNumberFormat="1" applyFont="1" applyBorder="1"/>
    <xf numFmtId="14" fontId="28" fillId="0" borderId="0" xfId="41" applyNumberFormat="1" applyAlignment="1">
      <alignment vertical="top"/>
    </xf>
    <xf numFmtId="14" fontId="28" fillId="0" borderId="0" xfId="41" applyNumberFormat="1" applyAlignment="1">
      <alignment vertical="center" wrapText="1"/>
    </xf>
    <xf numFmtId="43" fontId="61" fillId="0" borderId="0" xfId="17" applyFont="1" applyFill="1" applyBorder="1" applyAlignment="1">
      <alignment wrapText="1"/>
    </xf>
    <xf numFmtId="43" fontId="160" fillId="0" borderId="0" xfId="17" applyFont="1" applyFill="1" applyBorder="1" applyAlignment="1">
      <alignment wrapText="1"/>
    </xf>
    <xf numFmtId="43" fontId="160" fillId="0" borderId="0" xfId="17" applyFont="1" applyFill="1" applyBorder="1" applyAlignment="1">
      <alignment horizontal="center" wrapText="1"/>
    </xf>
    <xf numFmtId="0" fontId="10" fillId="9" borderId="50" xfId="0" applyFont="1" applyFill="1" applyBorder="1" applyAlignment="1">
      <alignment wrapText="1"/>
    </xf>
    <xf numFmtId="0" fontId="34" fillId="0" borderId="0" xfId="14" applyAlignment="1">
      <alignment vertical="center"/>
    </xf>
    <xf numFmtId="171" fontId="0" fillId="0" borderId="0" xfId="11" applyNumberFormat="1" applyFont="1" applyFill="1"/>
    <xf numFmtId="44" fontId="61" fillId="0" borderId="29" xfId="0" applyNumberFormat="1" applyFont="1" applyBorder="1" applyAlignment="1">
      <alignment horizontal="right"/>
    </xf>
    <xf numFmtId="0" fontId="109" fillId="9" borderId="0" xfId="0" applyFont="1" applyFill="1" applyAlignment="1">
      <alignment vertical="center"/>
    </xf>
    <xf numFmtId="0" fontId="108" fillId="9" borderId="0" xfId="0" applyFont="1" applyFill="1"/>
    <xf numFmtId="0" fontId="109" fillId="10" borderId="0" xfId="0" applyFont="1" applyFill="1" applyAlignment="1">
      <alignment horizontal="left" vertical="center"/>
    </xf>
    <xf numFmtId="0" fontId="108" fillId="10" borderId="0" xfId="0" applyFont="1" applyFill="1"/>
    <xf numFmtId="0" fontId="109" fillId="9" borderId="0" xfId="0" applyFont="1" applyFill="1" applyAlignment="1">
      <alignment horizontal="left" vertical="center"/>
    </xf>
    <xf numFmtId="0" fontId="109" fillId="10" borderId="0" xfId="0" applyFont="1" applyFill="1" applyAlignment="1">
      <alignment vertical="center"/>
    </xf>
    <xf numFmtId="0" fontId="161" fillId="9" borderId="0" xfId="0" applyFont="1" applyFill="1" applyAlignment="1">
      <alignment wrapText="1"/>
    </xf>
    <xf numFmtId="1" fontId="109" fillId="8" borderId="0" xfId="0" applyNumberFormat="1" applyFont="1" applyFill="1" applyAlignment="1">
      <alignment horizontal="center"/>
    </xf>
    <xf numFmtId="169" fontId="109" fillId="0" borderId="0" xfId="0" applyNumberFormat="1" applyFont="1"/>
    <xf numFmtId="1" fontId="108" fillId="0" borderId="0" xfId="0" applyNumberFormat="1" applyFont="1"/>
    <xf numFmtId="175" fontId="109" fillId="0" borderId="0" xfId="17" applyNumberFormat="1" applyFont="1" applyFill="1"/>
    <xf numFmtId="0" fontId="135" fillId="0" borderId="0" xfId="0" applyFont="1"/>
    <xf numFmtId="43" fontId="108" fillId="0" borderId="0" xfId="17" applyFont="1" applyFill="1" applyBorder="1" applyAlignment="1">
      <alignment wrapText="1"/>
    </xf>
    <xf numFmtId="43" fontId="135" fillId="0" borderId="0" xfId="17" applyFont="1" applyFill="1" applyBorder="1" applyAlignment="1">
      <alignment wrapText="1"/>
    </xf>
    <xf numFmtId="43" fontId="135" fillId="0" borderId="0" xfId="17" applyFont="1" applyFill="1" applyBorder="1" applyAlignment="1">
      <alignment horizontal="center" wrapText="1"/>
    </xf>
    <xf numFmtId="0" fontId="140" fillId="0" borderId="0" xfId="0" applyFont="1" applyAlignment="1">
      <alignment horizontal="right"/>
    </xf>
    <xf numFmtId="174" fontId="140" fillId="0" borderId="0" xfId="0" applyNumberFormat="1" applyFont="1"/>
    <xf numFmtId="0" fontId="160" fillId="0" borderId="0" xfId="0" applyFont="1"/>
    <xf numFmtId="44" fontId="61" fillId="0" borderId="0" xfId="0" applyNumberFormat="1" applyFont="1"/>
    <xf numFmtId="44" fontId="61" fillId="0" borderId="29" xfId="0" applyNumberFormat="1" applyFont="1" applyBorder="1"/>
    <xf numFmtId="175" fontId="0" fillId="0" borderId="3" xfId="17" applyNumberFormat="1" applyFont="1" applyBorder="1"/>
    <xf numFmtId="0" fontId="58" fillId="2" borderId="0" xfId="0" applyFont="1" applyFill="1" applyAlignment="1">
      <alignment horizontal="center" vertical="center" wrapText="1"/>
    </xf>
    <xf numFmtId="0" fontId="120" fillId="3" borderId="0" xfId="0" applyFont="1" applyFill="1"/>
    <xf numFmtId="0" fontId="0" fillId="3" borderId="0" xfId="0" applyFill="1" applyAlignment="1">
      <alignment horizontal="right"/>
    </xf>
    <xf numFmtId="0" fontId="62" fillId="3" borderId="0" xfId="0" applyFont="1" applyFill="1" applyAlignment="1">
      <alignment horizontal="right"/>
    </xf>
    <xf numFmtId="43" fontId="62" fillId="3" borderId="0" xfId="0" applyNumberFormat="1" applyFont="1" applyFill="1" applyAlignment="1">
      <alignment horizontal="right"/>
    </xf>
    <xf numFmtId="174" fontId="162" fillId="0" borderId="0" xfId="17" applyNumberFormat="1" applyFont="1"/>
    <xf numFmtId="9" fontId="0" fillId="7" borderId="85" xfId="18" applyFont="1" applyFill="1" applyBorder="1"/>
    <xf numFmtId="174" fontId="0" fillId="7" borderId="85" xfId="17" applyNumberFormat="1" applyFont="1" applyFill="1" applyBorder="1"/>
    <xf numFmtId="10" fontId="0" fillId="0" borderId="0" xfId="0" applyNumberFormat="1"/>
    <xf numFmtId="9" fontId="0" fillId="8" borderId="0" xfId="0" applyNumberFormat="1" applyFill="1"/>
    <xf numFmtId="43" fontId="0" fillId="8" borderId="0" xfId="17" applyFont="1" applyFill="1"/>
    <xf numFmtId="43" fontId="0" fillId="8" borderId="0" xfId="0" applyNumberFormat="1" applyFill="1"/>
    <xf numFmtId="174" fontId="0" fillId="8" borderId="0" xfId="17" applyNumberFormat="1" applyFont="1" applyFill="1"/>
    <xf numFmtId="10" fontId="0" fillId="8" borderId="0" xfId="18" applyNumberFormat="1" applyFont="1" applyFill="1"/>
    <xf numFmtId="167" fontId="0" fillId="8" borderId="0" xfId="0" applyNumberFormat="1" applyFill="1"/>
    <xf numFmtId="189" fontId="0" fillId="8" borderId="0" xfId="17" applyNumberFormat="1" applyFont="1" applyFill="1"/>
    <xf numFmtId="180" fontId="49" fillId="0" borderId="0" xfId="2" applyNumberFormat="1" applyFont="1" applyFill="1" applyAlignment="1">
      <alignment horizontal="center" wrapText="1"/>
    </xf>
    <xf numFmtId="180" fontId="0" fillId="0" borderId="0" xfId="2" applyNumberFormat="1" applyFont="1"/>
    <xf numFmtId="190" fontId="0" fillId="0" borderId="0" xfId="49" applyNumberFormat="1" applyFont="1"/>
    <xf numFmtId="174" fontId="0" fillId="0" borderId="0" xfId="2" applyNumberFormat="1" applyFont="1"/>
    <xf numFmtId="191" fontId="0" fillId="0" borderId="0" xfId="49" applyNumberFormat="1" applyFont="1"/>
    <xf numFmtId="180" fontId="63" fillId="34" borderId="50" xfId="2" applyNumberFormat="1" applyFont="1" applyFill="1" applyBorder="1" applyAlignment="1">
      <alignment wrapText="1"/>
    </xf>
    <xf numFmtId="180" fontId="63" fillId="34" borderId="49" xfId="2" applyNumberFormat="1" applyFont="1" applyFill="1" applyBorder="1" applyAlignment="1">
      <alignment wrapText="1"/>
    </xf>
    <xf numFmtId="0" fontId="10" fillId="2" borderId="21" xfId="0" applyFont="1" applyFill="1" applyBorder="1"/>
    <xf numFmtId="190" fontId="10" fillId="2" borderId="21" xfId="0" applyNumberFormat="1" applyFont="1" applyFill="1" applyBorder="1" applyAlignment="1">
      <alignment wrapText="1"/>
    </xf>
    <xf numFmtId="0" fontId="10" fillId="2" borderId="21" xfId="0" applyFont="1" applyFill="1" applyBorder="1" applyAlignment="1">
      <alignment wrapText="1"/>
    </xf>
    <xf numFmtId="174" fontId="10" fillId="40" borderId="21" xfId="17" applyNumberFormat="1" applyFont="1" applyFill="1" applyBorder="1" applyAlignment="1">
      <alignment wrapText="1"/>
    </xf>
    <xf numFmtId="174" fontId="10" fillId="40" borderId="21" xfId="17" applyNumberFormat="1" applyFont="1" applyFill="1" applyBorder="1" applyAlignment="1"/>
    <xf numFmtId="174" fontId="10" fillId="40" borderId="21" xfId="0" applyNumberFormat="1" applyFont="1" applyFill="1" applyBorder="1" applyAlignment="1">
      <alignment wrapText="1"/>
    </xf>
    <xf numFmtId="174" fontId="163" fillId="40" borderId="21" xfId="17" applyNumberFormat="1" applyFont="1" applyFill="1" applyBorder="1" applyAlignment="1">
      <alignment wrapText="1"/>
    </xf>
    <xf numFmtId="43" fontId="163" fillId="40" borderId="21" xfId="17" applyFont="1" applyFill="1" applyBorder="1" applyAlignment="1">
      <alignment wrapText="1"/>
    </xf>
    <xf numFmtId="0" fontId="10" fillId="40" borderId="21" xfId="0" applyFont="1" applyFill="1" applyBorder="1" applyAlignment="1">
      <alignment wrapText="1"/>
    </xf>
    <xf numFmtId="43" fontId="10" fillId="40" borderId="21" xfId="17" applyFont="1" applyFill="1" applyBorder="1" applyAlignment="1">
      <alignment wrapText="1"/>
    </xf>
    <xf numFmtId="0" fontId="10" fillId="77" borderId="21" xfId="0" applyFont="1" applyFill="1" applyBorder="1" applyAlignment="1">
      <alignment wrapText="1"/>
    </xf>
    <xf numFmtId="0" fontId="10" fillId="24" borderId="21" xfId="0" applyFont="1" applyFill="1" applyBorder="1" applyAlignment="1">
      <alignment wrapText="1"/>
    </xf>
    <xf numFmtId="174" fontId="10" fillId="24" borderId="21" xfId="17" applyNumberFormat="1" applyFont="1" applyFill="1" applyBorder="1" applyAlignment="1">
      <alignment wrapText="1"/>
    </xf>
    <xf numFmtId="0" fontId="10" fillId="63" borderId="21" xfId="0" applyFont="1" applyFill="1" applyBorder="1" applyAlignment="1">
      <alignment wrapText="1"/>
    </xf>
    <xf numFmtId="0" fontId="163" fillId="9" borderId="21" xfId="0" applyFont="1" applyFill="1" applyBorder="1" applyAlignment="1">
      <alignment wrapText="1"/>
    </xf>
    <xf numFmtId="0" fontId="10" fillId="78" borderId="21" xfId="0" applyFont="1" applyFill="1" applyBorder="1" applyAlignment="1">
      <alignment wrapText="1"/>
    </xf>
    <xf numFmtId="174" fontId="10" fillId="17" borderId="21" xfId="17" applyNumberFormat="1" applyFont="1" applyFill="1" applyBorder="1" applyAlignment="1">
      <alignment wrapText="1"/>
    </xf>
    <xf numFmtId="0" fontId="10" fillId="17" borderId="21" xfId="0" applyFont="1" applyFill="1" applyBorder="1" applyAlignment="1">
      <alignment wrapText="1"/>
    </xf>
    <xf numFmtId="0" fontId="10" fillId="41" borderId="21" xfId="0" applyFont="1" applyFill="1" applyBorder="1" applyAlignment="1">
      <alignment wrapText="1"/>
    </xf>
    <xf numFmtId="174" fontId="10" fillId="0" borderId="3" xfId="17" applyNumberFormat="1" applyFont="1" applyBorder="1" applyAlignment="1">
      <alignment wrapText="1"/>
    </xf>
    <xf numFmtId="0" fontId="10" fillId="0" borderId="3" xfId="0" applyFont="1" applyBorder="1" applyAlignment="1">
      <alignment wrapText="1"/>
    </xf>
    <xf numFmtId="0" fontId="164" fillId="70" borderId="78" xfId="0" applyFont="1" applyFill="1" applyBorder="1" applyAlignment="1">
      <alignment vertical="center" wrapText="1"/>
    </xf>
    <xf numFmtId="190" fontId="0" fillId="0" borderId="0" xfId="0" applyNumberFormat="1"/>
    <xf numFmtId="174" fontId="0" fillId="0" borderId="0" xfId="17" quotePrefix="1" applyNumberFormat="1" applyFont="1"/>
    <xf numFmtId="43" fontId="162" fillId="0" borderId="0" xfId="17" applyFont="1"/>
    <xf numFmtId="43" fontId="0" fillId="9" borderId="0" xfId="0" applyNumberFormat="1" applyFill="1"/>
    <xf numFmtId="43" fontId="162" fillId="0" borderId="0" xfId="0" applyNumberFormat="1" applyFont="1"/>
    <xf numFmtId="174" fontId="0" fillId="9" borderId="0" xfId="0" applyNumberFormat="1" applyFill="1"/>
    <xf numFmtId="43" fontId="0" fillId="2" borderId="0" xfId="17" applyFont="1" applyFill="1"/>
    <xf numFmtId="0" fontId="28" fillId="0" borderId="0" xfId="0" applyFont="1"/>
    <xf numFmtId="174" fontId="28" fillId="0" borderId="0" xfId="17" applyNumberFormat="1" applyFont="1"/>
    <xf numFmtId="0" fontId="10" fillId="0" borderId="21" xfId="0" pivotButton="1" applyFont="1" applyBorder="1"/>
    <xf numFmtId="0" fontId="166" fillId="0" borderId="0" xfId="82" applyFont="1"/>
    <xf numFmtId="0" fontId="2" fillId="0" borderId="0" xfId="82"/>
    <xf numFmtId="43" fontId="0" fillId="0" borderId="0" xfId="83" applyFont="1"/>
    <xf numFmtId="43" fontId="2" fillId="0" borderId="0" xfId="82" applyNumberFormat="1"/>
    <xf numFmtId="0" fontId="2" fillId="0" borderId="0" xfId="82" applyAlignment="1">
      <alignment horizontal="right"/>
    </xf>
    <xf numFmtId="16" fontId="2" fillId="0" borderId="0" xfId="82" applyNumberFormat="1"/>
    <xf numFmtId="186" fontId="10" fillId="0" borderId="50" xfId="84" applyNumberFormat="1" applyFont="1" applyBorder="1"/>
    <xf numFmtId="0" fontId="2" fillId="0" borderId="0" xfId="82" applyAlignment="1">
      <alignment horizontal="left"/>
    </xf>
    <xf numFmtId="0" fontId="10" fillId="0" borderId="0" xfId="82" applyFont="1" applyAlignment="1">
      <alignment horizontal="right"/>
    </xf>
    <xf numFmtId="0" fontId="167" fillId="0" borderId="0" xfId="82" applyFont="1" applyAlignment="1">
      <alignment horizontal="center"/>
    </xf>
    <xf numFmtId="0" fontId="10" fillId="0" borderId="0" xfId="82" applyFont="1"/>
    <xf numFmtId="0" fontId="168" fillId="0" borderId="0" xfId="82" applyFont="1"/>
    <xf numFmtId="0" fontId="169" fillId="0" borderId="0" xfId="82" applyFont="1"/>
    <xf numFmtId="44" fontId="0" fillId="0" borderId="0" xfId="85" applyFont="1"/>
    <xf numFmtId="44" fontId="2" fillId="0" borderId="0" xfId="82" applyNumberFormat="1"/>
    <xf numFmtId="44" fontId="2" fillId="53" borderId="0" xfId="82" applyNumberFormat="1" applyFill="1"/>
    <xf numFmtId="44" fontId="170" fillId="0" borderId="0" xfId="85" applyFont="1"/>
    <xf numFmtId="0" fontId="28" fillId="0" borderId="0" xfId="82" applyFont="1" applyAlignment="1">
      <alignment vertical="center"/>
    </xf>
    <xf numFmtId="44" fontId="28" fillId="0" borderId="0" xfId="85" applyFont="1"/>
    <xf numFmtId="0" fontId="28" fillId="0" borderId="0" xfId="82" applyFont="1"/>
    <xf numFmtId="44" fontId="170" fillId="0" borderId="0" xfId="85" applyFont="1" applyAlignment="1">
      <alignment horizontal="center"/>
    </xf>
    <xf numFmtId="44" fontId="28" fillId="0" borderId="0" xfId="82" applyNumberFormat="1" applyFont="1"/>
    <xf numFmtId="44" fontId="43" fillId="0" borderId="0" xfId="85" applyFont="1"/>
    <xf numFmtId="0" fontId="43" fillId="0" borderId="0" xfId="82" applyFont="1"/>
    <xf numFmtId="0" fontId="171" fillId="0" borderId="0" xfId="82" applyFont="1" applyAlignment="1">
      <alignment vertical="center"/>
    </xf>
    <xf numFmtId="0" fontId="167" fillId="0" borderId="0" xfId="82" applyFont="1"/>
    <xf numFmtId="44" fontId="167" fillId="0" borderId="0" xfId="82" applyNumberFormat="1" applyFont="1"/>
    <xf numFmtId="0" fontId="0" fillId="79" borderId="0" xfId="0" applyFill="1" applyAlignment="1">
      <alignment horizontal="center"/>
    </xf>
    <xf numFmtId="0" fontId="0" fillId="79" borderId="0" xfId="0" applyFill="1"/>
    <xf numFmtId="44" fontId="0" fillId="16" borderId="0" xfId="0" applyNumberFormat="1" applyFill="1"/>
    <xf numFmtId="44" fontId="0" fillId="81" borderId="0" xfId="0" applyNumberFormat="1" applyFill="1"/>
    <xf numFmtId="9" fontId="0" fillId="60" borderId="80" xfId="18" applyFont="1" applyFill="1" applyBorder="1" applyAlignment="1">
      <alignment wrapText="1"/>
    </xf>
    <xf numFmtId="10" fontId="0" fillId="60" borderId="80" xfId="18" applyNumberFormat="1" applyFont="1" applyFill="1" applyBorder="1" applyAlignment="1">
      <alignment wrapText="1"/>
    </xf>
    <xf numFmtId="10" fontId="0" fillId="0" borderId="0" xfId="18" applyNumberFormat="1" applyFont="1" applyAlignment="1">
      <alignment wrapText="1"/>
    </xf>
    <xf numFmtId="167" fontId="10" fillId="0" borderId="0" xfId="49" applyNumberFormat="1" applyFont="1"/>
    <xf numFmtId="0" fontId="0" fillId="16" borderId="0" xfId="0" applyFill="1"/>
    <xf numFmtId="0" fontId="29" fillId="16" borderId="0" xfId="0" applyFont="1" applyFill="1" applyAlignment="1">
      <alignment wrapText="1"/>
    </xf>
    <xf numFmtId="167" fontId="0" fillId="0" borderId="0" xfId="49" applyNumberFormat="1" applyFont="1" applyFill="1" applyBorder="1" applyAlignment="1">
      <alignment wrapText="1"/>
    </xf>
    <xf numFmtId="167" fontId="0" fillId="0" borderId="0" xfId="49" applyNumberFormat="1" applyFont="1" applyFill="1" applyBorder="1"/>
    <xf numFmtId="44" fontId="0" fillId="0" borderId="0" xfId="11" applyFont="1" applyAlignment="1">
      <alignment horizontal="left" vertical="center" wrapText="1"/>
    </xf>
    <xf numFmtId="44" fontId="56" fillId="8" borderId="80" xfId="11" applyFill="1" applyBorder="1"/>
    <xf numFmtId="9" fontId="56" fillId="8" borderId="80" xfId="18" applyFont="1" applyFill="1" applyBorder="1"/>
    <xf numFmtId="0" fontId="0" fillId="64" borderId="0" xfId="0" applyFill="1" applyAlignment="1">
      <alignment horizontal="right"/>
    </xf>
    <xf numFmtId="0" fontId="172" fillId="82" borderId="86" xfId="0" applyFont="1" applyFill="1" applyBorder="1" applyAlignment="1">
      <alignment horizontal="center" vertical="center" wrapText="1"/>
    </xf>
    <xf numFmtId="0" fontId="172" fillId="82" borderId="87" xfId="0" applyFont="1" applyFill="1" applyBorder="1" applyAlignment="1">
      <alignment horizontal="center" vertical="center" wrapText="1"/>
    </xf>
    <xf numFmtId="0" fontId="172" fillId="82" borderId="88" xfId="0" applyFont="1" applyFill="1" applyBorder="1" applyAlignment="1">
      <alignment horizontal="center" vertical="center" wrapText="1"/>
    </xf>
    <xf numFmtId="43" fontId="172" fillId="82" borderId="86" xfId="17" applyFont="1" applyFill="1" applyBorder="1" applyAlignment="1">
      <alignment horizontal="center" vertical="center" wrapText="1"/>
    </xf>
    <xf numFmtId="174" fontId="172" fillId="82" borderId="86" xfId="17" applyNumberFormat="1" applyFont="1" applyFill="1" applyBorder="1" applyAlignment="1">
      <alignment horizontal="center" vertical="center" wrapText="1"/>
    </xf>
    <xf numFmtId="0" fontId="172" fillId="83" borderId="89" xfId="0" applyFont="1" applyFill="1" applyBorder="1" applyAlignment="1">
      <alignment vertical="center" wrapText="1"/>
    </xf>
    <xf numFmtId="0" fontId="173" fillId="83" borderId="90" xfId="0" applyFont="1" applyFill="1" applyBorder="1" applyAlignment="1">
      <alignment horizontal="center" vertical="center" wrapText="1"/>
    </xf>
    <xf numFmtId="43" fontId="0" fillId="0" borderId="0" xfId="0" applyNumberFormat="1" applyAlignment="1">
      <alignment vertical="center" wrapText="1"/>
    </xf>
    <xf numFmtId="3" fontId="173" fillId="83" borderId="90" xfId="0" applyNumberFormat="1" applyFont="1" applyFill="1" applyBorder="1" applyAlignment="1">
      <alignment horizontal="center" vertical="center" wrapText="1"/>
    </xf>
    <xf numFmtId="44" fontId="140" fillId="0" borderId="0" xfId="0" applyNumberFormat="1" applyFont="1"/>
    <xf numFmtId="0" fontId="174" fillId="0" borderId="0" xfId="14" applyFont="1" applyAlignment="1">
      <alignment wrapText="1"/>
    </xf>
    <xf numFmtId="0" fontId="175" fillId="0" borderId="6" xfId="14" applyFont="1" applyBorder="1" applyAlignment="1">
      <alignment vertical="top"/>
    </xf>
    <xf numFmtId="0" fontId="163" fillId="0" borderId="0" xfId="0" applyFont="1"/>
    <xf numFmtId="0" fontId="141" fillId="0" borderId="0" xfId="0" applyFont="1" applyAlignment="1">
      <alignment horizontal="left" vertical="center"/>
    </xf>
    <xf numFmtId="0" fontId="141" fillId="2" borderId="0" xfId="0" applyFont="1" applyFill="1" applyAlignment="1">
      <alignment horizontal="center" vertical="center"/>
    </xf>
    <xf numFmtId="0" fontId="140" fillId="0" borderId="79" xfId="0" applyFont="1" applyBorder="1"/>
    <xf numFmtId="169" fontId="140" fillId="0" borderId="0" xfId="0" applyNumberFormat="1" applyFont="1"/>
    <xf numFmtId="44" fontId="141" fillId="2" borderId="79" xfId="11" applyFont="1" applyFill="1" applyBorder="1" applyAlignment="1">
      <alignment horizontal="left" indent="1"/>
    </xf>
    <xf numFmtId="169" fontId="140" fillId="0" borderId="0" xfId="17" applyNumberFormat="1" applyFont="1"/>
    <xf numFmtId="44" fontId="141" fillId="2" borderId="0" xfId="11" applyFont="1" applyFill="1" applyAlignment="1">
      <alignment horizontal="left" indent="1"/>
    </xf>
    <xf numFmtId="0" fontId="141" fillId="0" borderId="3" xfId="0" applyFont="1" applyBorder="1"/>
    <xf numFmtId="175" fontId="141" fillId="0" borderId="3" xfId="0" applyNumberFormat="1" applyFont="1" applyBorder="1"/>
    <xf numFmtId="44" fontId="141" fillId="2" borderId="3" xfId="0" applyNumberFormat="1" applyFont="1" applyFill="1" applyBorder="1" applyAlignment="1">
      <alignment horizontal="left" indent="1"/>
    </xf>
    <xf numFmtId="44" fontId="0" fillId="64" borderId="0" xfId="0" applyNumberFormat="1" applyFill="1"/>
    <xf numFmtId="0" fontId="176" fillId="0" borderId="0" xfId="0" applyFont="1" applyAlignment="1">
      <alignment horizontal="left" indent="3"/>
    </xf>
    <xf numFmtId="173" fontId="176" fillId="0" borderId="0" xfId="18" applyNumberFormat="1" applyFont="1" applyAlignment="1">
      <alignment horizontal="center"/>
    </xf>
    <xf numFmtId="171" fontId="176" fillId="0" borderId="0" xfId="11" applyNumberFormat="1" applyFont="1"/>
    <xf numFmtId="0" fontId="176" fillId="9" borderId="0" xfId="0" applyFont="1" applyFill="1" applyAlignment="1">
      <alignment vertical="center"/>
    </xf>
    <xf numFmtId="171" fontId="176" fillId="9" borderId="0" xfId="0" applyNumberFormat="1" applyFont="1" applyFill="1" applyAlignment="1">
      <alignment vertical="center"/>
    </xf>
    <xf numFmtId="0" fontId="140" fillId="9" borderId="0" xfId="0" applyFont="1" applyFill="1" applyAlignment="1">
      <alignment vertical="center"/>
    </xf>
    <xf numFmtId="44" fontId="176" fillId="9" borderId="0" xfId="11" applyFont="1" applyFill="1" applyAlignment="1">
      <alignment horizontal="right" vertical="center"/>
    </xf>
    <xf numFmtId="0" fontId="176" fillId="9" borderId="0" xfId="0" applyFont="1" applyFill="1" applyAlignment="1">
      <alignment horizontal="right" vertical="center"/>
    </xf>
    <xf numFmtId="0" fontId="176" fillId="0" borderId="0" xfId="0" applyFont="1"/>
    <xf numFmtId="0" fontId="177" fillId="0" borderId="0" xfId="0" applyFont="1" applyAlignment="1">
      <alignment horizontal="right"/>
    </xf>
    <xf numFmtId="173" fontId="176" fillId="0" borderId="0" xfId="18" applyNumberFormat="1" applyFont="1" applyBorder="1" applyAlignment="1">
      <alignment horizontal="center"/>
    </xf>
    <xf numFmtId="171" fontId="176" fillId="0" borderId="0" xfId="11" applyNumberFormat="1" applyFont="1" applyBorder="1"/>
    <xf numFmtId="0" fontId="178" fillId="0" borderId="0" xfId="0" applyFont="1" applyAlignment="1">
      <alignment horizontal="left" indent="5"/>
    </xf>
    <xf numFmtId="171" fontId="176" fillId="0" borderId="0" xfId="0" applyNumberFormat="1" applyFont="1"/>
    <xf numFmtId="0" fontId="179" fillId="0" borderId="0" xfId="0" applyFont="1" applyAlignment="1">
      <alignment horizontal="right"/>
    </xf>
    <xf numFmtId="0" fontId="178" fillId="0" borderId="0" xfId="0" applyFont="1"/>
    <xf numFmtId="173" fontId="178" fillId="0" borderId="0" xfId="18" applyNumberFormat="1" applyFont="1" applyAlignment="1">
      <alignment horizontal="center"/>
    </xf>
    <xf numFmtId="171" fontId="178" fillId="0" borderId="0" xfId="11" applyNumberFormat="1" applyFont="1"/>
    <xf numFmtId="171" fontId="179" fillId="0" borderId="0" xfId="0" applyNumberFormat="1" applyFont="1"/>
    <xf numFmtId="171" fontId="178" fillId="0" borderId="0" xfId="0" applyNumberFormat="1" applyFont="1"/>
    <xf numFmtId="44" fontId="176" fillId="0" borderId="0" xfId="11" applyFont="1" applyBorder="1"/>
    <xf numFmtId="173" fontId="176" fillId="0" borderId="0" xfId="18" applyNumberFormat="1" applyFont="1" applyFill="1" applyBorder="1" applyAlignment="1">
      <alignment horizontal="center"/>
    </xf>
    <xf numFmtId="44" fontId="176" fillId="0" borderId="0" xfId="11" applyFont="1" applyFill="1" applyBorder="1"/>
    <xf numFmtId="9" fontId="140" fillId="0" borderId="0" xfId="0" applyNumberFormat="1" applyFont="1"/>
    <xf numFmtId="173" fontId="178" fillId="0" borderId="0" xfId="0" applyNumberFormat="1" applyFont="1"/>
    <xf numFmtId="0" fontId="178" fillId="0" borderId="0" xfId="0" applyFont="1" applyAlignment="1">
      <alignment horizontal="right"/>
    </xf>
    <xf numFmtId="0" fontId="178" fillId="0" borderId="0" xfId="0" applyFont="1" applyAlignment="1">
      <alignment horizontal="center"/>
    </xf>
    <xf numFmtId="0" fontId="178" fillId="0" borderId="0" xfId="0" applyFont="1" applyAlignment="1">
      <alignment horizontal="left" indent="3"/>
    </xf>
    <xf numFmtId="171" fontId="140" fillId="0" borderId="0" xfId="0" applyNumberFormat="1" applyFont="1"/>
    <xf numFmtId="0" fontId="178" fillId="0" borderId="0" xfId="0" applyFont="1" applyAlignment="1">
      <alignment horizontal="left" vertical="center"/>
    </xf>
    <xf numFmtId="0" fontId="140" fillId="0" borderId="3" xfId="0" applyFont="1" applyBorder="1"/>
    <xf numFmtId="44" fontId="56" fillId="33" borderId="0" xfId="11" applyFill="1"/>
    <xf numFmtId="44" fontId="58" fillId="13" borderId="0" xfId="0" applyNumberFormat="1" applyFont="1" applyFill="1"/>
    <xf numFmtId="0" fontId="153" fillId="0" borderId="0" xfId="0" applyFont="1" applyAlignment="1">
      <alignment horizontal="center"/>
    </xf>
    <xf numFmtId="0" fontId="153" fillId="0" borderId="0" xfId="0" applyFont="1"/>
    <xf numFmtId="0" fontId="153" fillId="80" borderId="0" xfId="0" applyFont="1" applyFill="1"/>
    <xf numFmtId="0" fontId="56" fillId="0" borderId="0" xfId="0" applyFont="1"/>
    <xf numFmtId="44" fontId="1" fillId="24" borderId="0" xfId="0" applyNumberFormat="1" applyFont="1" applyFill="1"/>
    <xf numFmtId="174" fontId="56" fillId="0" borderId="0" xfId="17" applyNumberFormat="1" applyFont="1" applyFill="1" applyAlignment="1">
      <alignment wrapText="1"/>
    </xf>
    <xf numFmtId="180" fontId="49" fillId="0" borderId="0" xfId="2" applyNumberFormat="1" applyFont="1" applyFill="1" applyAlignment="1">
      <alignment wrapText="1"/>
    </xf>
    <xf numFmtId="10" fontId="0" fillId="75" borderId="85" xfId="18" applyNumberFormat="1" applyFont="1" applyFill="1" applyBorder="1"/>
    <xf numFmtId="174" fontId="0" fillId="9" borderId="7" xfId="17" applyNumberFormat="1" applyFont="1" applyFill="1" applyBorder="1"/>
    <xf numFmtId="0" fontId="0" fillId="9" borderId="50" xfId="0" applyFill="1" applyBorder="1"/>
    <xf numFmtId="174" fontId="0" fillId="9" borderId="49" xfId="0" applyNumberFormat="1" applyFill="1" applyBorder="1"/>
    <xf numFmtId="0" fontId="0" fillId="0" borderId="80" xfId="0" applyBorder="1" applyAlignment="1">
      <alignment horizontal="left" vertical="center" indent="2"/>
    </xf>
    <xf numFmtId="171" fontId="56" fillId="0" borderId="80" xfId="11" applyNumberFormat="1" applyBorder="1" applyAlignment="1">
      <alignment vertical="center"/>
    </xf>
    <xf numFmtId="0" fontId="0" fillId="0" borderId="79" xfId="48" applyFont="1" applyBorder="1" applyAlignment="1">
      <alignment vertical="center" wrapText="1"/>
    </xf>
    <xf numFmtId="0" fontId="0" fillId="0" borderId="79" xfId="48" applyFont="1" applyBorder="1" applyAlignment="1">
      <alignment horizontal="center" vertical="center" wrapText="1"/>
    </xf>
    <xf numFmtId="37" fontId="19" fillId="67" borderId="80" xfId="77" applyNumberFormat="1" applyFont="1" applyFill="1" applyBorder="1"/>
    <xf numFmtId="37" fontId="19" fillId="67" borderId="0" xfId="77" applyNumberFormat="1" applyFont="1" applyFill="1"/>
    <xf numFmtId="0" fontId="72" fillId="0" borderId="0" xfId="0" applyFont="1"/>
    <xf numFmtId="43" fontId="58" fillId="0" borderId="0" xfId="0" applyNumberFormat="1" applyFont="1"/>
    <xf numFmtId="44" fontId="0" fillId="0" borderId="79" xfId="0" applyNumberFormat="1" applyBorder="1"/>
    <xf numFmtId="0" fontId="0" fillId="0" borderId="79" xfId="0" applyBorder="1"/>
    <xf numFmtId="171" fontId="0" fillId="0" borderId="79" xfId="0" applyNumberFormat="1" applyBorder="1"/>
    <xf numFmtId="0" fontId="1" fillId="0" borderId="0" xfId="0" applyFont="1"/>
    <xf numFmtId="171" fontId="1" fillId="0" borderId="0" xfId="11" applyNumberFormat="1" applyFont="1"/>
    <xf numFmtId="0" fontId="1" fillId="0" borderId="3" xfId="0" applyFont="1" applyBorder="1" applyAlignment="1">
      <alignment horizontal="right"/>
    </xf>
    <xf numFmtId="171" fontId="1" fillId="0" borderId="3" xfId="0" applyNumberFormat="1" applyFont="1" applyBorder="1"/>
    <xf numFmtId="0" fontId="1" fillId="8" borderId="0" xfId="0" applyFont="1" applyFill="1"/>
    <xf numFmtId="171" fontId="1" fillId="8" borderId="0" xfId="11" applyNumberFormat="1" applyFont="1" applyFill="1"/>
    <xf numFmtId="0" fontId="1" fillId="0" borderId="17" xfId="0" applyFont="1" applyBorder="1"/>
    <xf numFmtId="171" fontId="1" fillId="0" borderId="17" xfId="0" applyNumberFormat="1" applyFont="1" applyBorder="1"/>
    <xf numFmtId="0" fontId="58" fillId="45" borderId="80" xfId="0" applyFont="1" applyFill="1" applyBorder="1" applyAlignment="1">
      <alignment vertical="center" wrapText="1"/>
    </xf>
    <xf numFmtId="16" fontId="58" fillId="45" borderId="80" xfId="0" applyNumberFormat="1" applyFont="1" applyFill="1" applyBorder="1" applyAlignment="1">
      <alignment vertical="center" wrapText="1"/>
    </xf>
    <xf numFmtId="16" fontId="58" fillId="45" borderId="50" xfId="0" applyNumberFormat="1" applyFont="1" applyFill="1" applyBorder="1" applyAlignment="1">
      <alignment vertical="center" wrapText="1"/>
    </xf>
    <xf numFmtId="0" fontId="0" fillId="48" borderId="80" xfId="0" applyFill="1" applyBorder="1" applyAlignment="1">
      <alignment vertical="center" wrapText="1"/>
    </xf>
    <xf numFmtId="0" fontId="0" fillId="0" borderId="80" xfId="0" applyBorder="1" applyAlignment="1">
      <alignment vertical="top" wrapText="1"/>
    </xf>
    <xf numFmtId="0" fontId="0" fillId="0" borderId="80" xfId="0" applyBorder="1" applyAlignment="1">
      <alignment vertical="center" wrapText="1"/>
    </xf>
    <xf numFmtId="0" fontId="0" fillId="0" borderId="50" xfId="0" applyBorder="1" applyAlignment="1">
      <alignment vertical="center" wrapText="1"/>
    </xf>
    <xf numFmtId="180" fontId="58" fillId="0" borderId="80" xfId="11" applyNumberFormat="1" applyFont="1" applyBorder="1" applyAlignment="1">
      <alignment wrapText="1"/>
    </xf>
    <xf numFmtId="0" fontId="58" fillId="0" borderId="80" xfId="0" applyFont="1" applyBorder="1" applyAlignment="1">
      <alignment wrapText="1"/>
    </xf>
    <xf numFmtId="171" fontId="58" fillId="0" borderId="80" xfId="0" applyNumberFormat="1" applyFont="1" applyBorder="1" applyAlignment="1">
      <alignment wrapText="1"/>
    </xf>
    <xf numFmtId="0" fontId="58" fillId="0" borderId="50" xfId="0" applyFont="1" applyBorder="1" applyAlignment="1">
      <alignment wrapText="1"/>
    </xf>
    <xf numFmtId="0" fontId="0" fillId="0" borderId="80" xfId="0" applyBorder="1" applyAlignment="1">
      <alignment wrapText="1"/>
    </xf>
    <xf numFmtId="0" fontId="0" fillId="0" borderId="50" xfId="0" applyBorder="1" applyAlignment="1">
      <alignment wrapText="1"/>
    </xf>
    <xf numFmtId="180" fontId="0" fillId="0" borderId="80" xfId="11" applyNumberFormat="1" applyFont="1" applyBorder="1" applyAlignment="1">
      <alignment wrapText="1"/>
    </xf>
    <xf numFmtId="180" fontId="0" fillId="0" borderId="80" xfId="0" applyNumberFormat="1" applyBorder="1" applyAlignment="1">
      <alignment wrapText="1"/>
    </xf>
    <xf numFmtId="181" fontId="0" fillId="0" borderId="80" xfId="0" applyNumberFormat="1" applyBorder="1" applyAlignment="1">
      <alignment wrapText="1"/>
    </xf>
    <xf numFmtId="0" fontId="1" fillId="8" borderId="0" xfId="0" applyFont="1" applyFill="1" applyAlignment="1">
      <alignment horizontal="left"/>
    </xf>
    <xf numFmtId="171" fontId="1" fillId="0" borderId="0" xfId="0" applyNumberFormat="1" applyFont="1"/>
    <xf numFmtId="0" fontId="1" fillId="0" borderId="0" xfId="0" applyFont="1" applyAlignment="1">
      <alignment horizontal="left"/>
    </xf>
    <xf numFmtId="0" fontId="1" fillId="0" borderId="23" xfId="0" applyFont="1" applyBorder="1" applyAlignment="1">
      <alignment horizontal="right"/>
    </xf>
    <xf numFmtId="171" fontId="1" fillId="0" borderId="24" xfId="0" applyNumberFormat="1" applyFont="1" applyBorder="1"/>
    <xf numFmtId="0" fontId="1" fillId="0" borderId="25" xfId="0" applyFont="1" applyBorder="1" applyAlignment="1">
      <alignment horizontal="right"/>
    </xf>
    <xf numFmtId="171" fontId="1" fillId="0" borderId="26" xfId="0" applyNumberFormat="1" applyFont="1" applyBorder="1"/>
    <xf numFmtId="0" fontId="1" fillId="0" borderId="27" xfId="0" applyFont="1" applyBorder="1" applyAlignment="1">
      <alignment horizontal="right"/>
    </xf>
    <xf numFmtId="171" fontId="1" fillId="0" borderId="28" xfId="0" applyNumberFormat="1" applyFont="1" applyBorder="1"/>
    <xf numFmtId="171" fontId="10" fillId="64" borderId="0" xfId="0" applyNumberFormat="1" applyFont="1" applyFill="1"/>
    <xf numFmtId="0" fontId="58" fillId="8" borderId="50" xfId="0" applyFont="1" applyFill="1" applyBorder="1" applyAlignment="1">
      <alignment horizontal="right"/>
    </xf>
    <xf numFmtId="44" fontId="58" fillId="8" borderId="49" xfId="11" applyFont="1" applyFill="1" applyBorder="1" applyAlignment="1">
      <alignment horizontal="left" indent="1"/>
    </xf>
    <xf numFmtId="175" fontId="56" fillId="0" borderId="0" xfId="0" applyNumberFormat="1" applyFont="1"/>
    <xf numFmtId="44" fontId="56" fillId="2" borderId="0" xfId="0" applyNumberFormat="1" applyFont="1" applyFill="1" applyAlignment="1">
      <alignment horizontal="left" indent="1"/>
    </xf>
    <xf numFmtId="0" fontId="0" fillId="8" borderId="50" xfId="0" applyFill="1" applyBorder="1" applyAlignment="1">
      <alignment horizontal="right"/>
    </xf>
    <xf numFmtId="171" fontId="58" fillId="8" borderId="49" xfId="11" applyNumberFormat="1" applyFont="1" applyFill="1" applyBorder="1" applyAlignment="1">
      <alignment horizontal="left" indent="1"/>
    </xf>
    <xf numFmtId="0" fontId="58" fillId="0" borderId="79" xfId="0" applyFont="1" applyBorder="1" applyAlignment="1">
      <alignment horizontal="left" vertical="center"/>
    </xf>
    <xf numFmtId="0" fontId="58" fillId="0" borderId="79" xfId="0" applyFont="1" applyBorder="1" applyAlignment="1">
      <alignment horizontal="left" vertical="center" wrapText="1"/>
    </xf>
    <xf numFmtId="44" fontId="56" fillId="0" borderId="0" xfId="11" applyAlignment="1">
      <alignment horizontal="left" indent="2"/>
    </xf>
    <xf numFmtId="44" fontId="56" fillId="0" borderId="0" xfId="0" applyNumberFormat="1" applyFont="1" applyAlignment="1">
      <alignment horizontal="left" indent="1"/>
    </xf>
    <xf numFmtId="0" fontId="0" fillId="8" borderId="50" xfId="0" applyFill="1" applyBorder="1" applyAlignment="1">
      <alignment horizontal="left" vertical="center"/>
    </xf>
    <xf numFmtId="44" fontId="58" fillId="8" borderId="49" xfId="11" applyFont="1" applyFill="1" applyBorder="1" applyAlignment="1">
      <alignment horizontal="right" vertical="center"/>
    </xf>
    <xf numFmtId="0" fontId="0" fillId="8" borderId="50" xfId="0" applyFill="1" applyBorder="1" applyAlignment="1">
      <alignment horizontal="left" vertical="center" wrapText="1"/>
    </xf>
    <xf numFmtId="0" fontId="58" fillId="8" borderId="49" xfId="0" applyFont="1" applyFill="1" applyBorder="1" applyAlignment="1">
      <alignment horizontal="right" vertical="center"/>
    </xf>
    <xf numFmtId="174" fontId="56" fillId="0" borderId="0" xfId="0" applyNumberFormat="1" applyFont="1"/>
    <xf numFmtId="44" fontId="58" fillId="8" borderId="49" xfId="11" applyFont="1" applyFill="1" applyBorder="1"/>
    <xf numFmtId="44" fontId="56" fillId="2" borderId="0" xfId="0" applyNumberFormat="1" applyFont="1" applyFill="1" applyAlignment="1">
      <alignment horizontal="left" indent="2"/>
    </xf>
    <xf numFmtId="44" fontId="58" fillId="2" borderId="0" xfId="0" applyNumberFormat="1" applyFont="1" applyFill="1" applyAlignment="1">
      <alignment horizontal="left" indent="2"/>
    </xf>
    <xf numFmtId="0" fontId="140" fillId="8" borderId="80" xfId="0" applyFont="1" applyFill="1" applyBorder="1" applyAlignment="1">
      <alignment horizontal="right" wrapText="1"/>
    </xf>
    <xf numFmtId="171" fontId="140" fillId="8" borderId="80" xfId="11" applyNumberFormat="1" applyFont="1" applyFill="1" applyBorder="1" applyAlignment="1">
      <alignment vertical="center"/>
    </xf>
    <xf numFmtId="0" fontId="140" fillId="8" borderId="80" xfId="0" applyFont="1" applyFill="1" applyBorder="1" applyAlignment="1">
      <alignment horizontal="right"/>
    </xf>
    <xf numFmtId="175" fontId="140" fillId="8" borderId="80" xfId="17" applyNumberFormat="1" applyFont="1" applyFill="1" applyBorder="1" applyAlignment="1">
      <alignment vertical="center"/>
    </xf>
    <xf numFmtId="10" fontId="58" fillId="8" borderId="49" xfId="18" applyNumberFormat="1" applyFont="1" applyFill="1" applyBorder="1" applyAlignment="1">
      <alignment horizontal="left" indent="1"/>
    </xf>
    <xf numFmtId="0" fontId="140" fillId="8" borderId="80" xfId="0" applyFont="1" applyFill="1" applyBorder="1" applyAlignment="1">
      <alignment horizontal="right" vertical="top" wrapText="1"/>
    </xf>
    <xf numFmtId="44" fontId="163" fillId="8" borderId="80" xfId="11" applyFont="1" applyFill="1" applyBorder="1" applyAlignment="1">
      <alignment vertical="center"/>
    </xf>
    <xf numFmtId="174" fontId="58" fillId="10" borderId="0" xfId="0" applyNumberFormat="1" applyFont="1" applyFill="1" applyAlignment="1">
      <alignment horizontal="left" indent="1"/>
    </xf>
    <xf numFmtId="44" fontId="10" fillId="8" borderId="49" xfId="11" applyFont="1" applyFill="1" applyBorder="1"/>
    <xf numFmtId="0" fontId="0" fillId="8" borderId="80" xfId="0" applyFill="1" applyBorder="1" applyAlignment="1">
      <alignment horizontal="right" wrapText="1"/>
    </xf>
    <xf numFmtId="44" fontId="58" fillId="8" borderId="80" xfId="11" applyFont="1" applyFill="1" applyBorder="1"/>
    <xf numFmtId="44" fontId="56" fillId="2" borderId="0" xfId="0" applyNumberFormat="1" applyFont="1" applyFill="1"/>
    <xf numFmtId="0" fontId="10" fillId="8" borderId="79" xfId="0" applyFont="1" applyFill="1" applyBorder="1" applyAlignment="1">
      <alignment wrapText="1"/>
    </xf>
    <xf numFmtId="0" fontId="10" fillId="8" borderId="80" xfId="0" applyFont="1" applyFill="1" applyBorder="1"/>
    <xf numFmtId="171" fontId="0" fillId="8" borderId="80" xfId="0" applyNumberFormat="1" applyFill="1" applyBorder="1" applyAlignment="1">
      <alignment vertical="center"/>
    </xf>
    <xf numFmtId="0" fontId="0" fillId="8" borderId="80" xfId="0" applyFill="1" applyBorder="1"/>
    <xf numFmtId="171" fontId="0" fillId="8" borderId="80" xfId="11" applyNumberFormat="1" applyFont="1" applyFill="1" applyBorder="1" applyAlignment="1">
      <alignment horizontal="right" vertical="center" wrapText="1"/>
    </xf>
    <xf numFmtId="0" fontId="0" fillId="8" borderId="80" xfId="0" applyFill="1" applyBorder="1" applyAlignment="1">
      <alignment horizontal="right" vertical="center" wrapText="1"/>
    </xf>
    <xf numFmtId="44" fontId="56" fillId="0" borderId="0" xfId="0" applyNumberFormat="1" applyFont="1"/>
    <xf numFmtId="0" fontId="10" fillId="0" borderId="79" xfId="0" applyFont="1" applyBorder="1" applyAlignment="1">
      <alignment wrapText="1"/>
    </xf>
    <xf numFmtId="0" fontId="10" fillId="9" borderId="80" xfId="0" applyFont="1" applyFill="1" applyBorder="1" applyAlignment="1">
      <alignment horizontal="right" wrapText="1"/>
    </xf>
    <xf numFmtId="164" fontId="0" fillId="5" borderId="80" xfId="0" applyNumberFormat="1" applyFill="1" applyBorder="1"/>
    <xf numFmtId="175" fontId="0" fillId="0" borderId="79" xfId="17" applyNumberFormat="1" applyFont="1" applyFill="1" applyBorder="1"/>
    <xf numFmtId="44" fontId="0" fillId="0" borderId="79" xfId="11" applyFont="1" applyFill="1" applyBorder="1"/>
    <xf numFmtId="4" fontId="0" fillId="0" borderId="80" xfId="0" applyNumberFormat="1" applyBorder="1" applyAlignment="1">
      <alignment wrapText="1"/>
    </xf>
    <xf numFmtId="0" fontId="10" fillId="9" borderId="80" xfId="0" applyFont="1" applyFill="1" applyBorder="1" applyAlignment="1">
      <alignment horizontal="right"/>
    </xf>
    <xf numFmtId="165" fontId="0" fillId="5" borderId="80" xfId="0" applyNumberFormat="1" applyFill="1" applyBorder="1"/>
    <xf numFmtId="171" fontId="58" fillId="10" borderId="0" xfId="17" applyNumberFormat="1" applyFont="1" applyFill="1" applyAlignment="1">
      <alignment horizontal="left" indent="1"/>
    </xf>
    <xf numFmtId="171" fontId="56" fillId="0" borderId="0" xfId="0" applyNumberFormat="1" applyFont="1" applyAlignment="1">
      <alignment horizontal="left" indent="1"/>
    </xf>
    <xf numFmtId="174" fontId="56" fillId="10" borderId="0" xfId="0" applyNumberFormat="1" applyFont="1" applyFill="1"/>
    <xf numFmtId="0" fontId="0" fillId="8" borderId="80" xfId="0" applyFill="1" applyBorder="1" applyAlignment="1">
      <alignment wrapText="1"/>
    </xf>
    <xf numFmtId="171" fontId="56" fillId="8" borderId="80" xfId="11" applyNumberFormat="1" applyFill="1" applyBorder="1" applyAlignment="1">
      <alignment vertical="center"/>
    </xf>
    <xf numFmtId="174" fontId="56" fillId="8" borderId="80" xfId="17" applyNumberFormat="1" applyFont="1" applyFill="1" applyBorder="1" applyAlignment="1">
      <alignment vertical="center"/>
    </xf>
    <xf numFmtId="0" fontId="0" fillId="8" borderId="80" xfId="0" applyFill="1" applyBorder="1" applyAlignment="1">
      <alignment horizontal="left" vertical="center" wrapText="1"/>
    </xf>
    <xf numFmtId="44" fontId="58" fillId="8" borderId="80" xfId="11" applyFont="1" applyFill="1" applyBorder="1" applyAlignment="1">
      <alignment vertical="center"/>
    </xf>
    <xf numFmtId="44" fontId="58" fillId="24" borderId="0" xfId="0" applyNumberFormat="1" applyFont="1" applyFill="1" applyAlignment="1">
      <alignment horizontal="left" indent="1"/>
    </xf>
    <xf numFmtId="10" fontId="56" fillId="0" borderId="80" xfId="18" applyNumberFormat="1" applyFont="1" applyFill="1" applyBorder="1" applyAlignment="1">
      <alignment vertical="center"/>
    </xf>
    <xf numFmtId="176" fontId="56" fillId="0" borderId="80" xfId="0" applyNumberFormat="1" applyFont="1" applyBorder="1" applyAlignment="1">
      <alignment vertical="center"/>
    </xf>
    <xf numFmtId="169" fontId="56" fillId="0" borderId="80" xfId="11" applyNumberFormat="1" applyFill="1" applyBorder="1" applyAlignment="1">
      <alignment vertical="center"/>
    </xf>
    <xf numFmtId="44" fontId="56" fillId="0" borderId="80" xfId="11" applyBorder="1" applyAlignment="1">
      <alignment vertical="center"/>
    </xf>
    <xf numFmtId="171" fontId="58" fillId="2" borderId="0" xfId="0" applyNumberFormat="1" applyFont="1" applyFill="1"/>
    <xf numFmtId="171" fontId="0" fillId="8" borderId="80" xfId="11" applyNumberFormat="1" applyFont="1" applyFill="1" applyBorder="1" applyAlignment="1">
      <alignment horizontal="right" vertical="center"/>
    </xf>
    <xf numFmtId="175" fontId="0" fillId="8" borderId="80" xfId="17" applyNumberFormat="1" applyFont="1" applyFill="1" applyBorder="1" applyAlignment="1">
      <alignment horizontal="right" vertical="center"/>
    </xf>
    <xf numFmtId="44" fontId="58" fillId="8" borderId="80" xfId="11" applyFont="1" applyFill="1" applyBorder="1" applyAlignment="1">
      <alignment horizontal="right" vertical="center"/>
    </xf>
    <xf numFmtId="0" fontId="50" fillId="8" borderId="80" xfId="14" applyFont="1" applyFill="1" applyBorder="1" applyAlignment="1">
      <alignment horizontal="left" vertical="center" wrapText="1"/>
    </xf>
    <xf numFmtId="10" fontId="58" fillId="8" borderId="80" xfId="18" applyNumberFormat="1" applyFont="1" applyFill="1" applyBorder="1" applyAlignment="1">
      <alignment horizontal="right" vertical="center"/>
    </xf>
    <xf numFmtId="171" fontId="58" fillId="0" borderId="0" xfId="0" applyNumberFormat="1" applyFont="1" applyAlignment="1">
      <alignment horizontal="left" indent="1"/>
    </xf>
    <xf numFmtId="171" fontId="58" fillId="8" borderId="80" xfId="11" applyNumberFormat="1" applyFont="1" applyFill="1" applyBorder="1" applyAlignment="1"/>
    <xf numFmtId="171" fontId="58" fillId="8" borderId="80" xfId="11" applyNumberFormat="1" applyFont="1" applyFill="1" applyBorder="1"/>
    <xf numFmtId="0" fontId="58" fillId="8" borderId="80" xfId="0" applyFont="1" applyFill="1" applyBorder="1"/>
    <xf numFmtId="44" fontId="58" fillId="8" borderId="80" xfId="11" applyFont="1" applyFill="1" applyBorder="1" applyAlignment="1">
      <alignment wrapText="1"/>
    </xf>
    <xf numFmtId="171" fontId="56" fillId="0" borderId="0" xfId="0" applyNumberFormat="1" applyFont="1"/>
    <xf numFmtId="171" fontId="58" fillId="13" borderId="0" xfId="0" applyNumberFormat="1" applyFont="1" applyFill="1"/>
    <xf numFmtId="171" fontId="58" fillId="8" borderId="80" xfId="11" applyNumberFormat="1" applyFont="1" applyFill="1" applyBorder="1" applyAlignment="1">
      <alignment horizontal="right" vertical="center"/>
    </xf>
    <xf numFmtId="0" fontId="0" fillId="8" borderId="80" xfId="0" applyFill="1" applyBorder="1" applyAlignment="1">
      <alignment horizontal="right" vertical="top" wrapText="1"/>
    </xf>
    <xf numFmtId="44" fontId="58" fillId="8" borderId="80" xfId="11" applyFont="1" applyFill="1" applyBorder="1" applyAlignment="1">
      <alignment horizontal="right" vertical="center" wrapText="1"/>
    </xf>
    <xf numFmtId="173" fontId="58" fillId="8" borderId="80" xfId="18" applyNumberFormat="1" applyFont="1" applyFill="1" applyBorder="1" applyAlignment="1">
      <alignment horizontal="right" vertical="center"/>
    </xf>
    <xf numFmtId="0" fontId="0" fillId="3" borderId="79" xfId="0" applyFill="1" applyBorder="1" applyAlignment="1">
      <alignment horizontal="left"/>
    </xf>
    <xf numFmtId="0" fontId="0" fillId="55" borderId="79" xfId="76" applyNumberFormat="1" applyFont="1" applyBorder="1" applyAlignment="1">
      <alignment horizontal="center"/>
    </xf>
    <xf numFmtId="0" fontId="0" fillId="5" borderId="79" xfId="0" applyFill="1" applyBorder="1" applyAlignment="1">
      <alignment horizontal="center"/>
    </xf>
    <xf numFmtId="0" fontId="0" fillId="5" borderId="79" xfId="18" applyNumberFormat="1" applyFont="1" applyFill="1" applyBorder="1" applyAlignment="1">
      <alignment horizontal="center"/>
    </xf>
    <xf numFmtId="0" fontId="0" fillId="8" borderId="80" xfId="0" applyFill="1" applyBorder="1" applyAlignment="1">
      <alignment horizontal="right"/>
    </xf>
    <xf numFmtId="171" fontId="56" fillId="0" borderId="0" xfId="11" applyNumberFormat="1" applyAlignment="1">
      <alignment vertical="top"/>
    </xf>
    <xf numFmtId="44" fontId="56" fillId="10" borderId="0" xfId="0" applyNumberFormat="1" applyFont="1" applyFill="1" applyAlignment="1">
      <alignment horizontal="left" indent="1"/>
    </xf>
    <xf numFmtId="0" fontId="58" fillId="42" borderId="3" xfId="0" applyFont="1" applyFill="1" applyBorder="1" applyAlignment="1">
      <alignment horizontal="left" vertical="center" wrapText="1"/>
    </xf>
    <xf numFmtId="0" fontId="38" fillId="11" borderId="80" xfId="0" applyFont="1" applyFill="1" applyBorder="1" applyAlignment="1">
      <alignment vertical="center" wrapText="1"/>
    </xf>
    <xf numFmtId="0" fontId="38" fillId="11" borderId="80" xfId="0" applyFont="1" applyFill="1" applyBorder="1" applyAlignment="1">
      <alignment horizontal="center" vertical="center" wrapText="1"/>
    </xf>
    <xf numFmtId="0" fontId="0" fillId="0" borderId="80" xfId="0" applyBorder="1" applyAlignment="1">
      <alignment horizontal="left" indent="2"/>
    </xf>
    <xf numFmtId="171" fontId="56" fillId="0" borderId="80" xfId="11" applyNumberFormat="1" applyBorder="1"/>
    <xf numFmtId="171" fontId="56" fillId="8" borderId="49" xfId="11" applyNumberFormat="1" applyFill="1" applyBorder="1"/>
    <xf numFmtId="0" fontId="0" fillId="0" borderId="80" xfId="0" applyBorder="1"/>
    <xf numFmtId="175" fontId="56" fillId="0" borderId="80" xfId="17" applyNumberFormat="1" applyFont="1" applyFill="1" applyBorder="1"/>
    <xf numFmtId="171" fontId="58" fillId="8" borderId="80" xfId="11" applyNumberFormat="1" applyFont="1" applyFill="1" applyBorder="1" applyAlignment="1">
      <alignment vertical="center"/>
    </xf>
    <xf numFmtId="0" fontId="58" fillId="0" borderId="3" xfId="1" applyFont="1" applyBorder="1" applyAlignment="1">
      <alignment horizontal="center" vertical="center" wrapText="1"/>
    </xf>
    <xf numFmtId="0" fontId="58" fillId="0" borderId="79" xfId="1" applyFont="1" applyBorder="1" applyAlignment="1">
      <alignment vertical="top"/>
    </xf>
    <xf numFmtId="0" fontId="11" fillId="0" borderId="79" xfId="1" applyBorder="1"/>
    <xf numFmtId="44" fontId="11" fillId="0" borderId="79" xfId="1" applyNumberFormat="1" applyBorder="1"/>
    <xf numFmtId="0" fontId="50" fillId="0" borderId="79" xfId="14" applyFont="1" applyBorder="1" applyAlignment="1">
      <alignment vertical="top"/>
    </xf>
    <xf numFmtId="0" fontId="58" fillId="0" borderId="79" xfId="0" applyFont="1" applyBorder="1"/>
    <xf numFmtId="0" fontId="56" fillId="0" borderId="50" xfId="1" applyFont="1" applyBorder="1"/>
    <xf numFmtId="0" fontId="61" fillId="0" borderId="49" xfId="0" applyFont="1" applyBorder="1" applyAlignment="1">
      <alignment vertical="top"/>
    </xf>
    <xf numFmtId="0" fontId="61" fillId="0" borderId="50" xfId="0" applyFont="1" applyBorder="1" applyAlignment="1">
      <alignment vertical="top"/>
    </xf>
    <xf numFmtId="3" fontId="61" fillId="8" borderId="49" xfId="42" applyNumberFormat="1" applyFont="1" applyFill="1" applyBorder="1"/>
    <xf numFmtId="171" fontId="0" fillId="8" borderId="49" xfId="0" applyNumberFormat="1" applyFill="1" applyBorder="1"/>
    <xf numFmtId="0" fontId="56" fillId="0" borderId="50" xfId="1" applyFont="1" applyBorder="1" applyAlignment="1">
      <alignment vertical="top"/>
    </xf>
    <xf numFmtId="9" fontId="61" fillId="8" borderId="49" xfId="0" applyNumberFormat="1" applyFont="1" applyFill="1" applyBorder="1" applyAlignment="1">
      <alignment vertical="top"/>
    </xf>
    <xf numFmtId="171" fontId="56" fillId="8" borderId="49" xfId="43" applyNumberFormat="1" applyFont="1" applyFill="1" applyBorder="1" applyAlignment="1">
      <alignment horizontal="center" vertical="center" wrapText="1"/>
    </xf>
    <xf numFmtId="178" fontId="56" fillId="8" borderId="49" xfId="1" applyNumberFormat="1" applyFont="1" applyFill="1" applyBorder="1" applyAlignment="1">
      <alignment horizontal="right" vertical="center" wrapText="1"/>
    </xf>
    <xf numFmtId="0" fontId="0" fillId="0" borderId="50" xfId="1" applyFont="1" applyBorder="1" applyAlignment="1">
      <alignment horizontal="left" vertical="center"/>
    </xf>
    <xf numFmtId="44" fontId="56" fillId="8" borderId="49" xfId="1" applyNumberFormat="1" applyFont="1" applyFill="1" applyBorder="1"/>
    <xf numFmtId="171" fontId="61" fillId="8" borderId="49" xfId="43" applyNumberFormat="1" applyFont="1" applyFill="1" applyBorder="1" applyAlignment="1">
      <alignment vertical="top"/>
    </xf>
    <xf numFmtId="0" fontId="141" fillId="9" borderId="3" xfId="0" applyFont="1" applyFill="1" applyBorder="1"/>
    <xf numFmtId="0" fontId="141" fillId="9" borderId="3" xfId="0" applyFont="1" applyFill="1" applyBorder="1" applyAlignment="1">
      <alignment horizontal="center" wrapText="1"/>
    </xf>
    <xf numFmtId="0" fontId="141" fillId="9" borderId="3" xfId="0" applyFont="1" applyFill="1" applyBorder="1" applyAlignment="1">
      <alignment wrapText="1"/>
    </xf>
    <xf numFmtId="169" fontId="56" fillId="0" borderId="0" xfId="17" applyNumberFormat="1" applyFont="1"/>
    <xf numFmtId="0" fontId="58" fillId="0" borderId="79" xfId="48" applyFont="1" applyBorder="1" applyAlignment="1">
      <alignment horizontal="center" vertical="center" wrapText="1"/>
    </xf>
    <xf numFmtId="0" fontId="58" fillId="9" borderId="79" xfId="48" applyFont="1" applyFill="1" applyBorder="1" applyAlignment="1">
      <alignment horizontal="center" vertical="center" wrapText="1"/>
    </xf>
    <xf numFmtId="0" fontId="58" fillId="0" borderId="3" xfId="0" applyFont="1" applyBorder="1"/>
    <xf numFmtId="0" fontId="137" fillId="0" borderId="3" xfId="48" applyFont="1" applyBorder="1" applyAlignment="1">
      <alignment vertical="center" wrapText="1"/>
    </xf>
    <xf numFmtId="0" fontId="138" fillId="0" borderId="3" xfId="48" applyFont="1" applyBorder="1" applyAlignment="1">
      <alignment horizontal="center" vertical="center" wrapText="1"/>
    </xf>
    <xf numFmtId="0" fontId="137" fillId="0" borderId="3" xfId="48" applyFont="1" applyBorder="1" applyAlignment="1">
      <alignment horizontal="center" vertical="center" wrapText="1"/>
    </xf>
    <xf numFmtId="0" fontId="138" fillId="3" borderId="3" xfId="48" applyFont="1" applyFill="1" applyBorder="1" applyAlignment="1">
      <alignment horizontal="center" vertical="center" wrapText="1"/>
    </xf>
    <xf numFmtId="0" fontId="108" fillId="0" borderId="3" xfId="48" applyFont="1" applyBorder="1" applyAlignment="1">
      <alignment vertical="center" wrapText="1"/>
    </xf>
    <xf numFmtId="0" fontId="109" fillId="0" borderId="3" xfId="48" applyFont="1" applyBorder="1" applyAlignment="1">
      <alignment horizontal="center" vertical="center" wrapText="1"/>
    </xf>
    <xf numFmtId="0" fontId="108" fillId="0" borderId="3" xfId="48" applyFont="1" applyBorder="1" applyAlignment="1">
      <alignment horizontal="center" vertical="center" wrapText="1"/>
    </xf>
    <xf numFmtId="0" fontId="109" fillId="3" borderId="3" xfId="48" applyFont="1" applyFill="1" applyBorder="1" applyAlignment="1">
      <alignment horizontal="center" vertical="center" wrapText="1"/>
    </xf>
    <xf numFmtId="0" fontId="113" fillId="31" borderId="3" xfId="0" applyFont="1" applyFill="1" applyBorder="1" applyAlignment="1">
      <alignment wrapText="1"/>
    </xf>
    <xf numFmtId="0" fontId="58" fillId="0" borderId="79" xfId="0" applyFont="1" applyBorder="1" applyAlignment="1">
      <alignment vertical="center" wrapText="1"/>
    </xf>
    <xf numFmtId="0" fontId="0" fillId="0" borderId="79" xfId="0" applyBorder="1" applyAlignment="1">
      <alignment vertical="center" wrapText="1"/>
    </xf>
    <xf numFmtId="0" fontId="58" fillId="0" borderId="79" xfId="48" applyFont="1" applyBorder="1"/>
    <xf numFmtId="0" fontId="61" fillId="0" borderId="79" xfId="0" applyFont="1" applyBorder="1"/>
    <xf numFmtId="0" fontId="109" fillId="0" borderId="3" xfId="0" applyFont="1" applyBorder="1" applyAlignment="1">
      <alignment vertical="center" wrapText="1"/>
    </xf>
    <xf numFmtId="0" fontId="58" fillId="0" borderId="3" xfId="48" applyFont="1" applyBorder="1" applyAlignment="1">
      <alignment horizontal="center" wrapText="1"/>
    </xf>
    <xf numFmtId="0" fontId="10" fillId="41" borderId="3" xfId="0" applyFont="1" applyFill="1" applyBorder="1" applyAlignment="1">
      <alignment wrapText="1"/>
    </xf>
    <xf numFmtId="0" fontId="10" fillId="42" borderId="3" xfId="0" applyFont="1" applyFill="1" applyBorder="1" applyAlignment="1">
      <alignment wrapText="1"/>
    </xf>
    <xf numFmtId="0" fontId="10" fillId="40" borderId="3" xfId="0" applyFont="1" applyFill="1" applyBorder="1" applyAlignment="1">
      <alignment wrapText="1"/>
    </xf>
    <xf numFmtId="0" fontId="112" fillId="28" borderId="79" xfId="0" applyFont="1" applyFill="1" applyBorder="1"/>
    <xf numFmtId="0" fontId="10" fillId="0" borderId="79" xfId="0" applyFont="1" applyBorder="1"/>
    <xf numFmtId="44" fontId="10" fillId="0" borderId="79" xfId="0" applyNumberFormat="1" applyFont="1" applyBorder="1"/>
    <xf numFmtId="0" fontId="56" fillId="3" borderId="0" xfId="0" applyFont="1" applyFill="1"/>
    <xf numFmtId="0" fontId="56" fillId="3" borderId="0" xfId="0" applyFont="1" applyFill="1" applyAlignment="1">
      <alignment horizontal="right"/>
    </xf>
    <xf numFmtId="0" fontId="58" fillId="3" borderId="0" xfId="0" applyFont="1" applyFill="1" applyAlignment="1">
      <alignment horizontal="right"/>
    </xf>
    <xf numFmtId="0" fontId="23" fillId="21" borderId="91" xfId="13" applyFont="1" applyFill="1" applyBorder="1"/>
    <xf numFmtId="0" fontId="23" fillId="0" borderId="91" xfId="13" applyFont="1" applyBorder="1"/>
    <xf numFmtId="0" fontId="23" fillId="0" borderId="49" xfId="13" applyFont="1" applyBorder="1" applyAlignment="1">
      <alignment horizontal="center"/>
    </xf>
    <xf numFmtId="0" fontId="23" fillId="0" borderId="92" xfId="13" quotePrefix="1" applyFont="1" applyBorder="1" applyAlignment="1">
      <alignment horizontal="left"/>
    </xf>
    <xf numFmtId="0" fontId="26" fillId="0" borderId="91" xfId="13" quotePrefix="1" applyFont="1" applyBorder="1" applyAlignment="1">
      <alignment horizontal="center"/>
    </xf>
    <xf numFmtId="0" fontId="23" fillId="0" borderId="93" xfId="13" applyFont="1" applyBorder="1"/>
    <xf numFmtId="39" fontId="131" fillId="67" borderId="96" xfId="47" quotePrefix="1" applyNumberFormat="1" applyFont="1" applyFill="1" applyBorder="1"/>
    <xf numFmtId="39" fontId="146" fillId="67" borderId="96" xfId="77" applyNumberFormat="1" applyFont="1" applyFill="1" applyBorder="1" applyAlignment="1">
      <alignment horizontal="center"/>
    </xf>
    <xf numFmtId="39" fontId="147" fillId="68" borderId="96" xfId="77" applyNumberFormat="1" applyFont="1" applyFill="1" applyBorder="1" applyAlignment="1">
      <alignment horizontal="center"/>
    </xf>
    <xf numFmtId="174" fontId="147" fillId="67" borderId="97" xfId="78" applyNumberFormat="1" applyFont="1" applyFill="1" applyBorder="1" applyAlignment="1" applyProtection="1">
      <alignment horizontal="center"/>
    </xf>
    <xf numFmtId="174" fontId="148" fillId="67" borderId="97" xfId="78" applyNumberFormat="1" applyFont="1" applyFill="1" applyBorder="1" applyAlignment="1" applyProtection="1">
      <alignment horizontal="center"/>
    </xf>
    <xf numFmtId="37" fontId="131" fillId="0" borderId="97" xfId="77" applyNumberFormat="1" applyFont="1" applyBorder="1" applyAlignment="1">
      <alignment horizontal="center" vertical="top"/>
    </xf>
    <xf numFmtId="37" fontId="131" fillId="0" borderId="97" xfId="77" applyNumberFormat="1" applyFont="1" applyBorder="1" applyAlignment="1">
      <alignment horizontal="center" vertical="top" wrapText="1"/>
    </xf>
    <xf numFmtId="37" fontId="148" fillId="0" borderId="97" xfId="77" applyNumberFormat="1" applyFont="1" applyBorder="1" applyAlignment="1">
      <alignment horizontal="center" vertical="top" wrapText="1"/>
    </xf>
    <xf numFmtId="37" fontId="146" fillId="0" borderId="97" xfId="77" applyNumberFormat="1" applyFont="1" applyBorder="1" applyAlignment="1">
      <alignment horizontal="center" vertical="top" wrapText="1"/>
    </xf>
    <xf numFmtId="0" fontId="23" fillId="0" borderId="100" xfId="0" quotePrefix="1" applyFont="1" applyBorder="1" applyAlignment="1">
      <alignment horizontal="left"/>
    </xf>
    <xf numFmtId="0" fontId="96" fillId="0" borderId="100" xfId="0" applyFont="1" applyBorder="1" applyAlignment="1">
      <alignment horizontal="center"/>
    </xf>
    <xf numFmtId="168" fontId="23" fillId="0" borderId="100" xfId="0" applyNumberFormat="1" applyFont="1" applyBorder="1" applyAlignment="1">
      <alignment horizontal="center"/>
    </xf>
    <xf numFmtId="3" fontId="23" fillId="0" borderId="100" xfId="0" applyNumberFormat="1" applyFont="1" applyBorder="1" applyAlignment="1">
      <alignment horizontal="center"/>
    </xf>
    <xf numFmtId="0" fontId="23" fillId="0" borderId="98" xfId="0" applyFont="1" applyBorder="1"/>
    <xf numFmtId="168" fontId="23" fillId="0" borderId="80" xfId="0" applyNumberFormat="1" applyFont="1" applyBorder="1" applyAlignment="1">
      <alignment horizontal="center"/>
    </xf>
    <xf numFmtId="3" fontId="23" fillId="0" borderId="80" xfId="0" quotePrefix="1" applyNumberFormat="1" applyFont="1" applyBorder="1" applyAlignment="1">
      <alignment horizontal="center"/>
    </xf>
    <xf numFmtId="0" fontId="23" fillId="0" borderId="101" xfId="0" quotePrefix="1" applyFont="1" applyBorder="1" applyAlignment="1">
      <alignment horizontal="left"/>
    </xf>
    <xf numFmtId="3" fontId="24" fillId="0" borderId="101" xfId="0" applyNumberFormat="1" applyFont="1" applyBorder="1" applyAlignment="1">
      <alignment horizontal="center"/>
    </xf>
    <xf numFmtId="0" fontId="23" fillId="0" borderId="98" xfId="0" quotePrefix="1" applyFont="1" applyBorder="1" applyAlignment="1">
      <alignment horizontal="left"/>
    </xf>
    <xf numFmtId="0" fontId="23" fillId="0" borderId="101" xfId="0" applyFont="1" applyBorder="1" applyAlignment="1">
      <alignment horizontal="left"/>
    </xf>
    <xf numFmtId="3" fontId="23" fillId="0" borderId="101" xfId="0" applyNumberFormat="1" applyFont="1" applyBorder="1" applyAlignment="1">
      <alignment horizontal="center"/>
    </xf>
    <xf numFmtId="0" fontId="23" fillId="0" borderId="80" xfId="0" quotePrefix="1" applyFont="1" applyBorder="1" applyAlignment="1">
      <alignment horizontal="left"/>
    </xf>
    <xf numFmtId="3" fontId="23" fillId="0" borderId="80" xfId="0" applyNumberFormat="1" applyFont="1" applyBorder="1" applyAlignment="1">
      <alignment horizontal="center"/>
    </xf>
    <xf numFmtId="0" fontId="22" fillId="8" borderId="100" xfId="13" applyFill="1" applyBorder="1"/>
    <xf numFmtId="171" fontId="58" fillId="0" borderId="79" xfId="11" applyNumberFormat="1" applyFont="1" applyBorder="1"/>
    <xf numFmtId="0" fontId="0" fillId="0" borderId="79" xfId="0" applyBorder="1" applyAlignment="1">
      <alignment wrapText="1"/>
    </xf>
    <xf numFmtId="0" fontId="0" fillId="8" borderId="79" xfId="0" applyFill="1" applyBorder="1"/>
    <xf numFmtId="0" fontId="58" fillId="8" borderId="79" xfId="0" applyFont="1" applyFill="1" applyBorder="1"/>
    <xf numFmtId="182" fontId="19" fillId="0" borderId="102" xfId="0" applyNumberFormat="1" applyFont="1" applyBorder="1"/>
    <xf numFmtId="0" fontId="131" fillId="51" borderId="102" xfId="0" applyFont="1" applyFill="1" applyBorder="1" applyAlignment="1">
      <alignment horizontal="centerContinuous" vertical="center"/>
    </xf>
    <xf numFmtId="0" fontId="19" fillId="51" borderId="102" xfId="0" applyFont="1" applyFill="1" applyBorder="1" applyAlignment="1">
      <alignment horizontal="centerContinuous"/>
    </xf>
    <xf numFmtId="0" fontId="19" fillId="51" borderId="102" xfId="0" applyFont="1" applyFill="1" applyBorder="1"/>
    <xf numFmtId="0" fontId="131" fillId="49" borderId="50" xfId="0" applyFont="1" applyFill="1" applyBorder="1" applyAlignment="1">
      <alignment horizontal="centerContinuous"/>
    </xf>
    <xf numFmtId="0" fontId="131" fillId="49" borderId="103" xfId="0" applyFont="1" applyFill="1" applyBorder="1" applyAlignment="1">
      <alignment horizontal="center"/>
    </xf>
    <xf numFmtId="0" fontId="131" fillId="49" borderId="96" xfId="0" applyFont="1" applyFill="1" applyBorder="1" applyAlignment="1">
      <alignment horizontal="center"/>
    </xf>
    <xf numFmtId="0" fontId="131" fillId="0" borderId="100" xfId="0" applyFont="1" applyBorder="1"/>
    <xf numFmtId="49" fontId="131" fillId="49" borderId="96" xfId="32" applyNumberFormat="1" applyFont="1" applyFill="1" applyBorder="1" applyAlignment="1">
      <alignment vertical="center"/>
    </xf>
    <xf numFmtId="183" fontId="131" fillId="49" borderId="96" xfId="0" applyNumberFormat="1" applyFont="1" applyFill="1" applyBorder="1" applyAlignment="1">
      <alignment vertical="center"/>
    </xf>
    <xf numFmtId="185" fontId="131" fillId="49" borderId="96" xfId="0" applyNumberFormat="1" applyFont="1" applyFill="1" applyBorder="1" applyAlignment="1">
      <alignment vertical="center"/>
    </xf>
    <xf numFmtId="0" fontId="25" fillId="2" borderId="98" xfId="19" applyFont="1" applyFill="1" applyBorder="1" applyAlignment="1">
      <alignment horizontal="center"/>
    </xf>
    <xf numFmtId="3" fontId="23" fillId="0" borderId="105" xfId="0" applyNumberFormat="1" applyFont="1" applyBorder="1"/>
    <xf numFmtId="0" fontId="24" fillId="0" borderId="105" xfId="0" quotePrefix="1" applyFont="1" applyBorder="1" applyAlignment="1">
      <alignment horizontal="left"/>
    </xf>
    <xf numFmtId="3" fontId="24" fillId="0" borderId="105" xfId="0" applyNumberFormat="1" applyFont="1" applyBorder="1" applyAlignment="1">
      <alignment horizontal="center"/>
    </xf>
    <xf numFmtId="3" fontId="23" fillId="0" borderId="105" xfId="0" applyNumberFormat="1" applyFont="1" applyBorder="1" applyAlignment="1">
      <alignment horizontal="center"/>
    </xf>
    <xf numFmtId="3" fontId="23" fillId="0" borderId="106" xfId="0" applyNumberFormat="1" applyFont="1" applyBorder="1"/>
    <xf numFmtId="0" fontId="24" fillId="0" borderId="106" xfId="0" quotePrefix="1" applyFont="1" applyBorder="1" applyAlignment="1">
      <alignment horizontal="left"/>
    </xf>
    <xf numFmtId="3" fontId="24" fillId="0" borderId="106" xfId="0" applyNumberFormat="1" applyFont="1" applyBorder="1" applyAlignment="1">
      <alignment horizontal="center"/>
    </xf>
    <xf numFmtId="3" fontId="23" fillId="0" borderId="106" xfId="0" applyNumberFormat="1" applyFont="1" applyBorder="1" applyAlignment="1">
      <alignment horizontal="center"/>
    </xf>
    <xf numFmtId="3" fontId="23" fillId="0" borderId="107" xfId="0" applyNumberFormat="1" applyFont="1" applyBorder="1"/>
    <xf numFmtId="0" fontId="24" fillId="0" borderId="107" xfId="0" quotePrefix="1" applyFont="1" applyBorder="1" applyAlignment="1">
      <alignment horizontal="left"/>
    </xf>
    <xf numFmtId="3" fontId="24" fillId="0" borderId="107" xfId="0" applyNumberFormat="1" applyFont="1" applyBorder="1" applyAlignment="1">
      <alignment horizontal="center"/>
    </xf>
    <xf numFmtId="3" fontId="23" fillId="0" borderId="107" xfId="0" applyNumberFormat="1" applyFont="1" applyBorder="1" applyAlignment="1">
      <alignment horizontal="center"/>
    </xf>
    <xf numFmtId="3" fontId="23" fillId="0" borderId="108" xfId="0" applyNumberFormat="1" applyFont="1" applyBorder="1"/>
    <xf numFmtId="3" fontId="24" fillId="0" borderId="108" xfId="0" applyNumberFormat="1" applyFont="1" applyBorder="1" applyAlignment="1">
      <alignment horizontal="center"/>
    </xf>
    <xf numFmtId="0" fontId="32" fillId="8" borderId="50" xfId="13" applyFont="1" applyFill="1" applyBorder="1"/>
    <xf numFmtId="0" fontId="32" fillId="8" borderId="109" xfId="13" applyFont="1" applyFill="1" applyBorder="1"/>
    <xf numFmtId="0" fontId="32" fillId="8" borderId="109" xfId="13" applyFont="1" applyFill="1" applyBorder="1" applyAlignment="1">
      <alignment horizontal="right"/>
    </xf>
    <xf numFmtId="3" fontId="42" fillId="8" borderId="49" xfId="13" applyNumberFormat="1" applyFont="1" applyFill="1" applyBorder="1"/>
    <xf numFmtId="0" fontId="42" fillId="8" borderId="49" xfId="13" applyFont="1" applyFill="1" applyBorder="1"/>
    <xf numFmtId="0" fontId="100" fillId="0" borderId="105" xfId="0" quotePrefix="1" applyFont="1" applyBorder="1" applyAlignment="1">
      <alignment horizontal="left"/>
    </xf>
    <xf numFmtId="3" fontId="25" fillId="0" borderId="105" xfId="0" applyNumberFormat="1" applyFont="1" applyBorder="1"/>
    <xf numFmtId="0" fontId="24" fillId="0" borderId="108" xfId="0" quotePrefix="1" applyFont="1" applyBorder="1" applyAlignment="1">
      <alignment horizontal="left"/>
    </xf>
    <xf numFmtId="3" fontId="23" fillId="0" borderId="108" xfId="0" applyNumberFormat="1" applyFont="1" applyBorder="1" applyAlignment="1">
      <alignment horizontal="center"/>
    </xf>
    <xf numFmtId="0" fontId="23" fillId="0" borderId="50" xfId="13" quotePrefix="1" applyFont="1" applyBorder="1" applyAlignment="1">
      <alignment horizontal="left"/>
    </xf>
    <xf numFmtId="168" fontId="23" fillId="0" borderId="80" xfId="13" applyNumberFormat="1" applyFont="1" applyBorder="1" applyAlignment="1">
      <alignment horizontal="center"/>
    </xf>
    <xf numFmtId="3" fontId="23" fillId="0" borderId="80" xfId="13" quotePrefix="1" applyNumberFormat="1" applyFont="1" applyBorder="1" applyAlignment="1">
      <alignment horizontal="center"/>
    </xf>
    <xf numFmtId="3" fontId="23" fillId="0" borderId="105" xfId="13" applyNumberFormat="1" applyFont="1" applyBorder="1"/>
    <xf numFmtId="0" fontId="24" fillId="0" borderId="105" xfId="13" quotePrefix="1" applyFont="1" applyBorder="1" applyAlignment="1">
      <alignment horizontal="left"/>
    </xf>
    <xf numFmtId="3" fontId="24" fillId="0" borderId="105" xfId="13" applyNumberFormat="1" applyFont="1" applyBorder="1" applyAlignment="1">
      <alignment horizontal="center"/>
    </xf>
    <xf numFmtId="3" fontId="23" fillId="0" borderId="105" xfId="13" applyNumberFormat="1" applyFont="1" applyBorder="1" applyAlignment="1">
      <alignment horizontal="center"/>
    </xf>
    <xf numFmtId="3" fontId="23" fillId="0" borderId="106" xfId="13" applyNumberFormat="1" applyFont="1" applyBorder="1"/>
    <xf numFmtId="0" fontId="24" fillId="0" borderId="106" xfId="13" quotePrefix="1" applyFont="1" applyBorder="1" applyAlignment="1">
      <alignment horizontal="left"/>
    </xf>
    <xf numFmtId="3" fontId="24" fillId="0" borderId="106" xfId="13" applyNumberFormat="1" applyFont="1" applyBorder="1" applyAlignment="1">
      <alignment horizontal="center"/>
    </xf>
    <xf numFmtId="3" fontId="23" fillId="0" borderId="106" xfId="13" applyNumberFormat="1" applyFont="1" applyBorder="1" applyAlignment="1">
      <alignment horizontal="center"/>
    </xf>
    <xf numFmtId="3" fontId="23" fillId="0" borderId="107" xfId="13" applyNumberFormat="1" applyFont="1" applyBorder="1"/>
    <xf numFmtId="0" fontId="24" fillId="0" borderId="107" xfId="13" quotePrefix="1" applyFont="1" applyBorder="1" applyAlignment="1">
      <alignment horizontal="left"/>
    </xf>
    <xf numFmtId="3" fontId="24" fillId="0" borderId="107" xfId="13" applyNumberFormat="1" applyFont="1" applyBorder="1" applyAlignment="1">
      <alignment horizontal="center"/>
    </xf>
    <xf numFmtId="3" fontId="23" fillId="0" borderId="107" xfId="13" applyNumberFormat="1" applyFont="1" applyBorder="1" applyAlignment="1">
      <alignment horizontal="center"/>
    </xf>
    <xf numFmtId="3" fontId="23" fillId="0" borderId="108" xfId="13" applyNumberFormat="1" applyFont="1" applyBorder="1"/>
    <xf numFmtId="3" fontId="24" fillId="0" borderId="108" xfId="13" applyNumberFormat="1" applyFont="1" applyBorder="1" applyAlignment="1">
      <alignment horizontal="center"/>
    </xf>
    <xf numFmtId="0" fontId="23" fillId="0" borderId="80" xfId="13" quotePrefix="1" applyFont="1" applyBorder="1" applyAlignment="1">
      <alignment horizontal="left"/>
    </xf>
    <xf numFmtId="3" fontId="23" fillId="0" borderId="80" xfId="13" applyNumberFormat="1" applyFont="1" applyBorder="1" applyAlignment="1">
      <alignment horizontal="center"/>
    </xf>
    <xf numFmtId="3" fontId="23" fillId="0" borderId="111" xfId="0" applyNumberFormat="1" applyFont="1" applyBorder="1"/>
    <xf numFmtId="0" fontId="24" fillId="0" borderId="111" xfId="0" quotePrefix="1" applyFont="1" applyBorder="1" applyAlignment="1">
      <alignment horizontal="left"/>
    </xf>
    <xf numFmtId="3" fontId="24" fillId="0" borderId="111" xfId="0" applyNumberFormat="1" applyFont="1" applyBorder="1" applyAlignment="1">
      <alignment horizontal="center"/>
    </xf>
    <xf numFmtId="3" fontId="23" fillId="0" borderId="111" xfId="0" applyNumberFormat="1" applyFont="1" applyBorder="1" applyAlignment="1">
      <alignment horizontal="center"/>
    </xf>
    <xf numFmtId="3" fontId="23" fillId="0" borderId="112" xfId="13" applyNumberFormat="1" applyFont="1" applyBorder="1"/>
    <xf numFmtId="3" fontId="23" fillId="0" borderId="113" xfId="13" applyNumberFormat="1" applyFont="1" applyBorder="1" applyAlignment="1">
      <alignment horizontal="center"/>
    </xf>
    <xf numFmtId="3" fontId="23" fillId="0" borderId="114" xfId="13" applyNumberFormat="1" applyFont="1" applyBorder="1"/>
    <xf numFmtId="0" fontId="24" fillId="0" borderId="108" xfId="13" quotePrefix="1" applyFont="1" applyBorder="1" applyAlignment="1">
      <alignment horizontal="left"/>
    </xf>
    <xf numFmtId="3" fontId="23" fillId="0" borderId="115" xfId="13" applyNumberFormat="1" applyFont="1" applyBorder="1" applyAlignment="1">
      <alignment horizontal="center"/>
    </xf>
    <xf numFmtId="3" fontId="23" fillId="0" borderId="114" xfId="0" applyNumberFormat="1" applyFont="1" applyBorder="1"/>
    <xf numFmtId="0" fontId="24" fillId="0" borderId="108" xfId="0" applyFont="1" applyBorder="1" applyAlignment="1">
      <alignment horizontal="left"/>
    </xf>
    <xf numFmtId="0" fontId="0" fillId="0" borderId="110" xfId="0" applyBorder="1" applyAlignment="1">
      <alignment wrapText="1"/>
    </xf>
    <xf numFmtId="0" fontId="62" fillId="0" borderId="110" xfId="0" applyFont="1" applyBorder="1" applyAlignment="1">
      <alignment wrapText="1"/>
    </xf>
    <xf numFmtId="0" fontId="67" fillId="0" borderId="110" xfId="41" applyFont="1" applyBorder="1" applyAlignment="1">
      <alignment vertical="top"/>
    </xf>
    <xf numFmtId="0" fontId="28" fillId="0" borderId="110" xfId="41" applyBorder="1" applyAlignment="1">
      <alignment vertical="top"/>
    </xf>
    <xf numFmtId="0" fontId="45" fillId="0" borderId="110" xfId="41" applyFont="1" applyBorder="1" applyAlignment="1">
      <alignment vertical="top"/>
    </xf>
    <xf numFmtId="0" fontId="0" fillId="0" borderId="110" xfId="0" applyBorder="1"/>
    <xf numFmtId="0" fontId="28" fillId="0" borderId="110" xfId="41" applyBorder="1" applyAlignment="1">
      <alignment horizontal="right" vertical="top"/>
    </xf>
    <xf numFmtId="0" fontId="34" fillId="0" borderId="110" xfId="44" applyFill="1" applyBorder="1" applyAlignment="1" applyProtection="1">
      <alignment vertical="top"/>
    </xf>
    <xf numFmtId="0" fontId="101" fillId="0" borderId="110" xfId="14" applyFont="1" applyBorder="1" applyAlignment="1">
      <alignment vertical="top"/>
    </xf>
    <xf numFmtId="174" fontId="108" fillId="0" borderId="116" xfId="0" applyNumberFormat="1" applyFont="1" applyBorder="1"/>
    <xf numFmtId="174" fontId="108" fillId="0" borderId="116" xfId="17" applyNumberFormat="1" applyFont="1" applyBorder="1"/>
    <xf numFmtId="171" fontId="108" fillId="0" borderId="116" xfId="0" applyNumberFormat="1" applyFont="1" applyBorder="1"/>
    <xf numFmtId="174" fontId="0" fillId="10" borderId="116" xfId="0" applyNumberFormat="1" applyFill="1" applyBorder="1"/>
    <xf numFmtId="174" fontId="0" fillId="10" borderId="116" xfId="17" applyNumberFormat="1" applyFont="1" applyFill="1" applyBorder="1"/>
    <xf numFmtId="171" fontId="0" fillId="10" borderId="116" xfId="0" applyNumberFormat="1" applyFill="1" applyBorder="1"/>
    <xf numFmtId="0" fontId="27" fillId="0" borderId="116" xfId="0" applyFont="1" applyBorder="1"/>
    <xf numFmtId="0" fontId="0" fillId="0" borderId="116" xfId="0" applyBorder="1"/>
    <xf numFmtId="0" fontId="58" fillId="65" borderId="116" xfId="0" applyFont="1" applyFill="1" applyBorder="1"/>
    <xf numFmtId="44" fontId="56" fillId="65" borderId="116" xfId="11" applyFill="1" applyBorder="1"/>
    <xf numFmtId="171" fontId="58" fillId="65" borderId="116" xfId="11" applyNumberFormat="1" applyFont="1" applyFill="1" applyBorder="1"/>
    <xf numFmtId="171" fontId="58" fillId="66" borderId="116" xfId="11" applyNumberFormat="1" applyFont="1" applyFill="1" applyBorder="1"/>
    <xf numFmtId="44" fontId="56" fillId="66" borderId="116" xfId="11" applyFill="1" applyBorder="1"/>
    <xf numFmtId="0" fontId="63" fillId="10" borderId="116" xfId="0" applyFont="1" applyFill="1" applyBorder="1" applyAlignment="1">
      <alignment horizontal="center" vertical="center"/>
    </xf>
    <xf numFmtId="0" fontId="63" fillId="24" borderId="116" xfId="0" applyFont="1" applyFill="1" applyBorder="1" applyAlignment="1">
      <alignment horizontal="center" vertical="center"/>
    </xf>
    <xf numFmtId="44" fontId="58" fillId="10" borderId="116" xfId="11" applyFont="1" applyFill="1" applyBorder="1" applyAlignment="1">
      <alignment horizontal="left" indent="1"/>
    </xf>
    <xf numFmtId="44" fontId="58" fillId="24" borderId="116" xfId="11" applyFont="1" applyFill="1" applyBorder="1" applyAlignment="1">
      <alignment horizontal="left" indent="1"/>
    </xf>
    <xf numFmtId="0" fontId="63" fillId="24" borderId="116" xfId="0" applyFont="1" applyFill="1" applyBorder="1" applyAlignment="1">
      <alignment horizontal="center" vertical="center" wrapText="1"/>
    </xf>
    <xf numFmtId="0" fontId="58" fillId="24" borderId="116" xfId="0" applyFont="1" applyFill="1" applyBorder="1" applyAlignment="1">
      <alignment horizontal="left" vertical="center" wrapText="1"/>
    </xf>
    <xf numFmtId="174" fontId="58" fillId="24" borderId="116" xfId="17" applyNumberFormat="1" applyFont="1" applyFill="1" applyBorder="1"/>
    <xf numFmtId="0" fontId="10" fillId="8" borderId="117" xfId="0" applyFont="1" applyFill="1" applyBorder="1"/>
    <xf numFmtId="0" fontId="10" fillId="8" borderId="118" xfId="0" applyFont="1" applyFill="1" applyBorder="1" applyAlignment="1">
      <alignment wrapText="1"/>
    </xf>
    <xf numFmtId="0" fontId="0" fillId="9" borderId="119" xfId="0" applyFill="1" applyBorder="1"/>
    <xf numFmtId="0" fontId="10" fillId="9" borderId="116" xfId="0" applyFont="1" applyFill="1" applyBorder="1" applyAlignment="1">
      <alignment wrapText="1"/>
    </xf>
    <xf numFmtId="174" fontId="0" fillId="9" borderId="116" xfId="0" applyNumberFormat="1" applyFill="1" applyBorder="1"/>
    <xf numFmtId="43" fontId="0" fillId="9" borderId="116" xfId="17" applyFont="1" applyFill="1" applyBorder="1"/>
    <xf numFmtId="44" fontId="58" fillId="9" borderId="116" xfId="11" applyFont="1" applyFill="1" applyBorder="1"/>
    <xf numFmtId="0" fontId="58" fillId="0" borderId="116" xfId="0" applyFont="1" applyBorder="1" applyAlignment="1">
      <alignment horizontal="left" vertical="center" wrapText="1"/>
    </xf>
    <xf numFmtId="0" fontId="58" fillId="24" borderId="116" xfId="0" applyFont="1" applyFill="1" applyBorder="1" applyAlignment="1">
      <alignment horizontal="center" vertical="center" wrapText="1"/>
    </xf>
    <xf numFmtId="0" fontId="58" fillId="10" borderId="116" xfId="0" applyFont="1" applyFill="1" applyBorder="1" applyAlignment="1">
      <alignment horizontal="center" vertical="center" wrapText="1"/>
    </xf>
    <xf numFmtId="175" fontId="58" fillId="0" borderId="116" xfId="0" applyNumberFormat="1" applyFont="1" applyBorder="1"/>
    <xf numFmtId="0" fontId="10" fillId="0" borderId="117" xfId="0" applyFont="1" applyBorder="1" applyAlignment="1">
      <alignment wrapText="1"/>
    </xf>
    <xf numFmtId="0" fontId="10" fillId="0" borderId="118" xfId="0" applyFont="1" applyBorder="1" applyAlignment="1">
      <alignment wrapText="1"/>
    </xf>
    <xf numFmtId="0" fontId="0" fillId="0" borderId="117" xfId="0" applyBorder="1"/>
    <xf numFmtId="0" fontId="0" fillId="0" borderId="118" xfId="0" applyBorder="1"/>
    <xf numFmtId="0" fontId="58" fillId="24" borderId="116" xfId="0" applyFont="1" applyFill="1" applyBorder="1" applyAlignment="1">
      <alignment horizontal="left" vertical="center"/>
    </xf>
    <xf numFmtId="0" fontId="63" fillId="2" borderId="116" xfId="0" applyFont="1" applyFill="1" applyBorder="1" applyAlignment="1">
      <alignment horizontal="center" vertical="center"/>
    </xf>
    <xf numFmtId="44" fontId="58" fillId="2" borderId="116" xfId="11" applyFont="1" applyFill="1" applyBorder="1" applyAlignment="1">
      <alignment horizontal="left" indent="1"/>
    </xf>
    <xf numFmtId="0" fontId="58" fillId="0" borderId="116" xfId="0" applyFont="1" applyBorder="1" applyAlignment="1">
      <alignment horizontal="right" vertical="center" wrapText="1"/>
    </xf>
    <xf numFmtId="0" fontId="58" fillId="10" borderId="116" xfId="0" applyFont="1" applyFill="1" applyBorder="1" applyAlignment="1">
      <alignment horizontal="right" vertical="center" wrapText="1"/>
    </xf>
    <xf numFmtId="0" fontId="58" fillId="2" borderId="116" xfId="0" applyFont="1" applyFill="1" applyBorder="1" applyAlignment="1">
      <alignment horizontal="right" vertical="center" wrapText="1"/>
    </xf>
    <xf numFmtId="44" fontId="58" fillId="0" borderId="116" xfId="0" applyNumberFormat="1" applyFont="1" applyBorder="1"/>
    <xf numFmtId="44" fontId="58" fillId="10" borderId="116" xfId="0" applyNumberFormat="1" applyFont="1" applyFill="1" applyBorder="1"/>
    <xf numFmtId="44" fontId="58" fillId="2" borderId="116" xfId="0" applyNumberFormat="1" applyFont="1" applyFill="1" applyBorder="1"/>
    <xf numFmtId="0" fontId="63" fillId="0" borderId="116" xfId="0" applyFont="1" applyBorder="1" applyAlignment="1">
      <alignment horizontal="center" vertical="center" wrapText="1"/>
    </xf>
    <xf numFmtId="0" fontId="63" fillId="2" borderId="116" xfId="0" applyFont="1" applyFill="1" applyBorder="1" applyAlignment="1">
      <alignment horizontal="center" vertical="center" wrapText="1"/>
    </xf>
    <xf numFmtId="44" fontId="58" fillId="0" borderId="116" xfId="11" applyFont="1" applyBorder="1" applyAlignment="1">
      <alignment horizontal="left" indent="1"/>
    </xf>
    <xf numFmtId="0" fontId="0" fillId="5" borderId="120" xfId="0" applyFill="1" applyBorder="1" applyAlignment="1">
      <alignment horizontal="center"/>
    </xf>
    <xf numFmtId="180" fontId="63" fillId="34" borderId="116" xfId="2" applyNumberFormat="1" applyFont="1" applyFill="1" applyBorder="1" applyAlignment="1">
      <alignment wrapText="1"/>
    </xf>
    <xf numFmtId="0" fontId="0" fillId="9" borderId="116" xfId="0" applyFill="1" applyBorder="1"/>
    <xf numFmtId="0" fontId="10" fillId="0" borderId="117" xfId="0" applyFont="1" applyBorder="1"/>
    <xf numFmtId="0" fontId="58" fillId="0" borderId="116" xfId="0" applyFont="1" applyBorder="1" applyAlignment="1">
      <alignment horizontal="center" vertical="center" wrapText="1"/>
    </xf>
    <xf numFmtId="0" fontId="58" fillId="3" borderId="116" xfId="0" applyFont="1" applyFill="1" applyBorder="1"/>
    <xf numFmtId="0" fontId="58" fillId="3" borderId="116" xfId="0" applyFont="1" applyFill="1" applyBorder="1" applyAlignment="1">
      <alignment horizontal="center"/>
    </xf>
    <xf numFmtId="0" fontId="58" fillId="0" borderId="116" xfId="0" applyFont="1" applyBorder="1" applyAlignment="1">
      <alignment horizontal="center"/>
    </xf>
    <xf numFmtId="6" fontId="58" fillId="3" borderId="116" xfId="0" applyNumberFormat="1" applyFont="1" applyFill="1" applyBorder="1"/>
    <xf numFmtId="6" fontId="58" fillId="0" borderId="116" xfId="0" applyNumberFormat="1" applyFont="1" applyBorder="1"/>
    <xf numFmtId="0" fontId="0" fillId="8" borderId="116" xfId="0" applyFill="1" applyBorder="1"/>
    <xf numFmtId="0" fontId="61" fillId="0" borderId="116" xfId="0" applyFont="1" applyBorder="1" applyAlignment="1">
      <alignment vertical="top"/>
    </xf>
    <xf numFmtId="0" fontId="56" fillId="0" borderId="116" xfId="1" applyFont="1" applyBorder="1"/>
    <xf numFmtId="0" fontId="56" fillId="0" borderId="116" xfId="1" applyFont="1" applyBorder="1" applyAlignment="1">
      <alignment horizontal="right" vertical="center" wrapText="1"/>
    </xf>
    <xf numFmtId="171" fontId="0" fillId="8" borderId="118" xfId="0" applyNumberFormat="1" applyFill="1" applyBorder="1"/>
    <xf numFmtId="0" fontId="58" fillId="0" borderId="116" xfId="1" applyFont="1" applyBorder="1" applyAlignment="1">
      <alignment horizontal="left" vertical="center" wrapText="1"/>
    </xf>
    <xf numFmtId="0" fontId="58" fillId="0" borderId="116" xfId="0" applyFont="1" applyBorder="1"/>
    <xf numFmtId="171" fontId="58" fillId="0" borderId="116" xfId="0" applyNumberFormat="1" applyFont="1" applyBorder="1"/>
    <xf numFmtId="0" fontId="109" fillId="8" borderId="116" xfId="0" applyFont="1" applyFill="1" applyBorder="1" applyAlignment="1">
      <alignment horizontal="left" vertical="center" wrapText="1"/>
    </xf>
    <xf numFmtId="0" fontId="109" fillId="0" borderId="116" xfId="0" applyFont="1" applyBorder="1" applyAlignment="1">
      <alignment horizontal="left" vertical="center" wrapText="1"/>
    </xf>
    <xf numFmtId="0" fontId="109" fillId="24" borderId="116" xfId="0" applyFont="1" applyFill="1" applyBorder="1" applyAlignment="1">
      <alignment horizontal="left" vertical="center" wrapText="1"/>
    </xf>
    <xf numFmtId="0" fontId="109" fillId="24" borderId="116" xfId="0" applyFont="1" applyFill="1" applyBorder="1" applyAlignment="1">
      <alignment horizontal="center" vertical="center" wrapText="1"/>
    </xf>
    <xf numFmtId="0" fontId="109" fillId="8" borderId="116" xfId="0" applyFont="1" applyFill="1" applyBorder="1" applyAlignment="1">
      <alignment horizontal="center"/>
    </xf>
    <xf numFmtId="0" fontId="109" fillId="0" borderId="116" xfId="0" applyFont="1" applyBorder="1"/>
    <xf numFmtId="0" fontId="109" fillId="0" borderId="116" xfId="0" applyFont="1" applyBorder="1" applyAlignment="1">
      <alignment horizontal="center"/>
    </xf>
    <xf numFmtId="169" fontId="109" fillId="0" borderId="116" xfId="0" applyNumberFormat="1" applyFont="1" applyBorder="1"/>
    <xf numFmtId="175" fontId="109" fillId="0" borderId="116" xfId="0" applyNumberFormat="1" applyFont="1" applyBorder="1"/>
    <xf numFmtId="174" fontId="109" fillId="0" borderId="116" xfId="0" applyNumberFormat="1" applyFont="1" applyBorder="1"/>
    <xf numFmtId="0" fontId="110" fillId="0" borderId="116" xfId="0" applyFont="1" applyBorder="1"/>
    <xf numFmtId="0" fontId="109" fillId="0" borderId="116" xfId="0" applyFont="1" applyBorder="1" applyAlignment="1">
      <alignment horizontal="left" vertical="center"/>
    </xf>
    <xf numFmtId="0" fontId="108" fillId="0" borderId="116" xfId="48" applyFont="1" applyBorder="1" applyAlignment="1">
      <alignment vertical="center" wrapText="1"/>
    </xf>
    <xf numFmtId="0" fontId="109" fillId="0" borderId="116" xfId="48" applyFont="1" applyBorder="1" applyAlignment="1">
      <alignment horizontal="center" vertical="center" wrapText="1"/>
    </xf>
    <xf numFmtId="0" fontId="108" fillId="0" borderId="116" xfId="48" applyFont="1" applyBorder="1" applyAlignment="1">
      <alignment horizontal="center" vertical="center" wrapText="1"/>
    </xf>
    <xf numFmtId="0" fontId="109" fillId="3" borderId="116" xfId="48" applyFont="1" applyFill="1" applyBorder="1" applyAlignment="1">
      <alignment horizontal="center" vertical="center" wrapText="1"/>
    </xf>
    <xf numFmtId="0" fontId="108" fillId="0" borderId="116" xfId="0" applyFont="1" applyBorder="1" applyAlignment="1">
      <alignment horizontal="center" vertical="center" wrapText="1"/>
    </xf>
    <xf numFmtId="0" fontId="108" fillId="13" borderId="116" xfId="0" applyFont="1" applyFill="1" applyBorder="1" applyAlignment="1">
      <alignment horizontal="center" vertical="center" wrapText="1"/>
    </xf>
    <xf numFmtId="0" fontId="112" fillId="28" borderId="116" xfId="0" applyFont="1" applyFill="1" applyBorder="1" applyAlignment="1">
      <alignment wrapText="1"/>
    </xf>
    <xf numFmtId="0" fontId="112" fillId="29" borderId="116" xfId="0" applyFont="1" applyFill="1" applyBorder="1" applyAlignment="1">
      <alignment horizontal="center" wrapText="1"/>
    </xf>
    <xf numFmtId="0" fontId="112" fillId="30" borderId="116" xfId="0" applyFont="1" applyFill="1" applyBorder="1" applyAlignment="1">
      <alignment horizontal="center" wrapText="1"/>
    </xf>
    <xf numFmtId="0" fontId="112" fillId="30" borderId="116" xfId="0" applyFont="1" applyFill="1" applyBorder="1" applyAlignment="1">
      <alignment wrapText="1"/>
    </xf>
    <xf numFmtId="169" fontId="58" fillId="0" borderId="116" xfId="0" applyNumberFormat="1" applyFont="1" applyBorder="1"/>
    <xf numFmtId="0" fontId="23" fillId="21" borderId="121" xfId="13" quotePrefix="1" applyFont="1" applyFill="1" applyBorder="1" applyAlignment="1">
      <alignment horizontal="center"/>
    </xf>
    <xf numFmtId="0" fontId="23" fillId="21" borderId="121" xfId="13" applyFont="1" applyFill="1" applyBorder="1"/>
    <xf numFmtId="0" fontId="23" fillId="21" borderId="103" xfId="13" applyFont="1" applyFill="1" applyBorder="1"/>
    <xf numFmtId="0" fontId="23" fillId="0" borderId="121" xfId="13" applyFont="1" applyBorder="1"/>
    <xf numFmtId="0" fontId="23" fillId="0" borderId="103" xfId="13" applyFont="1" applyBorder="1"/>
    <xf numFmtId="0" fontId="23" fillId="0" borderId="121" xfId="13" applyFont="1" applyBorder="1" applyAlignment="1">
      <alignment horizontal="left"/>
    </xf>
    <xf numFmtId="0" fontId="23" fillId="0" borderId="121" xfId="13" applyFont="1" applyBorder="1" applyAlignment="1">
      <alignment horizontal="centerContinuous"/>
    </xf>
    <xf numFmtId="0" fontId="23" fillId="0" borderId="103" xfId="13" applyFont="1" applyBorder="1" applyAlignment="1">
      <alignment horizontal="centerContinuous"/>
    </xf>
    <xf numFmtId="0" fontId="131" fillId="0" borderId="97" xfId="0" applyFont="1" applyBorder="1" applyAlignment="1">
      <alignment horizontal="center"/>
    </xf>
    <xf numFmtId="0" fontId="131" fillId="0" borderId="97" xfId="0" applyFont="1" applyBorder="1"/>
    <xf numFmtId="0" fontId="131" fillId="51" borderId="121" xfId="0" applyFont="1" applyFill="1" applyBorder="1" applyAlignment="1">
      <alignment horizontal="centerContinuous"/>
    </xf>
    <xf numFmtId="0" fontId="23" fillId="0" borderId="111" xfId="0" quotePrefix="1" applyFont="1" applyBorder="1" applyAlignment="1">
      <alignment horizontal="left"/>
    </xf>
    <xf numFmtId="0" fontId="31" fillId="0" borderId="110" xfId="0" quotePrefix="1" applyFont="1" applyBorder="1" applyAlignment="1">
      <alignment horizontal="left"/>
    </xf>
    <xf numFmtId="3" fontId="30" fillId="0" borderId="110" xfId="0" applyNumberFormat="1" applyFont="1" applyBorder="1"/>
    <xf numFmtId="3" fontId="30" fillId="0" borderId="110" xfId="0" applyNumberFormat="1" applyFont="1" applyBorder="1" applyAlignment="1">
      <alignment horizontal="center"/>
    </xf>
    <xf numFmtId="3" fontId="31" fillId="0" borderId="110" xfId="0" applyNumberFormat="1" applyFont="1" applyBorder="1" applyAlignment="1">
      <alignment horizontal="center"/>
    </xf>
    <xf numFmtId="0" fontId="131" fillId="49" borderId="109" xfId="0" applyFont="1" applyFill="1" applyBorder="1" applyAlignment="1">
      <alignment horizontal="centerContinuous"/>
    </xf>
    <xf numFmtId="0" fontId="58" fillId="0" borderId="109" xfId="0" applyFont="1" applyBorder="1"/>
    <xf numFmtId="0" fontId="0" fillId="0" borderId="109" xfId="0" applyBorder="1"/>
    <xf numFmtId="38" fontId="58" fillId="0" borderId="116" xfId="0" applyNumberFormat="1" applyFont="1" applyBorder="1"/>
    <xf numFmtId="176" fontId="58" fillId="0" borderId="116" xfId="0" applyNumberFormat="1" applyFont="1" applyBorder="1"/>
    <xf numFmtId="38" fontId="0" fillId="0" borderId="116" xfId="0" applyNumberFormat="1" applyBorder="1"/>
    <xf numFmtId="0" fontId="25" fillId="7" borderId="110" xfId="19" applyFont="1" applyFill="1" applyBorder="1" applyAlignment="1">
      <alignment horizontal="center"/>
    </xf>
    <xf numFmtId="0" fontId="34" fillId="0" borderId="110" xfId="14" applyFill="1" applyBorder="1" applyAlignment="1">
      <alignment vertical="top"/>
    </xf>
    <xf numFmtId="0" fontId="10" fillId="0" borderId="123" xfId="0" applyFont="1" applyBorder="1"/>
    <xf numFmtId="0" fontId="58" fillId="0" borderId="123" xfId="0" applyFont="1" applyBorder="1" applyAlignment="1">
      <alignment horizontal="left" vertical="center" wrapText="1"/>
    </xf>
    <xf numFmtId="175" fontId="0" fillId="64" borderId="0" xfId="0" applyNumberFormat="1" applyFill="1"/>
    <xf numFmtId="172" fontId="0" fillId="64" borderId="0" xfId="0" applyNumberFormat="1" applyFill="1"/>
    <xf numFmtId="0" fontId="58" fillId="84" borderId="0" xfId="0" applyFont="1" applyFill="1"/>
    <xf numFmtId="0" fontId="77" fillId="0" borderId="124" xfId="0" applyFont="1" applyBorder="1" applyAlignment="1">
      <alignment horizontal="left" vertical="center" wrapText="1"/>
    </xf>
    <xf numFmtId="44" fontId="77" fillId="0" borderId="124" xfId="0" applyNumberFormat="1" applyFont="1" applyBorder="1" applyAlignment="1">
      <alignment horizontal="left" vertical="center" wrapText="1"/>
    </xf>
    <xf numFmtId="169" fontId="69" fillId="0" borderId="0" xfId="0" applyNumberFormat="1" applyFont="1"/>
    <xf numFmtId="171" fontId="69" fillId="0" borderId="0" xfId="11" applyNumberFormat="1" applyFont="1" applyFill="1" applyBorder="1"/>
    <xf numFmtId="171" fontId="181" fillId="0" borderId="0" xfId="11" applyNumberFormat="1" applyFont="1" applyFill="1" applyBorder="1"/>
    <xf numFmtId="0" fontId="77" fillId="0" borderId="124" xfId="0" applyFont="1" applyBorder="1"/>
    <xf numFmtId="175" fontId="77" fillId="0" borderId="124" xfId="0" applyNumberFormat="1" applyFont="1" applyBorder="1"/>
    <xf numFmtId="171" fontId="77" fillId="0" borderId="124" xfId="0" applyNumberFormat="1" applyFont="1" applyBorder="1"/>
    <xf numFmtId="0" fontId="0" fillId="84" borderId="0" xfId="0" applyFill="1"/>
    <xf numFmtId="0" fontId="21" fillId="84" borderId="0" xfId="0" applyFont="1" applyFill="1"/>
    <xf numFmtId="0" fontId="27" fillId="84" borderId="0" xfId="0" applyFont="1" applyFill="1"/>
    <xf numFmtId="44" fontId="0" fillId="84" borderId="0" xfId="0" applyNumberFormat="1" applyFill="1"/>
    <xf numFmtId="44" fontId="181" fillId="86" borderId="0" xfId="11" applyFont="1" applyFill="1" applyBorder="1"/>
    <xf numFmtId="44" fontId="77" fillId="86" borderId="124" xfId="0" applyNumberFormat="1" applyFont="1" applyFill="1" applyBorder="1"/>
    <xf numFmtId="44" fontId="77" fillId="87" borderId="124" xfId="0" applyNumberFormat="1" applyFont="1" applyFill="1" applyBorder="1"/>
    <xf numFmtId="0" fontId="58" fillId="85" borderId="0" xfId="0" applyFont="1" applyFill="1"/>
    <xf numFmtId="4" fontId="0" fillId="84" borderId="0" xfId="0" applyNumberFormat="1" applyFill="1"/>
    <xf numFmtId="4" fontId="69" fillId="86" borderId="0" xfId="0" applyNumberFormat="1" applyFont="1" applyFill="1"/>
    <xf numFmtId="4" fontId="181" fillId="86" borderId="0" xfId="11" applyNumberFormat="1" applyFont="1" applyFill="1" applyBorder="1" applyAlignment="1">
      <alignment horizontal="left" indent="1"/>
    </xf>
    <xf numFmtId="4" fontId="181" fillId="86" borderId="0" xfId="11" applyNumberFormat="1" applyFont="1" applyFill="1" applyBorder="1"/>
    <xf numFmtId="4" fontId="58" fillId="85" borderId="0" xfId="0" applyNumberFormat="1" applyFont="1" applyFill="1"/>
    <xf numFmtId="4" fontId="77" fillId="87" borderId="124" xfId="11" applyNumberFormat="1" applyFont="1" applyFill="1" applyBorder="1" applyAlignment="1">
      <alignment horizontal="left" indent="1"/>
    </xf>
    <xf numFmtId="4" fontId="77" fillId="87" borderId="0" xfId="0" applyNumberFormat="1" applyFont="1" applyFill="1"/>
    <xf numFmtId="4" fontId="77" fillId="87" borderId="124" xfId="0" applyNumberFormat="1" applyFont="1" applyFill="1" applyBorder="1" applyAlignment="1">
      <alignment horizontal="left" indent="1"/>
    </xf>
    <xf numFmtId="4" fontId="77" fillId="87" borderId="124" xfId="0" applyNumberFormat="1" applyFont="1" applyFill="1" applyBorder="1"/>
    <xf numFmtId="4" fontId="185" fillId="87" borderId="124" xfId="0" applyNumberFormat="1" applyFont="1" applyFill="1" applyBorder="1"/>
    <xf numFmtId="4" fontId="10" fillId="85" borderId="124" xfId="0" applyNumberFormat="1" applyFont="1" applyFill="1" applyBorder="1"/>
    <xf numFmtId="4" fontId="181" fillId="86" borderId="0" xfId="0" applyNumberFormat="1" applyFont="1" applyFill="1"/>
    <xf numFmtId="4" fontId="181" fillId="86" borderId="0" xfId="11" applyNumberFormat="1" applyFont="1" applyFill="1" applyBorder="1" applyAlignment="1">
      <alignment horizontal="left" indent="2"/>
    </xf>
    <xf numFmtId="4" fontId="186" fillId="86" borderId="124" xfId="0" applyNumberFormat="1" applyFont="1" applyFill="1" applyBorder="1"/>
    <xf numFmtId="4" fontId="181" fillId="86" borderId="124" xfId="0" applyNumberFormat="1" applyFont="1" applyFill="1" applyBorder="1"/>
    <xf numFmtId="0" fontId="0" fillId="65" borderId="0" xfId="0" applyFill="1"/>
    <xf numFmtId="4" fontId="58" fillId="84" borderId="0" xfId="0" applyNumberFormat="1" applyFont="1" applyFill="1"/>
    <xf numFmtId="4" fontId="0" fillId="0" borderId="0" xfId="0" applyNumberFormat="1"/>
    <xf numFmtId="171" fontId="141" fillId="53" borderId="0" xfId="0" applyNumberFormat="1" applyFont="1" applyFill="1"/>
    <xf numFmtId="0" fontId="27" fillId="84" borderId="0" xfId="0" applyFont="1" applyFill="1" applyAlignment="1">
      <alignment vertical="top"/>
    </xf>
    <xf numFmtId="0" fontId="58" fillId="84" borderId="0" xfId="0" applyFont="1" applyFill="1" applyAlignment="1">
      <alignment vertical="top"/>
    </xf>
    <xf numFmtId="0" fontId="27" fillId="65" borderId="0" xfId="0" applyFont="1" applyFill="1" applyAlignment="1">
      <alignment horizontal="left" vertical="top" indent="3"/>
    </xf>
    <xf numFmtId="44" fontId="58" fillId="85" borderId="0" xfId="0" applyNumberFormat="1" applyFont="1" applyFill="1"/>
    <xf numFmtId="44" fontId="0" fillId="85" borderId="0" xfId="0" applyNumberFormat="1" applyFill="1"/>
    <xf numFmtId="44" fontId="58" fillId="85" borderId="124" xfId="0" applyNumberFormat="1" applyFont="1" applyFill="1" applyBorder="1"/>
    <xf numFmtId="169" fontId="0" fillId="84" borderId="0" xfId="11" applyNumberFormat="1" applyFont="1" applyFill="1"/>
    <xf numFmtId="43" fontId="0" fillId="84" borderId="0" xfId="17" applyFont="1" applyFill="1"/>
    <xf numFmtId="169" fontId="0" fillId="85" borderId="0" xfId="0" applyNumberFormat="1" applyFill="1"/>
    <xf numFmtId="171" fontId="0" fillId="53" borderId="0" xfId="0" applyNumberFormat="1" applyFill="1"/>
    <xf numFmtId="4" fontId="0" fillId="53" borderId="0" xfId="0" applyNumberFormat="1" applyFill="1"/>
    <xf numFmtId="0" fontId="58" fillId="25" borderId="0" xfId="0" applyFont="1" applyFill="1"/>
    <xf numFmtId="44" fontId="58" fillId="25" borderId="0" xfId="0" applyNumberFormat="1" applyFont="1" applyFill="1"/>
    <xf numFmtId="0" fontId="58" fillId="65" borderId="0" xfId="0" applyFont="1" applyFill="1"/>
    <xf numFmtId="174" fontId="108" fillId="0" borderId="0" xfId="0" applyNumberFormat="1" applyFont="1" applyAlignment="1">
      <alignment horizontal="center" vertical="center"/>
    </xf>
    <xf numFmtId="0" fontId="108" fillId="0" borderId="0" xfId="0" applyFont="1" applyAlignment="1">
      <alignment horizontal="center" vertical="center"/>
    </xf>
    <xf numFmtId="174" fontId="108" fillId="0" borderId="116" xfId="0" applyNumberFormat="1" applyFont="1" applyBorder="1" applyAlignment="1">
      <alignment horizontal="center" vertical="center"/>
    </xf>
    <xf numFmtId="174" fontId="0" fillId="10" borderId="0" xfId="0" applyNumberFormat="1" applyFill="1" applyAlignment="1">
      <alignment horizontal="center" vertical="center"/>
    </xf>
    <xf numFmtId="0" fontId="0" fillId="10" borderId="0" xfId="0" applyFill="1" applyAlignment="1">
      <alignment horizontal="center" vertical="center"/>
    </xf>
    <xf numFmtId="174" fontId="0" fillId="10" borderId="116" xfId="0" applyNumberFormat="1" applyFill="1" applyBorder="1" applyAlignment="1">
      <alignment horizontal="center" vertical="center"/>
    </xf>
    <xf numFmtId="16" fontId="108" fillId="0" borderId="0" xfId="0" applyNumberFormat="1" applyFont="1" applyAlignment="1">
      <alignment horizontal="left" wrapText="1"/>
    </xf>
    <xf numFmtId="0" fontId="58" fillId="3" borderId="0" xfId="0" applyFont="1" applyFill="1" applyAlignment="1">
      <alignment horizontal="center"/>
    </xf>
    <xf numFmtId="0" fontId="105" fillId="0" borderId="0" xfId="0" applyFont="1" applyAlignment="1">
      <alignment horizontal="left" wrapText="1"/>
    </xf>
    <xf numFmtId="0" fontId="0" fillId="0" borderId="80" xfId="0" applyBorder="1" applyAlignment="1">
      <alignment vertical="center" wrapText="1"/>
    </xf>
    <xf numFmtId="0" fontId="58" fillId="48" borderId="22" xfId="0" applyFont="1" applyFill="1" applyBorder="1" applyAlignment="1">
      <alignment horizontal="center" vertical="center" wrapText="1"/>
    </xf>
    <xf numFmtId="0" fontId="0" fillId="48" borderId="22" xfId="0" applyFill="1" applyBorder="1" applyAlignment="1">
      <alignment vertical="center" wrapText="1"/>
    </xf>
    <xf numFmtId="0" fontId="124" fillId="44" borderId="80" xfId="0" applyFont="1" applyFill="1" applyBorder="1" applyAlignment="1">
      <alignment horizontal="center" vertical="center" wrapText="1"/>
    </xf>
    <xf numFmtId="16" fontId="58" fillId="45" borderId="80" xfId="0" applyNumberFormat="1" applyFont="1" applyFill="1" applyBorder="1" applyAlignment="1">
      <alignment vertical="center" wrapText="1"/>
    </xf>
    <xf numFmtId="0" fontId="124" fillId="44" borderId="0" xfId="0" applyFont="1" applyFill="1" applyAlignment="1">
      <alignment horizontal="center" vertical="center"/>
    </xf>
    <xf numFmtId="16" fontId="58" fillId="45" borderId="22" xfId="0" applyNumberFormat="1" applyFont="1" applyFill="1" applyBorder="1" applyAlignment="1">
      <alignment horizontal="left" vertical="center"/>
    </xf>
    <xf numFmtId="0" fontId="0" fillId="46" borderId="22" xfId="0" applyFill="1" applyBorder="1" applyAlignment="1">
      <alignment horizontal="left" vertical="center" wrapText="1"/>
    </xf>
    <xf numFmtId="0" fontId="58" fillId="47" borderId="22" xfId="0" applyFont="1" applyFill="1" applyBorder="1" applyAlignment="1">
      <alignment vertical="center" wrapText="1"/>
    </xf>
    <xf numFmtId="0" fontId="0" fillId="0" borderId="22" xfId="0" applyBorder="1" applyAlignment="1">
      <alignment vertical="top" wrapText="1"/>
    </xf>
    <xf numFmtId="0" fontId="0" fillId="47" borderId="22" xfId="0" applyFill="1" applyBorder="1" applyAlignment="1">
      <alignment horizontal="left" vertical="center" wrapText="1"/>
    </xf>
    <xf numFmtId="0" fontId="58" fillId="47" borderId="80" xfId="0" applyFont="1" applyFill="1" applyBorder="1" applyAlignment="1">
      <alignment vertical="center" wrapText="1"/>
    </xf>
    <xf numFmtId="0" fontId="0" fillId="47" borderId="80" xfId="0" applyFill="1" applyBorder="1" applyAlignment="1">
      <alignment horizontal="left" vertical="center" wrapText="1"/>
    </xf>
    <xf numFmtId="0" fontId="0" fillId="47" borderId="50" xfId="0" applyFill="1" applyBorder="1" applyAlignment="1">
      <alignment horizontal="left" vertical="center" wrapText="1"/>
    </xf>
    <xf numFmtId="0" fontId="58" fillId="48" borderId="80" xfId="0" applyFont="1" applyFill="1" applyBorder="1" applyAlignment="1">
      <alignment horizontal="center" vertical="center" wrapText="1"/>
    </xf>
    <xf numFmtId="0" fontId="0" fillId="48" borderId="80" xfId="0" applyFill="1" applyBorder="1" applyAlignment="1">
      <alignment vertical="center" wrapText="1"/>
    </xf>
    <xf numFmtId="0" fontId="140" fillId="0" borderId="0" xfId="0" applyFont="1" applyAlignment="1">
      <alignment horizontal="left" wrapText="1"/>
    </xf>
    <xf numFmtId="0" fontId="83" fillId="2" borderId="0" xfId="0" applyFont="1" applyFill="1" applyAlignment="1">
      <alignment horizontal="left" vertical="center" wrapText="1"/>
    </xf>
    <xf numFmtId="44" fontId="119" fillId="0" borderId="0" xfId="11" applyFont="1" applyAlignment="1">
      <alignment horizontal="center" wrapText="1"/>
    </xf>
    <xf numFmtId="0" fontId="0" fillId="5" borderId="55" xfId="0" applyFill="1" applyBorder="1" applyAlignment="1">
      <alignment horizontal="left"/>
    </xf>
    <xf numFmtId="0" fontId="0" fillId="5" borderId="52" xfId="0" applyFill="1" applyBorder="1" applyAlignment="1">
      <alignment horizontal="left"/>
    </xf>
    <xf numFmtId="0" fontId="0" fillId="5" borderId="56" xfId="0" applyFill="1" applyBorder="1" applyAlignment="1">
      <alignment horizontal="left"/>
    </xf>
    <xf numFmtId="0" fontId="0" fillId="5" borderId="57" xfId="0" applyFill="1" applyBorder="1" applyAlignment="1">
      <alignment horizontal="left"/>
    </xf>
    <xf numFmtId="0" fontId="0" fillId="5" borderId="58" xfId="0" applyFill="1" applyBorder="1" applyAlignment="1">
      <alignment horizontal="left"/>
    </xf>
    <xf numFmtId="0" fontId="0" fillId="5" borderId="59" xfId="0" applyFill="1" applyBorder="1" applyAlignment="1">
      <alignment horizontal="left"/>
    </xf>
    <xf numFmtId="0" fontId="0" fillId="0" borderId="0" xfId="0" applyAlignment="1">
      <alignment horizontal="left" vertical="center" wrapText="1"/>
    </xf>
    <xf numFmtId="0" fontId="64" fillId="0" borderId="79" xfId="14" applyFont="1" applyBorder="1" applyAlignment="1">
      <alignment horizontal="left" vertical="top" wrapText="1"/>
    </xf>
    <xf numFmtId="0" fontId="64" fillId="0" borderId="0" xfId="14" applyFont="1" applyBorder="1" applyAlignment="1">
      <alignment horizontal="left" vertical="top" wrapText="1"/>
    </xf>
    <xf numFmtId="0" fontId="0" fillId="0" borderId="0" xfId="0" applyAlignment="1">
      <alignment horizontal="left" vertical="top" wrapText="1"/>
    </xf>
    <xf numFmtId="0" fontId="61" fillId="0" borderId="0" xfId="14" applyFont="1" applyFill="1" applyBorder="1" applyAlignment="1">
      <alignment horizontal="left" vertical="top" wrapText="1"/>
    </xf>
    <xf numFmtId="0" fontId="64" fillId="0" borderId="0" xfId="14" applyFont="1" applyBorder="1" applyAlignment="1">
      <alignment horizontal="right" vertical="top" wrapText="1"/>
    </xf>
    <xf numFmtId="0" fontId="0" fillId="5" borderId="55" xfId="0" applyFill="1" applyBorder="1" applyAlignment="1">
      <alignment horizontal="left" wrapText="1"/>
    </xf>
    <xf numFmtId="0" fontId="0" fillId="5" borderId="52" xfId="0" applyFill="1" applyBorder="1" applyAlignment="1">
      <alignment horizontal="left" wrapText="1"/>
    </xf>
    <xf numFmtId="0" fontId="0" fillId="5" borderId="56" xfId="0" applyFill="1" applyBorder="1" applyAlignment="1">
      <alignment horizontal="left" wrapText="1"/>
    </xf>
    <xf numFmtId="0" fontId="0" fillId="5" borderId="63" xfId="0" applyFill="1" applyBorder="1" applyAlignment="1">
      <alignment horizontal="left" wrapText="1"/>
    </xf>
    <xf numFmtId="0" fontId="0" fillId="5" borderId="0" xfId="0" applyFill="1" applyAlignment="1">
      <alignment horizontal="left" wrapText="1"/>
    </xf>
    <xf numFmtId="0" fontId="0" fillId="5" borderId="64" xfId="0" applyFill="1" applyBorder="1" applyAlignment="1">
      <alignment horizontal="left" wrapText="1"/>
    </xf>
    <xf numFmtId="0" fontId="0" fillId="5" borderId="63" xfId="0" applyFill="1" applyBorder="1" applyAlignment="1">
      <alignment horizontal="left" vertical="top" wrapText="1"/>
    </xf>
    <xf numFmtId="0" fontId="0" fillId="5" borderId="0" xfId="0" applyFill="1" applyAlignment="1">
      <alignment horizontal="left" vertical="top" wrapText="1"/>
    </xf>
    <xf numFmtId="0" fontId="0" fillId="5" borderId="58" xfId="0" applyFill="1" applyBorder="1" applyAlignment="1">
      <alignment horizontal="left" vertical="top" wrapText="1"/>
    </xf>
    <xf numFmtId="0" fontId="0" fillId="5" borderId="59" xfId="0" applyFill="1" applyBorder="1" applyAlignment="1">
      <alignment horizontal="left" vertical="top" wrapText="1"/>
    </xf>
    <xf numFmtId="37" fontId="0" fillId="0" borderId="0" xfId="0" applyNumberFormat="1" applyAlignment="1">
      <alignment horizontal="left" vertical="top" wrapText="1"/>
    </xf>
    <xf numFmtId="0" fontId="29" fillId="10" borderId="0" xfId="0" applyFont="1" applyFill="1" applyAlignment="1">
      <alignment horizontal="center" wrapText="1"/>
    </xf>
    <xf numFmtId="0" fontId="0" fillId="5" borderId="51" xfId="0" applyFill="1" applyBorder="1" applyAlignment="1">
      <alignment horizontal="left" vertical="top" wrapText="1"/>
    </xf>
    <xf numFmtId="0" fontId="0" fillId="5" borderId="52" xfId="0" applyFill="1" applyBorder="1" applyAlignment="1">
      <alignment horizontal="left" vertical="top" wrapText="1"/>
    </xf>
    <xf numFmtId="0" fontId="0" fillId="5" borderId="53" xfId="0" applyFill="1" applyBorder="1" applyAlignment="1">
      <alignment horizontal="left" vertical="top"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66" xfId="0" applyFill="1" applyBorder="1" applyAlignment="1">
      <alignment horizontal="left" wrapText="1"/>
    </xf>
    <xf numFmtId="0" fontId="0" fillId="5" borderId="58" xfId="0" applyFill="1" applyBorder="1" applyAlignment="1">
      <alignment horizontal="left" wrapText="1"/>
    </xf>
    <xf numFmtId="0" fontId="0" fillId="5" borderId="67" xfId="0" applyFill="1" applyBorder="1" applyAlignment="1">
      <alignment horizontal="left" wrapText="1"/>
    </xf>
    <xf numFmtId="0" fontId="0" fillId="5" borderId="55" xfId="0" applyFill="1" applyBorder="1" applyAlignment="1">
      <alignment horizontal="left" vertical="center" wrapText="1"/>
    </xf>
    <xf numFmtId="0" fontId="0" fillId="5" borderId="52" xfId="0" applyFill="1" applyBorder="1" applyAlignment="1">
      <alignment horizontal="left" vertical="center" wrapText="1"/>
    </xf>
    <xf numFmtId="0" fontId="0" fillId="5" borderId="56" xfId="0" applyFill="1" applyBorder="1" applyAlignment="1">
      <alignment horizontal="left" vertical="center" wrapText="1"/>
    </xf>
    <xf numFmtId="0" fontId="0" fillId="5" borderId="63" xfId="0" applyFill="1" applyBorder="1" applyAlignment="1">
      <alignment horizontal="left" vertical="center" wrapText="1"/>
    </xf>
    <xf numFmtId="0" fontId="0" fillId="5" borderId="0" xfId="0" applyFill="1" applyAlignment="1">
      <alignment horizontal="left" vertical="center" wrapText="1"/>
    </xf>
    <xf numFmtId="0" fontId="0" fillId="5" borderId="64" xfId="0" applyFill="1" applyBorder="1" applyAlignment="1">
      <alignment horizontal="left" vertical="center" wrapText="1"/>
    </xf>
    <xf numFmtId="0" fontId="0" fillId="5" borderId="57" xfId="0" applyFill="1" applyBorder="1" applyAlignment="1">
      <alignment horizontal="left" wrapText="1"/>
    </xf>
    <xf numFmtId="0" fontId="0" fillId="5" borderId="59" xfId="0" applyFill="1" applyBorder="1" applyAlignment="1">
      <alignment horizontal="left" wrapText="1"/>
    </xf>
    <xf numFmtId="0" fontId="0" fillId="5" borderId="57" xfId="0" applyFill="1" applyBorder="1" applyAlignment="1">
      <alignment horizontal="left" vertical="top" wrapText="1"/>
    </xf>
    <xf numFmtId="0" fontId="0" fillId="5" borderId="55" xfId="0" applyFill="1" applyBorder="1" applyAlignment="1">
      <alignment horizontal="left" vertical="top" wrapText="1"/>
    </xf>
    <xf numFmtId="0" fontId="0" fillId="0" borderId="80" xfId="0" applyBorder="1" applyAlignment="1">
      <alignment horizontal="left" vertical="center" wrapText="1"/>
    </xf>
    <xf numFmtId="0" fontId="60" fillId="5" borderId="57" xfId="0" applyFont="1" applyFill="1" applyBorder="1" applyAlignment="1">
      <alignment horizontal="left" wrapText="1"/>
    </xf>
    <xf numFmtId="0" fontId="60" fillId="5" borderId="58" xfId="0" applyFont="1" applyFill="1" applyBorder="1" applyAlignment="1">
      <alignment horizontal="left" wrapText="1"/>
    </xf>
    <xf numFmtId="0" fontId="60" fillId="5" borderId="67" xfId="0" applyFont="1" applyFill="1" applyBorder="1" applyAlignment="1">
      <alignment horizontal="left" wrapText="1"/>
    </xf>
    <xf numFmtId="0" fontId="0" fillId="0" borderId="7" xfId="0" applyBorder="1" applyAlignment="1">
      <alignment horizontal="left" vertical="center" wrapText="1"/>
    </xf>
    <xf numFmtId="0" fontId="0" fillId="0" borderId="7" xfId="0" applyBorder="1" applyAlignment="1">
      <alignment horizontal="left" vertical="top" wrapText="1"/>
    </xf>
    <xf numFmtId="0" fontId="49" fillId="0" borderId="0" xfId="0" applyFont="1" applyAlignment="1">
      <alignment horizontal="left" vertical="top" wrapText="1"/>
    </xf>
    <xf numFmtId="0" fontId="49" fillId="0" borderId="7" xfId="0" applyFont="1" applyBorder="1" applyAlignment="1">
      <alignment horizontal="left" vertical="top" wrapText="1"/>
    </xf>
    <xf numFmtId="0" fontId="0" fillId="5" borderId="0" xfId="0" applyFill="1" applyAlignment="1">
      <alignment horizontal="left" wrapText="1" indent="2"/>
    </xf>
    <xf numFmtId="0" fontId="58" fillId="8" borderId="50" xfId="0" applyFont="1" applyFill="1" applyBorder="1" applyAlignment="1">
      <alignment horizontal="left" wrapText="1"/>
    </xf>
    <xf numFmtId="0" fontId="58" fillId="8" borderId="49" xfId="0" applyFont="1" applyFill="1" applyBorder="1" applyAlignment="1">
      <alignment horizontal="left" wrapText="1"/>
    </xf>
    <xf numFmtId="0" fontId="0" fillId="5" borderId="3" xfId="0" applyFill="1" applyBorder="1" applyAlignment="1">
      <alignment horizontal="left" wrapText="1"/>
    </xf>
    <xf numFmtId="0" fontId="0" fillId="5" borderId="65" xfId="0" applyFill="1" applyBorder="1" applyAlignment="1">
      <alignment horizontal="left" wrapText="1"/>
    </xf>
    <xf numFmtId="0" fontId="0" fillId="8" borderId="80" xfId="0" applyFill="1" applyBorder="1" applyAlignment="1">
      <alignment horizontal="left" wrapText="1"/>
    </xf>
    <xf numFmtId="0" fontId="0" fillId="8" borderId="80" xfId="0" applyFill="1" applyBorder="1" applyAlignment="1">
      <alignment horizontal="left"/>
    </xf>
    <xf numFmtId="0" fontId="0" fillId="8" borderId="80" xfId="0" applyFill="1" applyBorder="1" applyAlignment="1">
      <alignment horizontal="left" vertical="center" wrapText="1"/>
    </xf>
    <xf numFmtId="0" fontId="0" fillId="8" borderId="80" xfId="0" applyFill="1" applyBorder="1" applyAlignment="1">
      <alignment horizontal="left" vertical="center"/>
    </xf>
    <xf numFmtId="0" fontId="0" fillId="5" borderId="0" xfId="0" applyFill="1" applyAlignment="1">
      <alignment horizontal="left" vertical="top" wrapText="1" indent="3"/>
    </xf>
    <xf numFmtId="0" fontId="0" fillId="5" borderId="0" xfId="0" applyFill="1" applyAlignment="1">
      <alignment horizontal="left"/>
    </xf>
    <xf numFmtId="0" fontId="0" fillId="79" borderId="0" xfId="0" applyFill="1" applyAlignment="1">
      <alignment horizontal="center"/>
    </xf>
    <xf numFmtId="0" fontId="153" fillId="80" borderId="0" xfId="0" applyFont="1" applyFill="1" applyAlignment="1">
      <alignment horizontal="center"/>
    </xf>
    <xf numFmtId="180" fontId="10" fillId="76" borderId="50" xfId="2" applyNumberFormat="1" applyFont="1" applyFill="1" applyBorder="1" applyAlignment="1">
      <alignment horizontal="center"/>
    </xf>
    <xf numFmtId="180" fontId="10" fillId="76" borderId="116" xfId="2" applyNumberFormat="1" applyFont="1" applyFill="1" applyBorder="1" applyAlignment="1">
      <alignment horizontal="center"/>
    </xf>
    <xf numFmtId="180" fontId="10" fillId="76" borderId="49" xfId="2" applyNumberFormat="1" applyFont="1" applyFill="1" applyBorder="1" applyAlignment="1">
      <alignment horizontal="center"/>
    </xf>
    <xf numFmtId="174" fontId="10" fillId="16" borderId="50" xfId="17" applyNumberFormat="1" applyFont="1" applyFill="1" applyBorder="1" applyAlignment="1">
      <alignment horizontal="center"/>
    </xf>
    <xf numFmtId="174" fontId="10" fillId="16" borderId="116" xfId="17" applyNumberFormat="1" applyFont="1" applyFill="1" applyBorder="1" applyAlignment="1">
      <alignment horizontal="center"/>
    </xf>
    <xf numFmtId="174" fontId="10" fillId="16" borderId="49" xfId="17" applyNumberFormat="1" applyFont="1" applyFill="1" applyBorder="1" applyAlignment="1">
      <alignment horizontal="center"/>
    </xf>
    <xf numFmtId="167" fontId="0" fillId="3" borderId="0" xfId="49" applyNumberFormat="1" applyFont="1" applyFill="1" applyBorder="1" applyAlignment="1">
      <alignment horizontal="center" wrapText="1"/>
    </xf>
    <xf numFmtId="0" fontId="0" fillId="5" borderId="55" xfId="0" applyFill="1" applyBorder="1"/>
    <xf numFmtId="0" fontId="0" fillId="5" borderId="52" xfId="0" applyFill="1" applyBorder="1"/>
    <xf numFmtId="0" fontId="0" fillId="5" borderId="56" xfId="0" applyFill="1" applyBorder="1"/>
    <xf numFmtId="0" fontId="0" fillId="5" borderId="57" xfId="0" applyFill="1" applyBorder="1"/>
    <xf numFmtId="0" fontId="0" fillId="5" borderId="58" xfId="0" applyFill="1" applyBorder="1"/>
    <xf numFmtId="0" fontId="0" fillId="5" borderId="59" xfId="0" applyFill="1" applyBorder="1"/>
    <xf numFmtId="0" fontId="0" fillId="8" borderId="0" xfId="0" applyFill="1" applyAlignment="1">
      <alignment horizontal="left" vertical="center" wrapText="1"/>
    </xf>
    <xf numFmtId="0" fontId="0" fillId="0" borderId="0" xfId="0" applyAlignment="1">
      <alignment horizontal="left" wrapText="1"/>
    </xf>
    <xf numFmtId="0" fontId="58" fillId="8" borderId="3" xfId="0" applyFont="1" applyFill="1" applyBorder="1" applyAlignment="1">
      <alignment horizontal="center" vertical="center" wrapText="1"/>
    </xf>
    <xf numFmtId="0" fontId="0" fillId="2" borderId="0" xfId="0" applyFill="1" applyAlignment="1">
      <alignment horizontal="left" vertical="center" wrapText="1"/>
    </xf>
    <xf numFmtId="0" fontId="0" fillId="0" borderId="79" xfId="0" applyBorder="1" applyAlignment="1">
      <alignment horizontal="left" vertical="top" wrapText="1"/>
    </xf>
    <xf numFmtId="0" fontId="0" fillId="0" borderId="0" xfId="0" applyAlignment="1">
      <alignment horizontal="left" wrapText="1" indent="2"/>
    </xf>
    <xf numFmtId="0" fontId="0" fillId="8" borderId="50" xfId="0" applyFill="1" applyBorder="1" applyAlignment="1">
      <alignment horizontal="left" vertical="center" wrapText="1"/>
    </xf>
    <xf numFmtId="0" fontId="0" fillId="8" borderId="116" xfId="0" applyFill="1" applyBorder="1" applyAlignment="1">
      <alignment horizontal="left" vertical="center" wrapText="1"/>
    </xf>
    <xf numFmtId="0" fontId="0" fillId="8" borderId="49" xfId="0" applyFill="1" applyBorder="1" applyAlignment="1">
      <alignment horizontal="left" vertical="center" wrapText="1"/>
    </xf>
    <xf numFmtId="0" fontId="0" fillId="0" borderId="3" xfId="0" applyBorder="1" applyAlignment="1">
      <alignment horizontal="left" vertical="top" wrapText="1"/>
    </xf>
    <xf numFmtId="10" fontId="58" fillId="8" borderId="119" xfId="18" applyNumberFormat="1" applyFont="1" applyFill="1" applyBorder="1" applyAlignment="1">
      <alignment horizontal="center"/>
    </xf>
    <xf numFmtId="10" fontId="58" fillId="8" borderId="2" xfId="18" applyNumberFormat="1" applyFont="1" applyFill="1" applyBorder="1" applyAlignment="1">
      <alignment horizontal="center"/>
    </xf>
    <xf numFmtId="0" fontId="58" fillId="0" borderId="0" xfId="0" applyFont="1" applyAlignment="1">
      <alignment horizontal="left" vertical="top" wrapText="1"/>
    </xf>
    <xf numFmtId="0" fontId="70" fillId="0" borderId="0" xfId="0" applyFont="1" applyAlignment="1">
      <alignment horizontal="left" vertical="center" wrapText="1"/>
    </xf>
    <xf numFmtId="0" fontId="58" fillId="9" borderId="0" xfId="0" applyFont="1" applyFill="1" applyAlignment="1">
      <alignment horizontal="left" vertical="center" wrapText="1"/>
    </xf>
    <xf numFmtId="0" fontId="109" fillId="9" borderId="0" xfId="0" applyFont="1" applyFill="1" applyAlignment="1">
      <alignment horizontal="left" vertical="center" wrapText="1"/>
    </xf>
    <xf numFmtId="0" fontId="57" fillId="0" borderId="0" xfId="0" applyFont="1" applyAlignment="1">
      <alignment horizontal="center"/>
    </xf>
    <xf numFmtId="0" fontId="135" fillId="0" borderId="0" xfId="0" applyFont="1" applyAlignment="1">
      <alignment horizontal="center"/>
    </xf>
    <xf numFmtId="0" fontId="10" fillId="15" borderId="83" xfId="0" applyFont="1" applyFill="1" applyBorder="1" applyAlignment="1">
      <alignment horizontal="center"/>
    </xf>
    <xf numFmtId="0" fontId="72" fillId="36" borderId="0" xfId="0" applyFont="1" applyFill="1" applyAlignment="1">
      <alignment horizontal="center"/>
    </xf>
    <xf numFmtId="0" fontId="0" fillId="35" borderId="0" xfId="0" applyFill="1" applyAlignment="1">
      <alignment horizontal="center" wrapText="1"/>
    </xf>
    <xf numFmtId="0" fontId="118" fillId="0" borderId="0" xfId="0" applyFont="1" applyAlignment="1">
      <alignment horizontal="center" wrapText="1"/>
    </xf>
    <xf numFmtId="0" fontId="51" fillId="0" borderId="0" xfId="0" applyFont="1" applyAlignment="1">
      <alignment horizontal="center" wrapText="1"/>
    </xf>
    <xf numFmtId="0" fontId="10" fillId="0" borderId="6" xfId="0" applyFont="1" applyBorder="1" applyAlignment="1">
      <alignment horizontal="center" wrapText="1"/>
    </xf>
    <xf numFmtId="0" fontId="10" fillId="0" borderId="0" xfId="0" applyFont="1" applyAlignment="1">
      <alignment horizontal="center" wrapText="1"/>
    </xf>
    <xf numFmtId="0" fontId="23" fillId="0" borderId="121" xfId="13" applyFont="1" applyBorder="1" applyAlignment="1">
      <alignment horizontal="center"/>
    </xf>
    <xf numFmtId="0" fontId="23" fillId="0" borderId="91" xfId="13" applyFont="1" applyBorder="1" applyAlignment="1">
      <alignment horizontal="center"/>
    </xf>
    <xf numFmtId="0" fontId="131" fillId="0" borderId="10" xfId="0" quotePrefix="1" applyFont="1" applyBorder="1" applyAlignment="1">
      <alignment horizontal="center" wrapText="1"/>
    </xf>
    <xf numFmtId="0" fontId="131" fillId="0" borderId="10" xfId="0" applyFont="1" applyBorder="1" applyAlignment="1">
      <alignment horizontal="center" wrapText="1"/>
    </xf>
    <xf numFmtId="0" fontId="131" fillId="0" borderId="2" xfId="0" applyFont="1" applyBorder="1" applyAlignment="1">
      <alignment horizontal="center" wrapText="1"/>
    </xf>
    <xf numFmtId="0" fontId="131" fillId="49" borderId="122" xfId="0" quotePrefix="1" applyFont="1" applyFill="1" applyBorder="1" applyAlignment="1">
      <alignment horizontal="center" wrapText="1"/>
    </xf>
    <xf numFmtId="0" fontId="131" fillId="49" borderId="34" xfId="0" quotePrefix="1" applyFont="1" applyFill="1" applyBorder="1" applyAlignment="1">
      <alignment horizontal="center" wrapText="1"/>
    </xf>
    <xf numFmtId="0" fontId="131" fillId="0" borderId="97" xfId="0" quotePrefix="1" applyFont="1" applyBorder="1" applyAlignment="1">
      <alignment horizontal="center" wrapText="1"/>
    </xf>
    <xf numFmtId="0" fontId="131" fillId="0" borderId="1" xfId="0" quotePrefix="1" applyFont="1" applyBorder="1" applyAlignment="1">
      <alignment horizontal="center" wrapText="1"/>
    </xf>
    <xf numFmtId="0" fontId="131" fillId="0" borderId="33" xfId="0" quotePrefix="1" applyFont="1" applyBorder="1" applyAlignment="1">
      <alignment horizontal="center" wrapText="1"/>
    </xf>
    <xf numFmtId="0" fontId="131" fillId="0" borderId="1" xfId="0" applyFont="1" applyBorder="1" applyAlignment="1">
      <alignment horizontal="center" wrapText="1"/>
    </xf>
    <xf numFmtId="0" fontId="131" fillId="0" borderId="33" xfId="0" applyFont="1" applyBorder="1" applyAlignment="1">
      <alignment horizontal="center" wrapText="1"/>
    </xf>
    <xf numFmtId="0" fontId="131" fillId="49" borderId="1" xfId="0" quotePrefix="1" applyFont="1" applyFill="1" applyBorder="1" applyAlignment="1">
      <alignment horizontal="center" wrapText="1"/>
    </xf>
    <xf numFmtId="0" fontId="131" fillId="49" borderId="33" xfId="0" applyFont="1" applyFill="1" applyBorder="1" applyAlignment="1">
      <alignment horizontal="center" wrapText="1"/>
    </xf>
    <xf numFmtId="0" fontId="131" fillId="0" borderId="94" xfId="0" applyFont="1" applyBorder="1" applyAlignment="1">
      <alignment horizontal="center" vertical="center"/>
    </xf>
    <xf numFmtId="0" fontId="131" fillId="0" borderId="91" xfId="0" applyFont="1" applyBorder="1" applyAlignment="1">
      <alignment horizontal="center" vertical="center"/>
    </xf>
    <xf numFmtId="0" fontId="131" fillId="0" borderId="103" xfId="0" applyFont="1" applyBorder="1" applyAlignment="1">
      <alignment horizontal="center" vertical="center"/>
    </xf>
    <xf numFmtId="0" fontId="131" fillId="0" borderId="100" xfId="0" quotePrefix="1" applyFont="1" applyBorder="1" applyAlignment="1">
      <alignment horizontal="center" wrapText="1"/>
    </xf>
    <xf numFmtId="0" fontId="131" fillId="0" borderId="2" xfId="0" quotePrefix="1" applyFont="1" applyBorder="1" applyAlignment="1">
      <alignment horizontal="center" wrapText="1"/>
    </xf>
    <xf numFmtId="0" fontId="131" fillId="0" borderId="95" xfId="0" quotePrefix="1" applyFont="1" applyBorder="1" applyAlignment="1">
      <alignment horizontal="center" wrapText="1"/>
    </xf>
    <xf numFmtId="0" fontId="131" fillId="0" borderId="9" xfId="0" quotePrefix="1" applyFont="1" applyBorder="1" applyAlignment="1">
      <alignment horizontal="center" wrapText="1"/>
    </xf>
    <xf numFmtId="0" fontId="131" fillId="0" borderId="32" xfId="0" quotePrefix="1" applyFont="1" applyBorder="1" applyAlignment="1">
      <alignment horizontal="center" wrapText="1"/>
    </xf>
    <xf numFmtId="0" fontId="131" fillId="0" borderId="121" xfId="0" applyFont="1" applyBorder="1" applyAlignment="1">
      <alignment horizontal="center" vertical="center"/>
    </xf>
    <xf numFmtId="0" fontId="131" fillId="0" borderId="30" xfId="0" quotePrefix="1" applyFont="1" applyBorder="1" applyAlignment="1">
      <alignment horizontal="center" wrapText="1"/>
    </xf>
    <xf numFmtId="0" fontId="131" fillId="0" borderId="31" xfId="0" quotePrefix="1" applyFont="1" applyBorder="1" applyAlignment="1">
      <alignment horizontal="center" wrapText="1"/>
    </xf>
    <xf numFmtId="0" fontId="131" fillId="0" borderId="121" xfId="0" applyFont="1" applyBorder="1" applyAlignment="1">
      <alignment horizontal="center"/>
    </xf>
    <xf numFmtId="0" fontId="131" fillId="0" borderId="91" xfId="0" applyFont="1" applyBorder="1" applyAlignment="1">
      <alignment horizontal="center"/>
    </xf>
    <xf numFmtId="0" fontId="131" fillId="0" borderId="103" xfId="0" applyFont="1" applyBorder="1" applyAlignment="1">
      <alignment horizontal="center"/>
    </xf>
    <xf numFmtId="0" fontId="23" fillId="0" borderId="50" xfId="13" applyFont="1" applyBorder="1" applyAlignment="1">
      <alignment horizontal="center"/>
    </xf>
    <xf numFmtId="0" fontId="23" fillId="0" borderId="109" xfId="13" applyFont="1" applyBorder="1" applyAlignment="1">
      <alignment horizontal="center"/>
    </xf>
    <xf numFmtId="0" fontId="23" fillId="0" borderId="49" xfId="13" applyFont="1" applyBorder="1" applyAlignment="1">
      <alignment horizontal="center"/>
    </xf>
    <xf numFmtId="0" fontId="25" fillId="0" borderId="12" xfId="0" applyFont="1" applyBorder="1" applyAlignment="1">
      <alignment horizontal="center"/>
    </xf>
    <xf numFmtId="0" fontId="25" fillId="0" borderId="13" xfId="0" applyFont="1" applyBorder="1" applyAlignment="1">
      <alignment horizontal="center"/>
    </xf>
    <xf numFmtId="0" fontId="40" fillId="0" borderId="0" xfId="0" quotePrefix="1" applyFont="1" applyAlignment="1">
      <alignment horizontal="left" vertical="center" wrapText="1"/>
    </xf>
    <xf numFmtId="0" fontId="0" fillId="0" borderId="0" xfId="0" applyAlignment="1">
      <alignment vertical="center" wrapText="1"/>
    </xf>
    <xf numFmtId="0" fontId="23" fillId="0" borderId="110" xfId="0" quotePrefix="1" applyFont="1" applyBorder="1" applyAlignment="1">
      <alignment horizontal="center"/>
    </xf>
    <xf numFmtId="0" fontId="23" fillId="0" borderId="8" xfId="0" quotePrefix="1" applyFont="1" applyBorder="1" applyAlignment="1">
      <alignment horizontal="center" vertical="center"/>
    </xf>
    <xf numFmtId="0" fontId="23" fillId="0" borderId="3" xfId="0" quotePrefix="1" applyFont="1" applyBorder="1" applyAlignment="1">
      <alignment horizontal="center" vertical="center"/>
    </xf>
    <xf numFmtId="0" fontId="23" fillId="0" borderId="4" xfId="0" quotePrefix="1" applyFont="1" applyBorder="1" applyAlignment="1">
      <alignment horizontal="center" vertical="center"/>
    </xf>
    <xf numFmtId="3" fontId="23" fillId="0" borderId="3" xfId="0" quotePrefix="1" applyNumberFormat="1" applyFont="1" applyBorder="1" applyAlignment="1">
      <alignment horizontal="center" vertical="center"/>
    </xf>
    <xf numFmtId="0" fontId="33" fillId="50" borderId="50" xfId="0" quotePrefix="1" applyFont="1" applyFill="1" applyBorder="1" applyAlignment="1">
      <alignment horizontal="center" vertical="center"/>
    </xf>
    <xf numFmtId="0" fontId="33" fillId="50" borderId="109" xfId="0" quotePrefix="1" applyFont="1" applyFill="1" applyBorder="1" applyAlignment="1">
      <alignment horizontal="center" vertical="center"/>
    </xf>
    <xf numFmtId="0" fontId="33" fillId="50" borderId="49" xfId="0" quotePrefix="1" applyFont="1" applyFill="1" applyBorder="1" applyAlignment="1">
      <alignment horizontal="center" vertical="center"/>
    </xf>
    <xf numFmtId="174" fontId="10" fillId="69" borderId="39" xfId="17" applyNumberFormat="1" applyFont="1" applyFill="1" applyBorder="1" applyAlignment="1">
      <alignment horizontal="center" wrapText="1"/>
    </xf>
    <xf numFmtId="174" fontId="10" fillId="69" borderId="76" xfId="17" applyNumberFormat="1" applyFont="1" applyFill="1" applyBorder="1" applyAlignment="1">
      <alignment horizontal="center" wrapText="1"/>
    </xf>
    <xf numFmtId="0" fontId="23" fillId="0" borderId="98" xfId="0" quotePrefix="1" applyFont="1" applyBorder="1" applyAlignment="1">
      <alignment horizontal="center"/>
    </xf>
    <xf numFmtId="0" fontId="23" fillId="0" borderId="99" xfId="0" quotePrefix="1" applyFont="1" applyBorder="1" applyAlignment="1">
      <alignment horizontal="center"/>
    </xf>
    <xf numFmtId="174" fontId="147" fillId="67" borderId="72" xfId="78" applyNumberFormat="1" applyFont="1" applyFill="1" applyBorder="1" applyAlignment="1" applyProtection="1">
      <alignment horizontal="center"/>
    </xf>
    <xf numFmtId="174" fontId="147" fillId="67" borderId="0" xfId="78" applyNumberFormat="1" applyFont="1" applyFill="1" applyBorder="1" applyAlignment="1" applyProtection="1">
      <alignment horizontal="center"/>
    </xf>
    <xf numFmtId="0" fontId="23" fillId="0" borderId="116" xfId="13" applyFont="1" applyBorder="1" applyAlignment="1">
      <alignment horizontal="center"/>
    </xf>
    <xf numFmtId="0" fontId="23" fillId="0" borderId="0" xfId="13" applyFont="1" applyAlignment="1">
      <alignment horizontal="right" wrapText="1"/>
    </xf>
    <xf numFmtId="0" fontId="0" fillId="0" borderId="0" xfId="0" applyAlignment="1">
      <alignment horizontal="center" vertical="center" wrapText="1"/>
    </xf>
    <xf numFmtId="0" fontId="0" fillId="0" borderId="3" xfId="0" applyBorder="1" applyAlignment="1">
      <alignment horizontal="center" vertical="center" wrapText="1"/>
    </xf>
    <xf numFmtId="0" fontId="75" fillId="0" borderId="0" xfId="0" applyFont="1" applyAlignment="1">
      <alignment horizontal="left" vertical="center" wrapText="1"/>
    </xf>
    <xf numFmtId="0" fontId="10" fillId="0" borderId="0" xfId="0" applyFont="1" applyAlignment="1">
      <alignment horizontal="left" wrapText="1"/>
    </xf>
    <xf numFmtId="171" fontId="56" fillId="0" borderId="0" xfId="11" applyNumberFormat="1" applyAlignment="1">
      <alignment horizontal="center" vertical="center"/>
    </xf>
    <xf numFmtId="171" fontId="56" fillId="0" borderId="3" xfId="11" applyNumberFormat="1" applyBorder="1" applyAlignment="1">
      <alignment horizontal="center" vertical="center"/>
    </xf>
    <xf numFmtId="0" fontId="27" fillId="0" borderId="0" xfId="0" applyFont="1" applyAlignment="1">
      <alignment horizontal="left" wrapText="1"/>
    </xf>
    <xf numFmtId="0" fontId="49" fillId="0" borderId="0" xfId="0" applyFont="1" applyAlignment="1">
      <alignment horizontal="left" wrapText="1"/>
    </xf>
    <xf numFmtId="49" fontId="131" fillId="0" borderId="98" xfId="0" quotePrefix="1" applyNumberFormat="1" applyFont="1" applyBorder="1" applyAlignment="1">
      <alignment horizontal="center" wrapText="1"/>
    </xf>
    <xf numFmtId="49" fontId="131" fillId="0" borderId="110" xfId="0" quotePrefix="1" applyNumberFormat="1" applyFont="1" applyBorder="1" applyAlignment="1">
      <alignment horizontal="center" wrapText="1"/>
    </xf>
    <xf numFmtId="49" fontId="131" fillId="0" borderId="99" xfId="0" quotePrefix="1" applyNumberFormat="1" applyFont="1" applyBorder="1" applyAlignment="1">
      <alignment horizontal="center" wrapText="1"/>
    </xf>
    <xf numFmtId="49" fontId="131" fillId="0" borderId="34" xfId="0" quotePrefix="1" applyNumberFormat="1" applyFont="1" applyBorder="1" applyAlignment="1">
      <alignment horizontal="center" wrapText="1"/>
    </xf>
    <xf numFmtId="49" fontId="131" fillId="0" borderId="35" xfId="0" quotePrefix="1" applyNumberFormat="1" applyFont="1" applyBorder="1" applyAlignment="1">
      <alignment horizontal="center" wrapText="1"/>
    </xf>
    <xf numFmtId="49" fontId="131" fillId="0" borderId="37" xfId="0" quotePrefix="1" applyNumberFormat="1" applyFont="1" applyBorder="1" applyAlignment="1">
      <alignment horizontal="center" wrapText="1"/>
    </xf>
    <xf numFmtId="49" fontId="131" fillId="0" borderId="100" xfId="0" quotePrefix="1" applyNumberFormat="1" applyFont="1" applyBorder="1" applyAlignment="1">
      <alignment horizontal="center" wrapText="1"/>
    </xf>
    <xf numFmtId="49" fontId="131" fillId="0" borderId="38" xfId="0" quotePrefix="1" applyNumberFormat="1" applyFont="1" applyBorder="1" applyAlignment="1">
      <alignment horizontal="center" wrapText="1"/>
    </xf>
    <xf numFmtId="0" fontId="131" fillId="0" borderId="104" xfId="0" quotePrefix="1" applyFont="1" applyBorder="1" applyAlignment="1">
      <alignment horizontal="center" wrapText="1"/>
    </xf>
    <xf numFmtId="0" fontId="131" fillId="51" borderId="97" xfId="0" quotePrefix="1" applyFont="1" applyFill="1" applyBorder="1" applyAlignment="1">
      <alignment horizontal="center" wrapText="1"/>
    </xf>
    <xf numFmtId="0" fontId="131" fillId="51" borderId="33" xfId="0" quotePrefix="1" applyFont="1" applyFill="1" applyBorder="1" applyAlignment="1">
      <alignment horizontal="center" wrapText="1"/>
    </xf>
    <xf numFmtId="0" fontId="25" fillId="0" borderId="8" xfId="19" applyFont="1" applyBorder="1" applyAlignment="1">
      <alignment horizontal="center" vertical="center"/>
    </xf>
    <xf numFmtId="0" fontId="25" fillId="0" borderId="3" xfId="19" applyFont="1" applyBorder="1" applyAlignment="1">
      <alignment horizontal="center" vertical="center"/>
    </xf>
    <xf numFmtId="3" fontId="23" fillId="0" borderId="3" xfId="13" quotePrefix="1" applyNumberFormat="1" applyFont="1" applyBorder="1" applyAlignment="1">
      <alignment horizontal="center" vertical="center"/>
    </xf>
    <xf numFmtId="0" fontId="23" fillId="0" borderId="3" xfId="13" quotePrefix="1" applyFont="1" applyBorder="1" applyAlignment="1">
      <alignment horizontal="center" vertical="center"/>
    </xf>
    <xf numFmtId="0" fontId="33" fillId="23" borderId="50" xfId="0" quotePrefix="1" applyFont="1" applyFill="1" applyBorder="1" applyAlignment="1">
      <alignment horizontal="center" vertical="center"/>
    </xf>
    <xf numFmtId="0" fontId="33" fillId="23" borderId="109" xfId="0" quotePrefix="1" applyFont="1" applyFill="1" applyBorder="1" applyAlignment="1">
      <alignment horizontal="center" vertical="center"/>
    </xf>
    <xf numFmtId="0" fontId="33" fillId="23" borderId="49" xfId="0" quotePrefix="1" applyFont="1" applyFill="1" applyBorder="1" applyAlignment="1">
      <alignment horizontal="center" vertical="center"/>
    </xf>
    <xf numFmtId="0" fontId="55" fillId="22" borderId="50" xfId="0" quotePrefix="1" applyFont="1" applyFill="1" applyBorder="1" applyAlignment="1">
      <alignment horizontal="center" vertical="center"/>
    </xf>
    <xf numFmtId="0" fontId="55" fillId="22" borderId="109" xfId="0" quotePrefix="1" applyFont="1" applyFill="1" applyBorder="1" applyAlignment="1">
      <alignment horizontal="center" vertical="center"/>
    </xf>
    <xf numFmtId="0" fontId="55" fillId="22" borderId="49" xfId="0" quotePrefix="1" applyFont="1" applyFill="1" applyBorder="1" applyAlignment="1">
      <alignment horizontal="center" vertical="center"/>
    </xf>
    <xf numFmtId="0" fontId="23" fillId="0" borderId="110" xfId="13" quotePrefix="1" applyFont="1" applyBorder="1" applyAlignment="1">
      <alignment horizontal="center"/>
    </xf>
    <xf numFmtId="0" fontId="33" fillId="50" borderId="50" xfId="13" quotePrefix="1" applyFont="1" applyFill="1" applyBorder="1" applyAlignment="1">
      <alignment horizontal="center" vertical="center"/>
    </xf>
    <xf numFmtId="0" fontId="33" fillId="50" borderId="109" xfId="13" quotePrefix="1" applyFont="1" applyFill="1" applyBorder="1" applyAlignment="1">
      <alignment horizontal="center" vertical="center"/>
    </xf>
    <xf numFmtId="0" fontId="33" fillId="50" borderId="49" xfId="13" quotePrefix="1" applyFont="1" applyFill="1" applyBorder="1" applyAlignment="1">
      <alignment horizontal="center" vertical="center"/>
    </xf>
    <xf numFmtId="0" fontId="33" fillId="23" borderId="116" xfId="0" quotePrefix="1" applyFont="1" applyFill="1" applyBorder="1" applyAlignment="1">
      <alignment horizontal="center" vertical="center"/>
    </xf>
    <xf numFmtId="0" fontId="62" fillId="8" borderId="110" xfId="0" applyFont="1" applyFill="1" applyBorder="1" applyAlignment="1">
      <alignment horizontal="center" wrapText="1"/>
    </xf>
    <xf numFmtId="0" fontId="28" fillId="0" borderId="0" xfId="41" applyAlignment="1">
      <alignment horizontal="left" vertical="top" wrapText="1"/>
    </xf>
    <xf numFmtId="0" fontId="61" fillId="0" borderId="0" xfId="41" applyFont="1" applyAlignment="1">
      <alignment horizontal="left" vertical="top" wrapText="1"/>
    </xf>
    <xf numFmtId="0" fontId="60" fillId="0" borderId="0" xfId="41" applyFont="1" applyAlignment="1">
      <alignment horizontal="left" vertical="center" wrapText="1"/>
    </xf>
    <xf numFmtId="0" fontId="29" fillId="0" borderId="0" xfId="41" applyFont="1" applyAlignment="1">
      <alignment horizontal="left" wrapText="1"/>
    </xf>
    <xf numFmtId="0" fontId="29" fillId="0" borderId="3" xfId="41" applyFont="1" applyBorder="1" applyAlignment="1">
      <alignment horizontal="left" wrapText="1"/>
    </xf>
    <xf numFmtId="0" fontId="29" fillId="0" borderId="3" xfId="41" applyFont="1" applyBorder="1" applyAlignment="1">
      <alignment horizontal="left" vertical="center" wrapText="1"/>
    </xf>
    <xf numFmtId="0" fontId="28" fillId="0" borderId="0" xfId="41" applyAlignment="1">
      <alignment horizontal="left" vertical="center"/>
    </xf>
    <xf numFmtId="0" fontId="144" fillId="0" borderId="0" xfId="44" applyFont="1" applyBorder="1" applyAlignment="1" applyProtection="1">
      <alignment wrapText="1"/>
    </xf>
    <xf numFmtId="0" fontId="92" fillId="0" borderId="0" xfId="41" applyFont="1" applyAlignment="1">
      <alignment horizontal="left" vertical="top" wrapText="1"/>
    </xf>
    <xf numFmtId="0" fontId="50" fillId="0" borderId="0" xfId="44" applyFont="1" applyBorder="1" applyAlignment="1" applyProtection="1">
      <alignment wrapText="1"/>
    </xf>
  </cellXfs>
  <cellStyles count="86">
    <cellStyle name="BODY" xfId="3" xr:uid="{00000000-0005-0000-0000-000000000000}"/>
    <cellStyle name="Comma" xfId="17" builtinId="3"/>
    <cellStyle name="Comma [0] 2" xfId="20" xr:uid="{00000000-0005-0000-0000-000002000000}"/>
    <cellStyle name="Comma 10" xfId="32" xr:uid="{00000000-0005-0000-0000-000003000000}"/>
    <cellStyle name="Comma 11" xfId="33" xr:uid="{00000000-0005-0000-0000-000004000000}"/>
    <cellStyle name="Comma 12" xfId="34" xr:uid="{00000000-0005-0000-0000-000005000000}"/>
    <cellStyle name="Comma 13" xfId="35" xr:uid="{00000000-0005-0000-0000-000006000000}"/>
    <cellStyle name="Comma 14" xfId="42" xr:uid="{00000000-0005-0000-0000-000007000000}"/>
    <cellStyle name="Comma 15" xfId="49" xr:uid="{00000000-0005-0000-0000-000008000000}"/>
    <cellStyle name="Comma 15 2" xfId="70" xr:uid="{00000000-0005-0000-0000-000009000000}"/>
    <cellStyle name="Comma 16" xfId="52" xr:uid="{00000000-0005-0000-0000-00000A000000}"/>
    <cellStyle name="Comma 17" xfId="53" xr:uid="{00000000-0005-0000-0000-00000B000000}"/>
    <cellStyle name="Comma 18" xfId="54" xr:uid="{00000000-0005-0000-0000-00000C000000}"/>
    <cellStyle name="Comma 19" xfId="56" xr:uid="{00000000-0005-0000-0000-00000D000000}"/>
    <cellStyle name="Comma 2" xfId="4" xr:uid="{00000000-0005-0000-0000-00000E000000}"/>
    <cellStyle name="Comma 2 2" xfId="84" xr:uid="{00000000-0005-0000-0000-00000F000000}"/>
    <cellStyle name="Comma 20" xfId="57" xr:uid="{00000000-0005-0000-0000-000010000000}"/>
    <cellStyle name="Comma 21" xfId="58" xr:uid="{00000000-0005-0000-0000-000011000000}"/>
    <cellStyle name="Comma 22" xfId="59" xr:uid="{00000000-0005-0000-0000-000012000000}"/>
    <cellStyle name="Comma 23" xfId="60" xr:uid="{00000000-0005-0000-0000-000013000000}"/>
    <cellStyle name="Comma 24" xfId="62" xr:uid="{00000000-0005-0000-0000-000014000000}"/>
    <cellStyle name="Comma 25" xfId="64" xr:uid="{00000000-0005-0000-0000-000015000000}"/>
    <cellStyle name="Comma 26" xfId="66" xr:uid="{00000000-0005-0000-0000-000016000000}"/>
    <cellStyle name="Comma 27" xfId="72" xr:uid="{00000000-0005-0000-0000-000017000000}"/>
    <cellStyle name="Comma 28" xfId="78" xr:uid="{00000000-0005-0000-0000-000018000000}"/>
    <cellStyle name="Comma 29" xfId="83" xr:uid="{00000000-0005-0000-0000-000019000000}"/>
    <cellStyle name="Comma 3" xfId="21" xr:uid="{00000000-0005-0000-0000-00001A000000}"/>
    <cellStyle name="Comma 4" xfId="27" xr:uid="{00000000-0005-0000-0000-00001B000000}"/>
    <cellStyle name="Comma 5" xfId="30" xr:uid="{00000000-0005-0000-0000-00001C000000}"/>
    <cellStyle name="Comma 6" xfId="36" xr:uid="{00000000-0005-0000-0000-00001D000000}"/>
    <cellStyle name="Comma 7" xfId="37" xr:uid="{00000000-0005-0000-0000-00001E000000}"/>
    <cellStyle name="Comma 8" xfId="38" xr:uid="{00000000-0005-0000-0000-00001F000000}"/>
    <cellStyle name="Comma 9" xfId="39" xr:uid="{00000000-0005-0000-0000-000020000000}"/>
    <cellStyle name="Comma0" xfId="5" xr:uid="{00000000-0005-0000-0000-000021000000}"/>
    <cellStyle name="Currency" xfId="11" builtinId="4" customBuiltin="1"/>
    <cellStyle name="Currency 13" xfId="80" xr:uid="{00000000-0005-0000-0000-000023000000}"/>
    <cellStyle name="Currency 2" xfId="2" xr:uid="{00000000-0005-0000-0000-000024000000}"/>
    <cellStyle name="Currency 3" xfId="29" xr:uid="{00000000-0005-0000-0000-000025000000}"/>
    <cellStyle name="Currency 4" xfId="43" xr:uid="{00000000-0005-0000-0000-000026000000}"/>
    <cellStyle name="Currency 5" xfId="85" xr:uid="{00000000-0005-0000-0000-000027000000}"/>
    <cellStyle name="Currency 5 4" xfId="74" xr:uid="{00000000-0005-0000-0000-000028000000}"/>
    <cellStyle name="Currency0" xfId="22" xr:uid="{00000000-0005-0000-0000-000029000000}"/>
    <cellStyle name="Date" xfId="23" xr:uid="{00000000-0005-0000-0000-00002A000000}"/>
    <cellStyle name="Fixed" xfId="6" xr:uid="{00000000-0005-0000-0000-00002B000000}"/>
    <cellStyle name="Hyperlink" xfId="14" builtinId="8"/>
    <cellStyle name="Hyperlink 2" xfId="28" xr:uid="{00000000-0005-0000-0000-00002D000000}"/>
    <cellStyle name="Hyperlink 3" xfId="40" xr:uid="{00000000-0005-0000-0000-00002E000000}"/>
    <cellStyle name="Hyperlink 4" xfId="44" xr:uid="{00000000-0005-0000-0000-00002F000000}"/>
    <cellStyle name="ISC_FinalPurpose" xfId="76" xr:uid="{00000000-0005-0000-0000-000030000000}"/>
    <cellStyle name="ISC_Heading" xfId="75" xr:uid="{00000000-0005-0000-0000-000031000000}"/>
    <cellStyle name="Neutral 2" xfId="24" xr:uid="{00000000-0005-0000-0000-000032000000}"/>
    <cellStyle name="Normal" xfId="0" builtinId="0" customBuiltin="1"/>
    <cellStyle name="Normal 10" xfId="47" xr:uid="{00000000-0005-0000-0000-000034000000}"/>
    <cellStyle name="Normal 11" xfId="48" xr:uid="{00000000-0005-0000-0000-000035000000}"/>
    <cellStyle name="Normal 11 2" xfId="69" xr:uid="{00000000-0005-0000-0000-000036000000}"/>
    <cellStyle name="Normal 12" xfId="51" xr:uid="{00000000-0005-0000-0000-000037000000}"/>
    <cellStyle name="Normal 13" xfId="55" xr:uid="{00000000-0005-0000-0000-000038000000}"/>
    <cellStyle name="Normal 13 2" xfId="73" xr:uid="{00000000-0005-0000-0000-000039000000}"/>
    <cellStyle name="Normal 14" xfId="77" xr:uid="{00000000-0005-0000-0000-00003A000000}"/>
    <cellStyle name="Normal 15" xfId="79" xr:uid="{00000000-0005-0000-0000-00003B000000}"/>
    <cellStyle name="Normal 16" xfId="81" xr:uid="{00000000-0005-0000-0000-00003C000000}"/>
    <cellStyle name="Normal 17" xfId="82" xr:uid="{00000000-0005-0000-0000-00003D000000}"/>
    <cellStyle name="Normal 2" xfId="1" xr:uid="{00000000-0005-0000-0000-00003E000000}"/>
    <cellStyle name="Normal 2 2" xfId="7" xr:uid="{00000000-0005-0000-0000-00003F000000}"/>
    <cellStyle name="Normal 2 2 2" xfId="25" xr:uid="{00000000-0005-0000-0000-000040000000}"/>
    <cellStyle name="Normal 2 3" xfId="13" xr:uid="{00000000-0005-0000-0000-000041000000}"/>
    <cellStyle name="Normal 2 4" xfId="46" xr:uid="{00000000-0005-0000-0000-000042000000}"/>
    <cellStyle name="Normal 2 4 2" xfId="68" xr:uid="{00000000-0005-0000-0000-000043000000}"/>
    <cellStyle name="Normal 3" xfId="8" xr:uid="{00000000-0005-0000-0000-000044000000}"/>
    <cellStyle name="Normal 3 2" xfId="9" xr:uid="{00000000-0005-0000-0000-000045000000}"/>
    <cellStyle name="Normal 4" xfId="12" xr:uid="{00000000-0005-0000-0000-000046000000}"/>
    <cellStyle name="Normal 5" xfId="15" xr:uid="{00000000-0005-0000-0000-000047000000}"/>
    <cellStyle name="Normal 6" xfId="16" xr:uid="{00000000-0005-0000-0000-000048000000}"/>
    <cellStyle name="Normal 6 2" xfId="63" xr:uid="{00000000-0005-0000-0000-000049000000}"/>
    <cellStyle name="Normal 7" xfId="19" xr:uid="{00000000-0005-0000-0000-00004A000000}"/>
    <cellStyle name="Normal 7 2" xfId="65" xr:uid="{00000000-0005-0000-0000-00004B000000}"/>
    <cellStyle name="Normal 8" xfId="26" xr:uid="{00000000-0005-0000-0000-00004C000000}"/>
    <cellStyle name="Normal 8 2" xfId="67" xr:uid="{00000000-0005-0000-0000-00004D000000}"/>
    <cellStyle name="Normal 9" xfId="41" xr:uid="{00000000-0005-0000-0000-00004E000000}"/>
    <cellStyle name="Percent" xfId="18" builtinId="5"/>
    <cellStyle name="Percent 2" xfId="10" xr:uid="{00000000-0005-0000-0000-000050000000}"/>
    <cellStyle name="Percent 3" xfId="31" xr:uid="{00000000-0005-0000-0000-000051000000}"/>
    <cellStyle name="Percent 4" xfId="45" xr:uid="{00000000-0005-0000-0000-000052000000}"/>
    <cellStyle name="Percent 5" xfId="50" xr:uid="{00000000-0005-0000-0000-000053000000}"/>
    <cellStyle name="Percent 5 2" xfId="71" xr:uid="{00000000-0005-0000-0000-000054000000}"/>
    <cellStyle name="Percent 6" xfId="61" xr:uid="{00000000-0005-0000-0000-000055000000}"/>
  </cellStyles>
  <dxfs count="16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auto="1"/>
        <name val="Calibri"/>
        <scheme val="minor"/>
      </font>
      <numFmt numFmtId="34" formatCode="_(&quot;$&quot;* #,##0.00_);_(&quot;$&quot;* \(#,##0.0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b/>
        <strike val="0"/>
        <outline val="0"/>
        <shadow val="0"/>
        <u val="none"/>
        <vertAlign val="baseline"/>
        <sz val="10"/>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8" formatCode="#,##0.0"/>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auto="1"/>
        <name val="Calibri"/>
        <scheme val="minor"/>
      </font>
      <numFmt numFmtId="168"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auto="1"/>
        <name val="Calibri"/>
        <scheme val="minor"/>
      </font>
      <numFmt numFmtId="171" formatCode="_(&quot;$&quot;* #,##0_);_(&quot;$&quot;* \(#,##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Calibri"/>
        <scheme val="minor"/>
      </font>
      <numFmt numFmtId="171" formatCode="_(&quot;$&quot;* #,##0_);_(&quot;$&quot;* \(#,##0\);_(&quot;$&quot;* &quot;-&quot;??_);_(@_)"/>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171" formatCode="_(&quot;$&quot;* #,##0_);_(&quot;$&quot;* \(#,##0\);_(&quot;$&quot;* &quot;-&quot;??_);_(@_)"/>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Calibri"/>
        <scheme val="minor"/>
      </font>
      <numFmt numFmtId="171" formatCode="_(&quot;$&quot;* #,##0_);_(&quot;$&quot;* \(#,##0\);_(&quot;$&quot;* &quot;-&quot;??_);_(@_)"/>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strike val="0"/>
        <outline val="0"/>
        <shadow val="0"/>
        <u val="none"/>
        <vertAlign val="baseline"/>
        <sz val="10"/>
        <color auto="1"/>
        <name val="Calibri"/>
        <scheme val="minor"/>
      </font>
    </dxf>
    <dxf>
      <font>
        <b/>
        <strike val="0"/>
        <outline val="0"/>
        <shadow val="0"/>
        <u val="none"/>
        <vertAlign val="baseline"/>
        <sz val="10"/>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val="0"/>
        <i val="0"/>
        <strike val="0"/>
        <condense val="0"/>
        <extend val="0"/>
        <outline val="0"/>
        <shadow val="0"/>
        <u val="none"/>
        <vertAlign val="baseline"/>
        <sz val="11"/>
        <color auto="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23"/>
        </top>
        <bottom/>
      </border>
      <protection locked="1" hidden="0"/>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23"/>
        </top>
        <bottom style="thin">
          <color indexed="23"/>
        </bottom>
        <vertical/>
        <horizontal/>
      </border>
    </dxf>
    <dxf>
      <font>
        <b/>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indexed="23"/>
        </top>
        <bottom/>
      </border>
      <protection locked="1" hidden="0"/>
    </dxf>
    <dxf>
      <font>
        <b/>
        <i val="0"/>
        <strike val="0"/>
        <condense val="0"/>
        <extend val="0"/>
        <outline val="0"/>
        <shadow val="0"/>
        <u val="none"/>
        <vertAlign val="baseline"/>
        <sz val="11"/>
        <color auto="1"/>
        <name val="Arial"/>
        <scheme val="none"/>
      </font>
      <numFmt numFmtId="3" formatCode="#,##0"/>
      <alignment horizontal="general" vertical="bottom" textRotation="0" wrapText="0" indent="0" justifyLastLine="0" shrinkToFit="0" readingOrder="0"/>
      <border diagonalUp="0" diagonalDown="0">
        <left/>
        <right style="thin">
          <color indexed="64"/>
        </right>
        <top style="thin">
          <color indexed="23"/>
        </top>
        <bottom style="thin">
          <color indexed="23"/>
        </bottom>
        <vertical/>
        <horizontal/>
      </border>
    </dxf>
    <dxf>
      <border outline="0">
        <top style="thin">
          <color indexed="23"/>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top style="thin">
          <color indexed="23"/>
        </top>
        <bottom/>
      </border>
    </dxf>
    <dxf>
      <font>
        <b/>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23"/>
        </top>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23"/>
        </top>
        <bottom style="thin">
          <color indexed="23"/>
        </bottom>
      </border>
    </dxf>
    <dxf>
      <font>
        <b/>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outline="0">
        <left/>
        <right style="thin">
          <color indexed="64"/>
        </right>
        <top style="thin">
          <color indexed="23"/>
        </top>
        <bottom/>
      </border>
    </dxf>
    <dxf>
      <font>
        <b/>
        <i val="0"/>
        <strike val="0"/>
        <condense val="0"/>
        <extend val="0"/>
        <outline val="0"/>
        <shadow val="0"/>
        <u val="none"/>
        <vertAlign val="baseline"/>
        <sz val="10"/>
        <color auto="1"/>
        <name val="Arial"/>
        <scheme val="none"/>
      </font>
      <numFmt numFmtId="3" formatCode="#,##0"/>
      <alignment horizontal="general" vertical="bottom" textRotation="0" wrapText="0" indent="0" justifyLastLine="0" shrinkToFit="0" readingOrder="0"/>
      <border diagonalUp="0" diagonalDown="0" outline="0">
        <left/>
        <right style="thin">
          <color indexed="64"/>
        </right>
        <top style="thin">
          <color indexed="23"/>
        </top>
        <bottom style="thin">
          <color indexed="23"/>
        </bottom>
      </border>
    </dxf>
    <dxf>
      <border outline="0">
        <top style="thin">
          <color indexed="23"/>
        </top>
      </border>
    </dxf>
    <dxf>
      <border outline="0">
        <left style="thin">
          <color indexed="64"/>
        </left>
        <right style="thin">
          <color indexed="64"/>
        </right>
        <top style="thin">
          <color indexed="64"/>
        </top>
      </border>
    </dxf>
    <dxf>
      <font>
        <b val="0"/>
        <i val="0"/>
        <strike val="0"/>
        <condense val="0"/>
        <extend val="0"/>
        <outline val="0"/>
        <shadow val="0"/>
        <u val="none"/>
        <vertAlign val="baseline"/>
        <sz val="11"/>
        <color auto="1"/>
        <name val="Arial"/>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rial"/>
        <scheme val="none"/>
      </font>
      <numFmt numFmtId="3" formatCode="#,##0"/>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1"/>
        <color theme="1"/>
        <name val="Calibri"/>
        <scheme val="minor"/>
      </font>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i val="0"/>
        <strike val="0"/>
        <condense val="0"/>
        <extend val="0"/>
        <outline val="0"/>
        <shadow val="0"/>
        <u val="none"/>
        <vertAlign val="baseline"/>
        <sz val="11"/>
        <color theme="1"/>
        <name val="Calibri"/>
        <scheme val="minor"/>
      </font>
      <numFmt numFmtId="175" formatCode="_(* #,##0.0_);_(* \(#,##0.0\);_(* &quot;-&quot;??_);_(@_)"/>
    </dxf>
    <dxf>
      <font>
        <b/>
        <i val="0"/>
        <strike val="0"/>
        <condense val="0"/>
        <extend val="0"/>
        <outline val="0"/>
        <shadow val="0"/>
        <u val="none"/>
        <vertAlign val="baseline"/>
        <sz val="11"/>
        <color theme="1"/>
        <name val="Calibri"/>
        <scheme val="minor"/>
      </font>
      <numFmt numFmtId="175" formatCode="_(* #,##0.0_);_(* \(#,##0.0\);_(* &quot;-&quot;??_);_(@_)"/>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alibri"/>
        <scheme val="minor"/>
      </font>
    </dxf>
    <dxf>
      <font>
        <b/>
      </font>
      <alignment horizontal="left" vertical="center" textRotation="0" wrapText="1" indent="0" justifyLastLine="0" shrinkToFit="0" readingOrder="0"/>
    </dxf>
    <dxf>
      <numFmt numFmtId="0" formatCode="General"/>
    </dxf>
    <dxf>
      <numFmt numFmtId="0" formatCode="General"/>
      <fill>
        <patternFill patternType="solid">
          <fgColor indexed="64"/>
          <bgColor rgb="FFFFFF00"/>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textRotation="0" indent="0" justifyLastLine="0" shrinkToFit="0" readingOrder="0"/>
    </dxf>
    <dxf>
      <numFmt numFmtId="0" formatCode="General"/>
      <fill>
        <patternFill patternType="solid">
          <fgColor indexed="64"/>
          <bgColor rgb="FFFFFF00"/>
        </patternFill>
      </fill>
      <alignment horizontal="right" textRotation="0"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rgb="FFFFFF00"/>
        </patternFill>
      </fill>
      <alignment horizontal="right" textRotation="0"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FFFF00"/>
        </patternFill>
      </fill>
      <alignment horizontal="right" textRotation="0" indent="0" justifyLastLine="0" shrinkToFit="0" readingOrder="0"/>
    </dxf>
    <dxf>
      <font>
        <b val="0"/>
        <i val="0"/>
        <strike val="0"/>
        <condense val="0"/>
        <extend val="0"/>
        <outline val="0"/>
        <shadow val="0"/>
        <u val="none"/>
        <vertAlign val="baseline"/>
        <sz val="10"/>
        <color rgb="FFFF33CC"/>
        <name val="Calibri"/>
        <scheme val="minor"/>
      </font>
    </dxf>
    <dxf>
      <font>
        <b/>
        <strike val="0"/>
        <outline val="0"/>
        <shadow val="0"/>
        <u val="none"/>
        <vertAlign val="baseline"/>
        <sz val="10"/>
        <color rgb="FFFF33CC"/>
        <name val="Calibri"/>
        <scheme val="minor"/>
      </font>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ont>
        <b/>
      </font>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FFFF00"/>
        </patternFill>
      </fil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auto="1"/>
        <name val="Calibri"/>
        <scheme val="minor"/>
      </font>
      <numFmt numFmtId="175" formatCode="_(* #,##0.0_);_(* \(#,##0.0\);_(* &quot;-&quot;??_);_(@_)"/>
    </dxf>
    <dxf>
      <font>
        <b/>
        <i val="0"/>
        <strike val="0"/>
        <condense val="0"/>
        <extend val="0"/>
        <outline val="0"/>
        <shadow val="0"/>
        <u val="none"/>
        <vertAlign val="baseline"/>
        <sz val="10"/>
        <color auto="1"/>
        <name val="Calibri"/>
        <scheme val="minor"/>
      </font>
      <numFmt numFmtId="174" formatCode="_(* #,##0_);_(* \(#,##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i val="0"/>
        <strike val="0"/>
        <condense val="0"/>
        <extend val="0"/>
        <outline val="0"/>
        <shadow val="0"/>
        <u val="none"/>
        <vertAlign val="baseline"/>
        <sz val="10"/>
        <color theme="0" tint="-0.34998626667073579"/>
        <name val="Calibri"/>
        <scheme val="minor"/>
      </font>
    </dxf>
    <dxf>
      <font>
        <b/>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name val="Calibri"/>
        <scheme val="minor"/>
      </font>
    </dxf>
    <dxf>
      <border outline="0">
        <top style="thin">
          <color auto="1"/>
        </top>
      </border>
    </dxf>
    <dxf>
      <font>
        <strike val="0"/>
        <outline val="0"/>
        <shadow val="0"/>
        <u val="none"/>
        <vertAlign val="baseline"/>
        <sz val="10"/>
        <color theme="0" tint="-0.34998626667073579"/>
        <name val="Calibri"/>
        <scheme val="minor"/>
      </font>
    </dxf>
    <dxf>
      <border outline="0">
        <bottom style="thin">
          <color auto="1"/>
        </bottom>
      </border>
    </dxf>
    <dxf>
      <font>
        <b/>
        <i val="0"/>
        <strike val="0"/>
        <condense val="0"/>
        <extend val="0"/>
        <outline val="0"/>
        <shadow val="0"/>
        <u val="none"/>
        <vertAlign val="baseline"/>
        <sz val="10"/>
        <color theme="0" tint="-0.34998626667073579"/>
        <name val="Calibri"/>
        <scheme val="minor"/>
      </font>
      <alignment horizontal="general" vertical="center" textRotation="0" wrapText="1"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solid">
          <fgColor indexed="64"/>
          <bgColor rgb="FFF8E4E4"/>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fill>
        <patternFill patternType="none">
          <fgColor indexed="64"/>
          <bgColor auto="1"/>
        </patternFill>
      </fil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b/>
        <i val="0"/>
        <strike val="0"/>
        <condense val="0"/>
        <extend val="0"/>
        <outline val="0"/>
        <shadow val="0"/>
        <u val="none"/>
        <vertAlign val="baseline"/>
        <sz val="10"/>
        <color theme="0" tint="-0.249977111117893"/>
        <name val="Calibri"/>
        <scheme val="minor"/>
      </font>
      <numFmt numFmtId="0" formatCode="General"/>
      <fill>
        <patternFill patternType="solid">
          <fgColor indexed="64"/>
          <bgColor rgb="FFFFFFCC"/>
        </patternFill>
      </fill>
      <alignment horizontal="general" vertical="top" textRotation="0" wrapText="0" indent="0" justifyLastLine="0" shrinkToFit="0" readingOrder="0"/>
    </dxf>
    <dxf>
      <font>
        <strike val="0"/>
        <outline val="0"/>
        <shadow val="0"/>
        <u val="none"/>
        <vertAlign val="baseline"/>
        <sz val="10"/>
        <color theme="0" tint="-0.249977111117893"/>
      </font>
    </dxf>
    <dxf>
      <font>
        <b/>
        <strike val="0"/>
        <outline val="0"/>
        <shadow val="0"/>
        <u val="none"/>
        <vertAlign val="baseline"/>
        <sz val="10"/>
        <color theme="0" tint="-0.249977111117893"/>
      </font>
      <numFmt numFmtId="0" formatCode="General"/>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numFmt numFmtId="169" formatCode="0.0"/>
    </dxf>
    <dxf>
      <font>
        <b/>
        <strike val="0"/>
        <outline val="0"/>
        <shadow val="0"/>
        <u val="none"/>
        <vertAlign val="baseline"/>
        <sz val="10"/>
        <color theme="0" tint="-0.249977111117893"/>
      </font>
      <numFmt numFmtId="169" formatCode="0.0"/>
      <alignment horizontal="general" vertical="top" textRotation="0" wrapText="0" indent="0" justifyLastLine="0" shrinkToFit="0" readingOrder="0"/>
    </dxf>
    <dxf>
      <font>
        <strike val="0"/>
        <outline val="0"/>
        <shadow val="0"/>
        <u val="none"/>
        <vertAlign val="baseline"/>
        <sz val="10"/>
        <color theme="0" tint="-0.249977111117893"/>
      </font>
    </dxf>
    <dxf>
      <font>
        <b/>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alignment horizontal="general" vertical="top" textRotation="0" wrapText="0" indent="0" justifyLastLine="0" shrinkToFit="0" readingOrder="0"/>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b/>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b/>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dxf>
    <dxf>
      <font>
        <strike val="0"/>
        <outline val="0"/>
        <shadow val="0"/>
        <u val="none"/>
        <vertAlign val="baseline"/>
        <sz val="10"/>
        <color theme="0" tint="-0.249977111117893"/>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fill>
        <patternFill patternType="none">
          <fgColor indexed="64"/>
          <bgColor indexed="65"/>
        </patternFill>
      </fil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b val="0"/>
        <i val="0"/>
        <strike val="0"/>
        <condense val="0"/>
        <extend val="0"/>
        <outline val="0"/>
        <shadow val="0"/>
        <u val="none"/>
        <vertAlign val="baseline"/>
        <sz val="10"/>
        <color theme="0" tint="-0.249977111117893"/>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249977111117893"/>
        <name val="Calibri"/>
        <scheme val="minor"/>
      </font>
      <numFmt numFmtId="0" formatCode="General"/>
    </dxf>
    <dxf>
      <font>
        <strike val="0"/>
        <outline val="0"/>
        <shadow val="0"/>
        <u val="none"/>
        <vertAlign val="baseline"/>
        <sz val="10"/>
        <color theme="0" tint="-0.249977111117893"/>
      </font>
    </dxf>
    <dxf>
      <font>
        <strike val="0"/>
        <outline val="0"/>
        <shadow val="0"/>
        <u val="none"/>
        <vertAlign val="baseline"/>
        <sz val="10"/>
        <color theme="0" tint="-0.249977111117893"/>
      </font>
    </dxf>
    <dxf>
      <font>
        <b val="0"/>
        <i val="0"/>
        <strike val="0"/>
        <condense val="0"/>
        <extend val="0"/>
        <outline val="0"/>
        <shadow val="0"/>
        <u val="none"/>
        <vertAlign val="baseline"/>
        <sz val="10"/>
        <color theme="0" tint="-0.249977111117893"/>
        <name val="Calibri"/>
        <scheme val="minor"/>
      </font>
      <alignment horizontal="center" vertical="center" textRotation="0" wrapText="1"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solid">
          <fgColor indexed="64"/>
          <bgColor rgb="FFF8E4E4"/>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fill>
        <patternFill patternType="none">
          <fgColor indexed="64"/>
          <bgColor auto="1"/>
        </patternFill>
      </fil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b/>
        <i val="0"/>
        <strike val="0"/>
        <condense val="0"/>
        <extend val="0"/>
        <outline val="0"/>
        <shadow val="0"/>
        <u val="none"/>
        <vertAlign val="baseline"/>
        <sz val="10"/>
        <color theme="0" tint="-0.34998626667073579"/>
        <name val="Calibri"/>
        <scheme val="minor"/>
      </font>
      <numFmt numFmtId="0" formatCode="General"/>
      <fill>
        <patternFill patternType="solid">
          <fgColor indexed="64"/>
          <bgColor rgb="FFFFFFCC"/>
        </patternFill>
      </fill>
      <alignment horizontal="general" vertical="top" textRotation="0" wrapText="0" indent="0" justifyLastLine="0" shrinkToFit="0" readingOrder="0"/>
    </dxf>
    <dxf>
      <font>
        <strike val="0"/>
        <outline val="0"/>
        <shadow val="0"/>
        <u val="none"/>
        <vertAlign val="baseline"/>
        <sz val="10"/>
        <color theme="0" tint="-0.34998626667073579"/>
      </font>
    </dxf>
    <dxf>
      <font>
        <b/>
        <strike val="0"/>
        <outline val="0"/>
        <shadow val="0"/>
        <u val="none"/>
        <vertAlign val="baseline"/>
        <sz val="10"/>
        <color theme="0" tint="-0.34998626667073579"/>
      </font>
      <numFmt numFmtId="0" formatCode="General"/>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numFmt numFmtId="169" formatCode="0.0"/>
    </dxf>
    <dxf>
      <font>
        <b/>
        <strike val="0"/>
        <outline val="0"/>
        <shadow val="0"/>
        <u val="none"/>
        <vertAlign val="baseline"/>
        <sz val="10"/>
        <color theme="0" tint="-0.34998626667073579"/>
      </font>
      <numFmt numFmtId="169" formatCode="0.0"/>
      <alignment horizontal="general" vertical="top" textRotation="0" wrapText="0" indent="0" justifyLastLine="0" shrinkToFit="0" readingOrder="0"/>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alignment horizontal="general" vertical="top" textRotation="0" wrapText="0" indent="0" justifyLastLine="0" shrinkToFit="0" readingOrder="0"/>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b/>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dxf>
    <dxf>
      <font>
        <strike val="0"/>
        <outline val="0"/>
        <shadow val="0"/>
        <u val="none"/>
        <vertAlign val="baseline"/>
        <sz val="10"/>
        <color theme="0" tint="-0.34998626667073579"/>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theme="0" tint="-0.34998626667073579"/>
        <name val="Calibri"/>
        <scheme val="minor"/>
      </font>
      <numFmt numFmtId="0" formatCode="General"/>
    </dxf>
    <dxf>
      <font>
        <strike val="0"/>
        <outline val="0"/>
        <shadow val="0"/>
        <u val="none"/>
        <vertAlign val="baseline"/>
        <sz val="10"/>
        <color theme="0" tint="-0.34998626667073579"/>
      </font>
    </dxf>
    <dxf>
      <font>
        <strike val="0"/>
        <outline val="0"/>
        <shadow val="0"/>
        <u val="none"/>
        <vertAlign val="baseline"/>
        <sz val="10"/>
        <color theme="0" tint="-0.34998626667073579"/>
      </font>
    </dxf>
    <dxf>
      <font>
        <b val="0"/>
        <i val="0"/>
        <strike val="0"/>
        <condense val="0"/>
        <extend val="0"/>
        <outline val="0"/>
        <shadow val="0"/>
        <u val="none"/>
        <vertAlign val="baseline"/>
        <sz val="10"/>
        <color theme="0" tint="-0.34998626667073579"/>
        <name val="Calibri"/>
        <scheme val="minor"/>
      </font>
      <alignment horizontal="center" vertical="center" textRotation="0" wrapText="1"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none">
          <fgColor indexed="64"/>
          <bgColor indexed="65"/>
        </patternFill>
      </fill>
    </dxf>
    <dxf>
      <font>
        <strike val="0"/>
        <outline val="0"/>
        <shadow val="0"/>
        <u val="none"/>
        <vertAlign val="baseline"/>
        <color theme="0" tint="-0.34998626667073579"/>
        <name val="Calibri"/>
        <scheme val="minor"/>
      </font>
      <numFmt numFmtId="170" formatCode="0.0000"/>
      <fill>
        <patternFill patternType="none">
          <fgColor indexed="64"/>
          <bgColor indexed="65"/>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2" formatCode="0.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74" formatCode="_(* #,##0_);_(* \(#,##0\);_(* &quot;-&quot;??_);_(@_)"/>
    </dxf>
    <dxf>
      <font>
        <strike val="0"/>
        <outline val="0"/>
        <shadow val="0"/>
        <u val="none"/>
        <vertAlign val="baseline"/>
        <color theme="0" tint="-0.34998626667073579"/>
        <name val="Calibri"/>
        <scheme val="minor"/>
      </font>
      <numFmt numFmtId="175" formatCode="_(* #,##0.0_);_(* \(#,##0.0\);_(* &quot;-&quot;??_);_(@_)"/>
    </dxf>
    <dxf>
      <font>
        <b/>
        <strike val="0"/>
        <outline val="0"/>
        <shadow val="0"/>
        <u val="none"/>
        <vertAlign val="baseline"/>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2" formatCode="0.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numFmt numFmtId="1" formatCode="0"/>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none">
          <fgColor indexed="64"/>
          <bgColor auto="1"/>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fill>
        <patternFill patternType="none">
          <fgColor indexed="64"/>
          <bgColor auto="1"/>
        </patternFill>
      </fil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i val="0"/>
        <strike val="0"/>
        <condense val="0"/>
        <extend val="0"/>
        <outline val="0"/>
        <shadow val="0"/>
        <u val="none"/>
        <vertAlign val="baseline"/>
        <sz val="11"/>
        <color theme="0" tint="-0.34998626667073579"/>
        <name val="Calibri"/>
        <scheme val="minor"/>
      </font>
    </dxf>
    <dxf>
      <font>
        <b/>
        <i val="0"/>
        <strike val="0"/>
        <condense val="0"/>
        <extend val="0"/>
        <outline val="0"/>
        <shadow val="0"/>
        <u val="none"/>
        <vertAlign val="baseline"/>
        <sz val="11"/>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numFmt numFmtId="174" formatCode="_(* #,##0_);_(* \(#,##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74" formatCode="_(* #,##0_);_(* \(#,##0\);_(* &quot;-&quot;??_);_(@_)"/>
    </dxf>
    <dxf>
      <font>
        <b val="0"/>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sz val="10"/>
        <color theme="0" tint="-0.34998626667073579"/>
        <name val="Calibri"/>
        <scheme val="minor"/>
      </font>
      <numFmt numFmtId="175" formatCode="_(* #,##0.0_);_(* \(#,##0.0\);_(* &quot;-&quot;??_);_(@_)"/>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numFmt numFmtId="169" formatCode="0.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b/>
        <strike val="0"/>
        <outline val="0"/>
        <shadow val="0"/>
        <u val="none"/>
        <vertAlign val="baseline"/>
        <color theme="0" tint="-0.34998626667073579"/>
        <name val="Calibri"/>
        <scheme val="minor"/>
      </font>
      <numFmt numFmtId="1" formatCode="0"/>
      <fill>
        <patternFill patternType="solid">
          <fgColor indexed="64"/>
          <bgColor theme="0" tint="-4.9989318521683403E-2"/>
        </patternFill>
      </fill>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strike val="0"/>
        <outline val="0"/>
        <shadow val="0"/>
        <u val="none"/>
        <vertAlign val="baseline"/>
        <color theme="0" tint="-0.34998626667073579"/>
        <name val="Calibri"/>
        <scheme val="minor"/>
      </font>
      <alignment horizontal="left" vertical="center" textRotation="0" wrapText="1" indent="0" justifyLastLine="0" shrinkToFit="0" readingOrder="0"/>
    </dxf>
    <dxf>
      <fill>
        <patternFill patternType="none">
          <fgColor indexed="64"/>
          <bgColor indexed="65"/>
        </patternFill>
      </fill>
    </dxf>
    <dxf>
      <numFmt numFmtId="170" formatCode="0.0000"/>
      <fill>
        <patternFill patternType="none">
          <fgColor indexed="64"/>
          <bgColor indexed="65"/>
        </patternFill>
      </fill>
    </dxf>
    <dxf>
      <numFmt numFmtId="2" formatCode="0.00"/>
    </dxf>
    <dxf>
      <numFmt numFmtId="174" formatCode="_(* #,##0_);_(* \(#,##0\);_(* &quot;-&quot;??_);_(@_)"/>
    </dxf>
    <dxf>
      <numFmt numFmtId="175" formatCode="_(* #,##0.0_);_(* \(#,##0.0\);_(* &quot;-&quot;??_);_(@_)"/>
    </dxf>
    <dxf>
      <font>
        <b/>
      </font>
      <numFmt numFmtId="175" formatCode="_(* #,##0.0_);_(* \(#,##0.0\);_(* &quot;-&quot;??_);_(@_)"/>
    </dxf>
    <dxf>
      <numFmt numFmtId="2"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69" formatCode="0.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numFmt numFmtId="0" formatCode="General"/>
    </dxf>
    <dxf>
      <numFmt numFmtId="0" formatCode="General"/>
    </dxf>
    <dxf>
      <numFmt numFmtId="0" formatCode="General"/>
    </dxf>
    <dxf>
      <numFmt numFmtId="0" formatCode="General"/>
    </dxf>
    <dxf>
      <numFmt numFmtId="174" formatCode="_(* #,##0_);_(* \(#,##0\);_(* &quot;-&quot;??_);_(@_)"/>
    </dxf>
    <dxf>
      <font>
        <b/>
        <i val="0"/>
        <strike val="0"/>
        <condense val="0"/>
        <extend val="0"/>
        <outline val="0"/>
        <shadow val="0"/>
        <u val="none"/>
        <vertAlign val="baseline"/>
        <sz val="11"/>
        <color theme="1"/>
        <name val="Calibri"/>
        <scheme val="minor"/>
      </font>
      <numFmt numFmtId="175" formatCode="_(* #,##0.0_);_(* \(#,##0.0\);_(* &quot;-&quot;??_);_(@_)"/>
    </dxf>
    <dxf>
      <numFmt numFmtId="174" formatCode="_(* #,##0_);_(* \(#,##0\);_(* &quot;-&quot;??_);_(@_)"/>
    </dxf>
    <dxf>
      <font>
        <b val="0"/>
        <i val="0"/>
        <strike val="0"/>
        <condense val="0"/>
        <extend val="0"/>
        <outline val="0"/>
        <shadow val="0"/>
        <u val="none"/>
        <vertAlign val="baseline"/>
        <sz val="11"/>
        <color theme="1"/>
        <name val="Calibri"/>
        <scheme val="minor"/>
      </font>
      <numFmt numFmtId="175" formatCode="_(* #,##0.0_);_(* \(#,##0.0\);_(* &quot;-&quot;??_);_(@_)"/>
    </dxf>
    <dxf>
      <numFmt numFmtId="175" formatCode="_(* #,##0.0_);_(* \(#,##0.0\);_(* &quot;-&quot;??_);_(@_)"/>
    </dxf>
    <dxf>
      <font>
        <b/>
        <i val="0"/>
        <strike val="0"/>
        <condense val="0"/>
        <extend val="0"/>
        <outline val="0"/>
        <shadow val="0"/>
        <u val="none"/>
        <vertAlign val="baseline"/>
        <sz val="11"/>
        <color theme="1"/>
        <name val="Calibri"/>
        <scheme val="minor"/>
      </font>
      <numFmt numFmtId="175" formatCode="_(* #,##0.0_);_(* \(#,##0.0\);_(* &quot;-&quot;??_);_(@_)"/>
    </dxf>
    <dxf>
      <numFmt numFmtId="169" formatCode="0.0"/>
    </dxf>
    <dxf>
      <numFmt numFmtId="169" formatCode="0.0"/>
    </dxf>
    <dxf>
      <numFmt numFmtId="169" formatCode="0.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numFmt numFmtId="174" formatCode="_(* #,##0_);_(* \(#,##0\);_(* &quot;-&quot;??_);_(@_)"/>
    </dxf>
    <dxf>
      <font>
        <b/>
      </font>
      <numFmt numFmtId="0" formatCode="General"/>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strike val="0"/>
        <outline val="0"/>
        <shadow val="0"/>
        <u val="none"/>
        <vertAlign val="baseline"/>
        <sz val="10"/>
        <color auto="1"/>
        <name val="Calibri"/>
        <scheme val="minor"/>
      </font>
    </dxf>
    <dxf>
      <font>
        <b val="0"/>
        <i val="0"/>
        <strike val="0"/>
        <condense val="0"/>
        <extend val="0"/>
        <outline val="0"/>
        <shadow val="0"/>
        <u val="none"/>
        <vertAlign val="baseline"/>
        <sz val="10"/>
        <color theme="1"/>
        <name val="Calibri"/>
        <scheme val="minor"/>
      </font>
      <numFmt numFmtId="174" formatCode="_(* #,##0_);_(* \(#,##0\);_(* &quot;-&quot;??_);_(@_)"/>
    </dxf>
    <dxf>
      <font>
        <b/>
        <strike val="0"/>
        <outline val="0"/>
        <shadow val="0"/>
        <u val="none"/>
        <vertAlign val="baseline"/>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dxf>
    <dxf>
      <font>
        <strike val="0"/>
        <outline val="0"/>
        <shadow val="0"/>
        <u val="none"/>
        <vertAlign val="baseline"/>
        <sz val="10"/>
        <color auto="1"/>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font>
        <b/>
        <i val="0"/>
        <strike val="0"/>
        <condense val="0"/>
        <extend val="0"/>
        <outline val="0"/>
        <shadow val="0"/>
        <u val="none"/>
        <vertAlign val="baseline"/>
        <sz val="11"/>
        <color auto="1"/>
        <name val="Calibri"/>
        <scheme val="minor"/>
      </font>
      <numFmt numFmtId="175" formatCode="_(* #,##0.0_);_(* \(#,##0.0\);_(* &quot;-&quot;??_);_(@_)"/>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numFmt numFmtId="169" formatCode="0.0"/>
    </dxf>
    <dxf>
      <font>
        <strike val="0"/>
        <outline val="0"/>
        <shadow val="0"/>
        <u val="none"/>
        <vertAlign val="baseline"/>
        <sz val="10"/>
        <color auto="1"/>
        <name val="Calibri"/>
        <scheme val="minor"/>
      </font>
      <numFmt numFmtId="169" formatCode="0.0"/>
    </dxf>
    <dxf>
      <font>
        <b val="0"/>
        <i val="0"/>
        <strike val="0"/>
        <condense val="0"/>
        <extend val="0"/>
        <outline val="0"/>
        <shadow val="0"/>
        <u val="none"/>
        <vertAlign val="baseline"/>
        <sz val="10"/>
        <color theme="1"/>
        <name val="Calibri"/>
        <scheme val="minor"/>
      </font>
      <numFmt numFmtId="175" formatCode="_(* #,##0.0_);_(* \(#,##0.0\);_(* &quot;-&quot;??_);_(@_)"/>
    </dxf>
    <dxf>
      <font>
        <b/>
        <strike val="0"/>
        <outline val="0"/>
        <shadow val="0"/>
        <u val="none"/>
        <vertAlign val="baseline"/>
        <sz val="10"/>
        <color auto="1"/>
        <name val="Calibri"/>
        <scheme val="minor"/>
      </font>
      <numFmt numFmtId="175" formatCode="_(* #,##0.0_);_(* \(#,##0.0\);_(* &quot;-&quot;??_);_(@_)"/>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strike val="0"/>
        <outline val="0"/>
        <shadow val="0"/>
        <u val="none"/>
        <vertAlign val="baseline"/>
        <color auto="1"/>
        <name val="Calibri"/>
        <scheme val="minor"/>
      </font>
    </dxf>
    <dxf>
      <numFmt numFmtId="169" formatCode="0.0"/>
    </dxf>
    <dxf>
      <font>
        <b val="0"/>
        <i val="0"/>
        <strike val="0"/>
        <condense val="0"/>
        <extend val="0"/>
        <outline val="0"/>
        <shadow val="0"/>
        <u val="none"/>
        <vertAlign val="baseline"/>
        <sz val="10"/>
        <color auto="1"/>
        <name val="Calibri"/>
        <scheme val="minor"/>
      </font>
      <numFmt numFmtId="169" formatCode="0.0"/>
    </dxf>
    <dxf>
      <numFmt numFmtId="169" formatCode="0.0"/>
    </dxf>
    <dxf>
      <font>
        <strike val="0"/>
        <outline val="0"/>
        <shadow val="0"/>
        <u val="none"/>
        <vertAlign val="baseline"/>
        <color auto="1"/>
        <name val="Calibri"/>
        <scheme val="minor"/>
      </font>
    </dxf>
    <dxf>
      <numFmt numFmtId="169" formatCode="0.0"/>
    </dxf>
    <dxf>
      <font>
        <b val="0"/>
        <i val="0"/>
        <strike val="0"/>
        <condense val="0"/>
        <extend val="0"/>
        <outline val="0"/>
        <shadow val="0"/>
        <u val="none"/>
        <vertAlign val="baseline"/>
        <sz val="10"/>
        <color auto="1"/>
        <name val="Calibri"/>
        <scheme val="minor"/>
      </font>
      <numFmt numFmtId="169" formatCode="0.0"/>
    </dxf>
    <dxf>
      <numFmt numFmtId="169" formatCode="0.0"/>
    </dxf>
    <dxf>
      <font>
        <strike val="0"/>
        <outline val="0"/>
        <shadow val="0"/>
        <u val="none"/>
        <vertAlign val="baseline"/>
        <color auto="1"/>
        <name val="Calibri"/>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4.9989318521683403E-2"/>
        </patternFill>
      </fill>
      <alignment horizontal="center" vertical="bottom" textRotation="0" wrapText="0" indent="0" justifyLastLine="0" shrinkToFit="0" readingOrder="0"/>
    </dxf>
    <dxf>
      <font>
        <b/>
      </font>
      <numFmt numFmtId="1" formatCode="0"/>
      <fill>
        <patternFill patternType="solid">
          <fgColor indexed="64"/>
          <bgColor theme="0" tint="-4.9989318521683403E-2"/>
        </patternFill>
      </fill>
      <alignment horizontal="center" vertical="bottom" textRotation="0" wrapText="0" indent="0" justifyLastLine="0" shrinkToFit="0" readingOrder="0"/>
    </dxf>
    <dxf>
      <font>
        <b/>
      </font>
      <alignment horizontal="left" vertical="center" textRotation="0" wrapText="1"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fill>
        <patternFill patternType="none">
          <fgColor indexed="64"/>
          <bgColor indexed="65"/>
        </patternFill>
      </fill>
    </dxf>
    <dxf>
      <font>
        <strike val="0"/>
        <outline val="0"/>
        <shadow val="0"/>
        <u val="none"/>
        <vertAlign val="baseline"/>
        <color theme="0" tint="-0.34998626667073579"/>
        <name val="Calibri"/>
        <scheme val="minor"/>
      </font>
      <numFmt numFmtId="170" formatCode="0.0000"/>
      <fill>
        <patternFill patternType="none">
          <fgColor indexed="64"/>
          <bgColor indexed="65"/>
        </patternFill>
      </fil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2" formatCode="0.0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174" formatCode="_(* #,##0_);_(* \(#,##0\);_(* &quot;-&quot;??_);_(@_)"/>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2" formatCode="0.0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69" formatCode="0.0"/>
    </dxf>
    <dxf>
      <font>
        <b/>
        <i val="0"/>
        <strike val="0"/>
        <condense val="0"/>
        <extend val="0"/>
        <outline val="0"/>
        <shadow val="0"/>
        <u val="none"/>
        <vertAlign val="baseline"/>
        <sz val="11"/>
        <color theme="0" tint="-0.34998626667073579"/>
        <name val="Calibri"/>
        <scheme val="minor"/>
      </font>
    </dxf>
    <dxf>
      <font>
        <b/>
        <i val="0"/>
        <strike val="0"/>
        <condense val="0"/>
        <extend val="0"/>
        <outline val="0"/>
        <shadow val="0"/>
        <u val="none"/>
        <vertAlign val="baseline"/>
        <sz val="11"/>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numFmt numFmtId="174" formatCode="_(* #,##0_);_(* \(#,##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74" formatCode="_(* #,##0_);_(* \(#,##0\);_(* &quot;-&quot;??_);_(@_)"/>
    </dxf>
    <dxf>
      <font>
        <b val="0"/>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74" formatCode="_(* #,##0_);_(* \(#,##0\);_(* &quot;-&quot;??_);_(@_)"/>
    </dxf>
    <dxf>
      <font>
        <b/>
        <strike val="0"/>
        <outline val="0"/>
        <shadow val="0"/>
        <u val="none"/>
        <vertAlign val="baseline"/>
        <color theme="0" tint="-0.34998626667073579"/>
        <name val="Calibri"/>
        <scheme val="minor"/>
      </font>
      <numFmt numFmtId="0" formatCode="General"/>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numFmt numFmtId="175" formatCode="_(* #,##0.0_);_(* \(#,##0.0\);_(* &quot;-&quot;??_);_(@_)"/>
    </dxf>
    <dxf>
      <font>
        <b/>
        <i val="0"/>
        <strike val="0"/>
        <condense val="0"/>
        <extend val="0"/>
        <outline val="0"/>
        <shadow val="0"/>
        <u val="none"/>
        <vertAlign val="baseline"/>
        <sz val="11"/>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sz val="10"/>
        <color theme="0" tint="-0.34998626667073579"/>
        <name val="Calibri"/>
        <scheme val="minor"/>
      </font>
      <numFmt numFmtId="169" formatCode="0.0"/>
    </dxf>
    <dxf>
      <font>
        <b val="0"/>
        <i val="0"/>
        <strike val="0"/>
        <condense val="0"/>
        <extend val="0"/>
        <outline val="0"/>
        <shadow val="0"/>
        <u val="none"/>
        <vertAlign val="baseline"/>
        <sz val="10"/>
        <color theme="0" tint="-0.34998626667073579"/>
        <name val="Calibri"/>
        <scheme val="minor"/>
      </font>
      <numFmt numFmtId="175" formatCode="_(* #,##0.0_);_(* \(#,##0.0\);_(* &quot;-&quot;??_);_(@_)"/>
    </dxf>
    <dxf>
      <font>
        <b/>
        <strike val="0"/>
        <outline val="0"/>
        <shadow val="0"/>
        <u val="none"/>
        <vertAlign val="baseline"/>
        <sz val="10"/>
        <color theme="0" tint="-0.34998626667073579"/>
        <name val="Calibri"/>
        <scheme val="minor"/>
      </font>
      <numFmt numFmtId="175" formatCode="_(* #,##0.0_);_(* \(#,##0.0\);_(* &quot;-&quot;??_);_(@_)"/>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numFmt numFmtId="169" formatCode="0.0"/>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center" vertical="bottom" textRotation="0" wrapText="0" indent="0" justifyLastLine="0" shrinkToFit="0" readingOrder="0"/>
    </dxf>
    <dxf>
      <font>
        <strike val="0"/>
        <outline val="0"/>
        <shadow val="0"/>
        <u val="none"/>
        <vertAlign val="baseline"/>
        <color theme="0" tint="-0.34998626667073579"/>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0" tint="-0.34998626667073579"/>
        <name val="Calibri"/>
        <scheme val="minor"/>
      </font>
    </dxf>
    <dxf>
      <font>
        <strike val="0"/>
        <outline val="0"/>
        <shadow val="0"/>
        <u val="none"/>
        <vertAlign val="baseline"/>
        <color theme="0" tint="-0.34998626667073579"/>
        <name val="Calibri"/>
        <scheme val="minor"/>
      </font>
    </dxf>
    <dxf>
      <font>
        <b val="0"/>
        <i val="0"/>
        <strike val="0"/>
        <condense val="0"/>
        <extend val="0"/>
        <outline val="0"/>
        <shadow val="0"/>
        <u val="none"/>
        <vertAlign val="baseline"/>
        <sz val="10"/>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b/>
        <strike val="0"/>
        <outline val="0"/>
        <shadow val="0"/>
        <u val="none"/>
        <vertAlign val="baseline"/>
        <color theme="0" tint="-0.34998626667073579"/>
        <name val="Calibri"/>
        <scheme val="minor"/>
      </font>
      <fill>
        <patternFill patternType="solid">
          <fgColor indexed="64"/>
          <bgColor theme="0" tint="-4.9989318521683403E-2"/>
        </patternFill>
      </fill>
      <alignment horizontal="center" vertical="bottom" textRotation="0" wrapText="0" indent="0" justifyLastLine="0" shrinkToFit="0" readingOrder="0"/>
    </dxf>
    <dxf>
      <font>
        <strike val="0"/>
        <outline val="0"/>
        <shadow val="0"/>
        <u val="none"/>
        <vertAlign val="baseline"/>
        <color theme="0" tint="-0.34998626667073579"/>
        <name val="Calibri"/>
        <scheme val="minor"/>
      </font>
    </dxf>
    <dxf>
      <font>
        <strike val="0"/>
        <outline val="0"/>
        <shadow val="0"/>
        <u val="none"/>
        <vertAlign val="baseline"/>
        <color theme="0" tint="-0.34998626667073579"/>
        <name val="Calibri"/>
        <scheme val="minor"/>
      </font>
    </dxf>
    <dxf>
      <font>
        <b/>
        <strike val="0"/>
        <outline val="0"/>
        <shadow val="0"/>
        <u val="none"/>
        <vertAlign val="baseline"/>
        <color theme="0" tint="-0.34998626667073579"/>
        <name val="Calibri"/>
        <scheme val="minor"/>
      </font>
      <alignment horizontal="left" vertical="center" textRotation="0" wrapText="1" indent="0" justifyLastLine="0" shrinkToFit="0" readingOrder="0"/>
    </dxf>
    <dxf>
      <numFmt numFmtId="171" formatCode="_(&quot;$&quot;* #,##0_);_(&quot;$&quot;* \(#,##0\);_(&quot;$&quot;* &quot;-&quot;??_);_(@_)"/>
    </dxf>
    <dxf>
      <font>
        <b/>
      </font>
      <numFmt numFmtId="171" formatCode="_(&quot;$&quot;* #,##0_);_(&quot;$&quot;* \(#,##0\);_(&quot;$&quot;* &quot;-&quot;??_);_(@_)"/>
      <fill>
        <patternFill patternType="solid">
          <fgColor indexed="64"/>
          <bgColor theme="0" tint="-4.9989318521683403E-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numFmt numFmtId="171" formatCode="_(&quot;$&quot;* #,##0_);_(&quot;$&quot;* \(#,##0\);_(&quot;$&quot;* &quot;-&quot;??_);_(@_)"/>
      <fill>
        <patternFill patternType="solid">
          <fgColor indexed="64"/>
          <bgColor theme="0" tint="-4.9989318521683403E-2"/>
        </patternFill>
      </fill>
    </dxf>
    <dxf>
      <font>
        <b/>
        <i val="0"/>
        <strike val="0"/>
        <condense val="0"/>
        <extend val="0"/>
        <outline val="0"/>
        <shadow val="0"/>
        <u val="none"/>
        <vertAlign val="baseline"/>
        <sz val="11"/>
        <color theme="1"/>
        <name val="Calibri"/>
        <scheme val="minor"/>
      </font>
      <numFmt numFmtId="171" formatCode="_(&quot;$&quot;* #,##0_);_(&quot;$&quot;* \(#,##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171" formatCode="_(&quot;$&quot;* #,##0_);_(&quot;$&quot;* \(#,##0\);_(&quot;$&quot;* &quot;-&quot;??_);_(@_)"/>
    </dxf>
    <dxf>
      <font>
        <b/>
      </font>
      <numFmt numFmtId="171" formatCode="_(&quot;$&quot;* #,##0_);_(&quot;$&quot;* \(#,##0\);_(&quot;$&quot;* &quot;-&quot;??_);_(@_)"/>
    </dxf>
    <dxf>
      <numFmt numFmtId="34" formatCode="_(&quot;$&quot;* #,##0.00_);_(&quot;$&quot;* \(#,##0.00\);_(&quot;$&quot;* &quot;-&quot;??_);_(@_)"/>
    </dxf>
    <dxf>
      <numFmt numFmtId="34" formatCode="_(&quot;$&quot;* #,##0.00_);_(&quot;$&quot;* \(#,##0.0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fill>
        <patternFill patternType="solid">
          <fgColor indexed="64"/>
          <bgColor theme="0" tint="-4.9989318521683403E-2"/>
        </patternFill>
      </fill>
    </dxf>
    <dxf>
      <numFmt numFmtId="171" formatCode="_(&quot;$&quot;* #,##0_);_(&quot;$&quot;* \(#,##0\);_(&quot;$&quot;* &quot;-&quot;??_);_(@_)"/>
      <fill>
        <patternFill patternType="solid">
          <fgColor indexed="64"/>
          <bgColor theme="0" tint="-4.9989318521683403E-2"/>
        </patternFill>
      </fill>
    </dxf>
    <dxf>
      <numFmt numFmtId="171" formatCode="_(&quot;$&quot;* #,##0_);_(&quot;$&quot;* \(#,##0\);_(&quot;$&quot;* &quot;-&quot;??_);_(@_)"/>
      <fill>
        <patternFill patternType="solid">
          <fgColor indexed="64"/>
          <bgColor theme="0" tint="-4.9989318521683403E-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dxf>
    <dxf>
      <numFmt numFmtId="177" formatCode="0.000"/>
    </dxf>
    <dxf>
      <font>
        <b val="0"/>
        <i val="0"/>
        <strike val="0"/>
        <condense val="0"/>
        <extend val="0"/>
        <outline val="0"/>
        <shadow val="0"/>
        <u val="none"/>
        <vertAlign val="baseline"/>
        <sz val="10"/>
        <color theme="1"/>
        <name val="Calibri"/>
        <scheme val="minor"/>
      </font>
      <numFmt numFmtId="169" formatCode="0.0"/>
    </dxf>
    <dxf>
      <numFmt numFmtId="169" formatCode="0.0"/>
    </dxf>
    <dxf>
      <font>
        <b val="0"/>
        <i val="0"/>
        <strike val="0"/>
        <condense val="0"/>
        <extend val="0"/>
        <outline val="0"/>
        <shadow val="0"/>
        <u val="none"/>
        <vertAlign val="baseline"/>
        <sz val="10"/>
        <color theme="1"/>
        <name val="Calibri"/>
        <scheme val="minor"/>
      </font>
      <numFmt numFmtId="169" formatCode="0.0"/>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font>
        <b val="0"/>
        <strike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border outline="0">
        <bottom style="thin">
          <color auto="1"/>
        </bottom>
      </border>
    </dxf>
    <dxf>
      <font>
        <b/>
        <i val="0"/>
        <strike val="0"/>
        <condense val="0"/>
        <extend val="0"/>
        <outline val="0"/>
        <shadow val="0"/>
        <u val="none"/>
        <vertAlign val="baseline"/>
        <sz val="10"/>
        <color theme="1"/>
        <name val="Calibri"/>
        <scheme val="minor"/>
      </font>
      <numFmt numFmtId="0" formatCode="General"/>
      <alignment horizontal="left" vertical="center" textRotation="0" wrapText="1" indent="0" justifyLastLine="0" shrinkToFit="0" readingOrder="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0" formatCode="General"/>
    </dxf>
    <dxf>
      <alignment horizontal="center" vertical="center" textRotation="0" wrapText="0" indent="0" justifyLastLine="0" shrinkToFit="0" readingOrder="0"/>
    </dxf>
    <dxf>
      <numFmt numFmtId="0" formatCode="General"/>
      <alignment horizontal="left" vertical="center" textRotation="0" wrapText="0" indent="0" justifyLastLine="0" shrinkToFit="0" readingOrder="0"/>
    </dxf>
    <dxf>
      <numFmt numFmtId="169" formatCode="0.0"/>
    </dxf>
    <dxf>
      <numFmt numFmtId="169" formatCode="0.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0" formatCode="General"/>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0"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174" formatCode="_(* #,##0_);_(* \(#,##0\);_(* &quot;-&quot;??_);_(@_)"/>
    </dxf>
    <dxf>
      <numFmt numFmtId="35" formatCode="_(* #,##0.00_);_(* \(#,##0.00\);_(* &quot;-&quot;??_);_(@_)"/>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5" formatCode="_(* #,##0.0_);_(* \(#,##0.0\);_(* &quot;-&quot;??_);_(@_)"/>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5"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5"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5"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5"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ill>
        <patternFill patternType="solid">
          <fgColor indexed="64"/>
          <bgColor theme="6" tint="0.59999389629810485"/>
        </patternFill>
      </fill>
    </dxf>
    <dxf>
      <numFmt numFmtId="34" formatCode="_(&quot;$&quot;* #,##0.00_);_(&quot;$&quot;* \(#,##0.00\);_(&quot;$&quot;* &quot;-&quot;??_);_(@_)"/>
      <fill>
        <patternFill patternType="solid">
          <fgColor indexed="64"/>
          <bgColor theme="6" tint="0.59999389629810485"/>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fill>
        <patternFill patternType="none">
          <fgColor indexed="64"/>
          <bgColor indexed="65"/>
        </patternFill>
      </fill>
    </dxf>
    <dxf>
      <fill>
        <patternFill patternType="none">
          <fgColor indexed="64"/>
          <bgColor indexed="65"/>
        </patternFill>
      </fill>
    </dxf>
    <dxf>
      <numFmt numFmtId="34" formatCode="_(&quot;$&quot;* #,##0.00_);_(&quot;$&quot;* \(#,##0.00\);_(&quot;$&quot;* &quot;-&quot;??_);_(@_)"/>
      <fill>
        <patternFill patternType="none">
          <fgColor indexed="64"/>
          <bgColor indexed="65"/>
        </patternFill>
      </fill>
    </dxf>
    <dxf>
      <font>
        <b val="0"/>
        <i val="0"/>
        <strike val="0"/>
        <condense val="0"/>
        <extend val="0"/>
        <outline val="0"/>
        <shadow val="0"/>
        <u val="none"/>
        <vertAlign val="baseline"/>
        <sz val="10"/>
        <color theme="1"/>
        <name val="Calibri"/>
        <scheme val="minor"/>
      </font>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fill>
        <patternFill patternType="none">
          <fgColor indexed="64"/>
          <bgColor indexed="65"/>
        </patternFill>
      </fill>
    </dxf>
    <dxf>
      <font>
        <b val="0"/>
        <i val="0"/>
        <strike val="0"/>
        <condense val="0"/>
        <extend val="0"/>
        <outline val="0"/>
        <shadow val="0"/>
        <u val="none"/>
        <vertAlign val="baseline"/>
        <sz val="10"/>
        <color theme="0"/>
        <name val="Calibri"/>
        <scheme val="minor"/>
      </font>
      <fill>
        <patternFill patternType="solid">
          <fgColor indexed="64"/>
          <bgColor theme="6"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fill>
        <patternFill patternType="solid">
          <fgColor indexed="64"/>
          <bgColor theme="8" tint="0.59999389629810485"/>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numFmt numFmtId="0" formatCode="General"/>
    </dxf>
    <dxf>
      <border outline="0">
        <bottom style="thin">
          <color indexed="64"/>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171" formatCode="_(&quot;$&quot;* #,##0_);_(&quot;$&quot;* \(#,##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7" tint="0.79998168889431442"/>
        </patternFill>
      </fill>
    </dxf>
    <dxf>
      <fill>
        <patternFill patternType="solid">
          <fgColor indexed="64"/>
          <bgColor theme="7" tint="0.79998168889431442"/>
        </patternFill>
      </fill>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dxf>
    <dxf>
      <numFmt numFmtId="171" formatCode="_(&quot;$&quot;* #,##0_);_(&quot;$&quot;* \(#,##0\);_(&quot;$&quot;* &quot;-&quot;??_);_(@_)"/>
      <fill>
        <patternFill patternType="none">
          <fgColor indexed="64"/>
          <bgColor auto="1"/>
        </patternFill>
      </fill>
    </dxf>
    <dxf>
      <font>
        <b val="0"/>
        <i val="0"/>
        <strike val="0"/>
        <condense val="0"/>
        <extend val="0"/>
        <outline val="0"/>
        <shadow val="0"/>
        <u val="none"/>
        <vertAlign val="baseline"/>
        <sz val="10"/>
        <color theme="1"/>
        <name val="Calibri"/>
        <scheme val="minor"/>
      </font>
      <numFmt numFmtId="175" formatCode="_(* #,##0.0_);_(* \(#,##0.0\);_(* &quot;-&quot;??_);_(@_)"/>
    </dxf>
    <dxf>
      <font>
        <b val="0"/>
      </font>
      <numFmt numFmtId="169" formatCode="0.0"/>
    </dxf>
    <dxf>
      <font>
        <b val="0"/>
        <i val="0"/>
        <strike val="0"/>
        <condense val="0"/>
        <extend val="0"/>
        <outline val="0"/>
        <shadow val="0"/>
        <u val="none"/>
        <vertAlign val="baseline"/>
        <sz val="10"/>
        <color theme="1"/>
        <name val="Calibri"/>
        <scheme val="minor"/>
      </font>
      <numFmt numFmtId="175" formatCode="_(* #,##0.0_);_(* \(#,##0.0\);_(* &quot;-&quot;??_);_(@_)"/>
    </dxf>
    <dxf>
      <font>
        <b val="0"/>
      </font>
      <numFmt numFmtId="169" formatCode="0.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dxf>
    <dxf>
      <font>
        <b/>
        <i val="0"/>
        <strike val="0"/>
        <condense val="0"/>
        <extend val="0"/>
        <outline val="0"/>
        <shadow val="0"/>
        <u val="none"/>
        <vertAlign val="baseline"/>
        <sz val="11"/>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dxf>
    <dxf>
      <numFmt numFmtId="2" formatCode="0.00"/>
    </dxf>
    <dxf>
      <numFmt numFmtId="0" formatCode="General"/>
    </dxf>
    <dxf>
      <numFmt numFmtId="2" formatCode="0.00"/>
    </dxf>
    <dxf>
      <numFmt numFmtId="0" formatCode="General"/>
    </dxf>
    <dxf>
      <numFmt numFmtId="169" formatCode="0.0"/>
    </dxf>
    <dxf>
      <numFmt numFmtId="0" formatCode="General"/>
    </dxf>
    <dxf>
      <font>
        <b val="0"/>
        <i val="0"/>
        <strike val="0"/>
        <condense val="0"/>
        <extend val="0"/>
        <outline val="0"/>
        <shadow val="0"/>
        <u val="none"/>
        <vertAlign val="baseline"/>
        <sz val="10"/>
        <color theme="1"/>
        <name val="Calibri"/>
        <scheme val="minor"/>
      </font>
      <numFmt numFmtId="175" formatCode="_(* #,##0.0_);_(* \(#,##0.0\);_(* &quot;-&quot;??_);_(@_)"/>
    </dxf>
    <dxf>
      <numFmt numFmtId="0" formatCode="General"/>
    </dxf>
    <dxf>
      <numFmt numFmtId="0" formatCode="General"/>
    </dxf>
    <dxf>
      <font>
        <b/>
        <i val="0"/>
        <strike val="0"/>
        <condense val="0"/>
        <extend val="0"/>
        <outline val="0"/>
        <shadow val="0"/>
        <u val="none"/>
        <vertAlign val="baseline"/>
        <sz val="11"/>
        <color theme="1"/>
        <name val="Calibri"/>
        <scheme val="minor"/>
      </font>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169" formatCode="0.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border outline="0">
        <bottom style="thin">
          <color indexed="64"/>
        </bottom>
      </border>
    </dxf>
    <dxf>
      <font>
        <b/>
        <strike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6" tint="0.79998168889431442"/>
        </patternFill>
      </fill>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6" tint="0.79998168889431442"/>
        </patternFill>
      </fill>
    </dxf>
    <dxf>
      <font>
        <b val="0"/>
        <i val="0"/>
        <strike val="0"/>
        <condense val="0"/>
        <extend val="0"/>
        <outline val="0"/>
        <shadow val="0"/>
        <u val="none"/>
        <vertAlign val="baseline"/>
        <sz val="10"/>
        <color theme="1"/>
        <name val="Calibri"/>
        <scheme val="minor"/>
      </font>
      <numFmt numFmtId="171" formatCode="_(&quot;$&quot;* #,##0_);_(&quot;$&quot;* \(#,##0\);_(&quot;$&quot;* &quot;-&quot;??_);_(@_)"/>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val="0"/>
        <i val="0"/>
        <strike val="0"/>
        <condense val="0"/>
        <extend val="0"/>
        <outline val="0"/>
        <shadow val="0"/>
        <u val="none"/>
        <vertAlign val="baseline"/>
        <sz val="10"/>
        <color theme="1"/>
        <name val="Calibri"/>
        <scheme val="minor"/>
      </font>
      <numFmt numFmtId="174" formatCode="_(* #,##0_);_(* \(#,##0\);_(* &quot;-&quot;??_);_(@_)"/>
    </dxf>
    <dxf>
      <numFmt numFmtId="0" formatCode="General"/>
    </dxf>
    <dxf>
      <border outline="0">
        <bottom style="thin">
          <color indexed="64"/>
        </bottom>
      </border>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7" tint="0.79998168889431442"/>
        </patternFill>
      </fill>
    </dxf>
    <dxf>
      <font>
        <b/>
      </font>
      <numFmt numFmtId="171"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font>
      <numFmt numFmtId="171" formatCode="_(&quot;$&quot;* #,##0_);_(&quot;$&quot;* \(#,##0\);_(&quot;$&quot;* &quot;-&quot;??_);_(@_)"/>
      <fill>
        <patternFill patternType="none">
          <fgColor indexed="64"/>
          <bgColor auto="1"/>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169" formatCode="0.0"/>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4" tint="0.79998168889431442"/>
        </patternFill>
      </fill>
    </dxf>
    <dxf>
      <font>
        <b/>
      </font>
      <numFmt numFmtId="171" formatCode="_(&quot;$&quot;* #,##0_);_(&quot;$&quot;* \(#,##0\);_(&quot;$&quot;* &quot;-&quot;??_);_(@_)"/>
      <fill>
        <patternFill patternType="solid">
          <fgColor indexed="64"/>
          <bgColor theme="4" tint="0.79998168889431442"/>
        </patternFill>
      </fill>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7"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7" tint="0.79998168889431442"/>
        </patternFill>
      </fill>
      <alignment horizontal="left" vertical="bottom" textRotation="0" wrapText="0" relativeIndent="1" justifyLastLine="0" shrinkToFit="0" readingOrder="0"/>
    </dxf>
    <dxf>
      <numFmt numFmtId="169" formatCode="0.0"/>
    </dxf>
    <dxf>
      <numFmt numFmtId="169" formatCode="0.0"/>
    </dxf>
    <dxf>
      <font>
        <b/>
      </font>
      <alignment horizontal="left" vertical="center" textRotation="0" wrapText="0" indent="0" justifyLastLine="0" shrinkToFit="0" readingOrder="0"/>
    </dxf>
    <dxf>
      <numFmt numFmtId="171" formatCode="_(&quot;$&quot;* #,##0_);_(&quot;$&quot;* \(#,##0\);_(&quot;$&quot;* &quot;-&quot;??_);_(@_)"/>
    </dxf>
    <dxf>
      <font>
        <b val="0"/>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5" tint="0.79998168889431442"/>
        </patternFill>
      </fill>
      <alignment horizontal="left" vertical="bottom" textRotation="0" wrapText="0" indent="1" justifyLastLine="0" shrinkToFit="0" readingOrder="0"/>
    </dxf>
    <dxf>
      <numFmt numFmtId="171" formatCode="_(&quot;$&quot;* #,##0_);_(&quot;$&quot;* \(#,##0\);_(&quot;$&quot;* &quot;-&quot;??_);_(@_)"/>
    </dxf>
    <dxf>
      <font>
        <b/>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numFmt numFmtId="171" formatCode="_(&quot;$&quot;* #,##0_);_(&quot;$&quot;* \(#,##0\);_(&quot;$&quot;* &quot;-&quot;??_);_(@_)"/>
      <fill>
        <patternFill patternType="solid">
          <fgColor indexed="64"/>
          <bgColor theme="4" tint="0.79998168889431442"/>
        </patternFill>
      </fill>
    </dxf>
    <dxf>
      <font>
        <b/>
        <i val="0"/>
        <strike val="0"/>
        <condense val="0"/>
        <extend val="0"/>
        <outline val="0"/>
        <shadow val="0"/>
        <u val="none"/>
        <vertAlign val="baseline"/>
        <sz val="10"/>
        <color theme="1"/>
        <name val="Calibri"/>
        <scheme val="minor"/>
      </font>
      <numFmt numFmtId="171" formatCode="_(&quot;$&quot;* #,##0_);_(&quot;$&quot;* \(#,##0\);_(&quot;$&quot;* &quot;-&quot;??_);_(@_)"/>
      <fill>
        <patternFill patternType="solid">
          <fgColor indexed="64"/>
          <bgColor theme="4" tint="0.79998168889431442"/>
        </patternFill>
      </fill>
      <alignment horizontal="left" vertical="bottom" textRotation="0" wrapText="0" indent="1" justifyLastLine="0" shrinkToFit="0" readingOrder="0"/>
    </dxf>
    <dxf>
      <numFmt numFmtId="171" formatCode="_(&quot;$&quot;* #,##0_);_(&quot;$&quot;* \(#,##0\);_(&quot;$&quot;* &quot;-&quot;??_);_(@_)"/>
    </dxf>
    <dxf>
      <font>
        <b/>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font>
        <b/>
      </font>
      <numFmt numFmtId="171" formatCode="_(&quot;$&quot;* #,##0_);_(&quot;$&quot;* \(#,##0\);_(&quot;$&quot;* &quot;-&quot;??_);_(@_)"/>
      <fill>
        <patternFill patternType="none">
          <fgColor indexed="64"/>
          <bgColor indexed="65"/>
        </patternFill>
      </fill>
      <alignment horizontal="left" vertical="bottom" textRotation="0" wrapText="0" indent="1" justifyLastLine="0" shrinkToFit="0" readingOrder="0"/>
    </dxf>
    <dxf>
      <numFmt numFmtId="169" formatCode="0.0"/>
      <fill>
        <patternFill patternType="none">
          <fgColor indexed="64"/>
          <bgColor auto="1"/>
        </patternFill>
      </fill>
    </dxf>
    <dxf>
      <numFmt numFmtId="0" formatCode="General"/>
    </dxf>
    <dxf>
      <font>
        <b/>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dxf>
    <dxf>
      <font>
        <b/>
      </font>
      <fill>
        <patternFill patternType="solid">
          <fgColor indexed="64"/>
          <bgColor theme="0" tint="-4.9989318521683403E-2"/>
        </patternFill>
      </fill>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numFmt numFmtId="169" formatCode="0.0"/>
    </dxf>
    <dxf>
      <font>
        <b/>
      </font>
      <alignment horizontal="left" vertical="center" textRotation="0" wrapText="0" indent="0" justifyLastLine="0" shrinkToFit="0" readingOrder="0"/>
    </dxf>
    <dxf>
      <fill>
        <patternFill patternType="none">
          <fgColor indexed="64"/>
          <bgColor indexed="65"/>
        </patternFill>
      </fill>
    </dxf>
    <dxf>
      <font>
        <b/>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font>
        <b val="0"/>
        <i val="0"/>
        <strike val="0"/>
        <condense val="0"/>
        <extend val="0"/>
        <outline val="0"/>
        <shadow val="0"/>
        <u val="none"/>
        <vertAlign val="baseline"/>
        <sz val="10"/>
        <color theme="1"/>
        <name val="Calibri"/>
        <scheme val="minor"/>
      </font>
      <numFmt numFmtId="175" formatCode="_(* #,##0.0_);_(* \(#,##0.0\);_(* &quot;-&quot;??_);_(@_)"/>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numFmt numFmtId="169" formatCode="0.0"/>
    </dxf>
    <dxf>
      <numFmt numFmtId="169" formatCode="0.0"/>
    </dxf>
    <dxf>
      <font>
        <b/>
      </font>
      <alignment horizontal="left" vertical="center" textRotation="0" wrapText="0"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dxf>
    <dxf>
      <font>
        <b/>
      </font>
      <numFmt numFmtId="34" formatCode="_(&quot;$&quot;* #,##0.00_);_(&quot;$&quot;* \(#,##0.00\);_(&quot;$&quot;* &quot;-&quot;??_);_(@_)"/>
      <fill>
        <patternFill patternType="solid">
          <fgColor indexed="64"/>
          <bgColor theme="4" tint="0.79998168889431442"/>
        </patternFill>
      </fill>
    </dxf>
    <dxf>
      <alignment horizontal="center" vertical="bottom" textRotation="0" wrapText="0" indent="0" justifyLastLine="0" shrinkToFit="0" readingOrder="0"/>
    </dxf>
    <dxf>
      <numFmt numFmtId="169"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alignment horizontal="general" vertical="bottom" textRotation="0" wrapText="1" indent="0" justifyLastLine="0" shrinkToFit="0" readingOrder="0"/>
    </dxf>
    <dxf>
      <font>
        <b/>
        <i val="0"/>
        <strike val="0"/>
        <condense val="0"/>
        <extend val="0"/>
        <outline val="0"/>
        <shadow val="0"/>
        <u val="none"/>
        <vertAlign val="baseline"/>
        <sz val="10"/>
        <color theme="0" tint="-0.499984740745262"/>
        <name val="Calibri"/>
        <scheme val="minor"/>
      </font>
      <fill>
        <patternFill patternType="solid">
          <fgColor indexed="64"/>
          <bgColor theme="4" tint="0.79998168889431442"/>
        </patternFill>
      </fill>
      <alignment horizontal="left" vertical="bottom" textRotation="0" wrapText="0" indent="1" justifyLastLine="0" shrinkToFit="0" readingOrder="0"/>
    </dxf>
    <dxf>
      <font>
        <strike val="0"/>
        <outline val="0"/>
        <shadow val="0"/>
        <vertAlign val="baseline"/>
        <color theme="0" tint="-0.499984740745262"/>
        <name val="Calibri"/>
        <scheme val="minor"/>
      </font>
      <numFmt numFmtId="169" formatCode="0.0"/>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font>
        <strike val="0"/>
        <outline val="0"/>
        <shadow val="0"/>
        <vertAlign val="baseline"/>
        <color theme="0" tint="-0.499984740745262"/>
        <name val="Calibri"/>
        <scheme val="minor"/>
      </font>
    </dxf>
    <dxf>
      <border outline="0">
        <top style="thin">
          <color auto="1"/>
        </top>
        <bottom style="thin">
          <color auto="1"/>
        </bottom>
      </border>
    </dxf>
    <dxf>
      <font>
        <strike val="0"/>
        <outline val="0"/>
        <shadow val="0"/>
        <vertAlign val="baseline"/>
        <color theme="0" tint="-0.499984740745262"/>
        <name val="Calibri"/>
        <scheme val="minor"/>
      </font>
    </dxf>
    <dxf>
      <font>
        <b/>
        <i val="0"/>
        <strike val="0"/>
        <condense val="0"/>
        <extend val="0"/>
        <outline val="0"/>
        <shadow val="0"/>
        <u val="none"/>
        <vertAlign val="baseline"/>
        <sz val="10"/>
        <color theme="0" tint="-0.499984740745262"/>
        <name val="Calibri"/>
        <scheme val="minor"/>
      </font>
      <alignment horizontal="left" vertical="center" textRotation="0" wrapText="0" indent="0" justifyLastLine="0" shrinkToFit="0" readingOrder="0"/>
    </dxf>
    <dxf>
      <font>
        <b/>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alignment horizontal="left" vertical="bottom" textRotation="0" wrapText="0" indent="1" justifyLastLine="0" shrinkToFit="0" readingOrder="0"/>
    </dxf>
    <dxf>
      <font>
        <b/>
        <i val="0"/>
        <strike val="0"/>
        <condense val="0"/>
        <extend val="0"/>
        <outline val="0"/>
        <shadow val="0"/>
        <u val="none"/>
        <vertAlign val="baseline"/>
        <sz val="10"/>
        <color theme="1"/>
        <name val="Calibri"/>
        <scheme val="minor"/>
      </font>
      <numFmt numFmtId="174" formatCode="_(* #,##0_);_(* \(#,##0\);_(* &quot;-&quot;??_);_(@_)"/>
      <fill>
        <patternFill patternType="solid">
          <fgColor indexed="64"/>
          <bgColor theme="5" tint="0.79998168889431442"/>
        </patternFill>
      </fill>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174" formatCode="_(* #,##0_);_(* \(#,##0\);_(* &quot;-&quot;??_);_(@_)"/>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2"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wrapText="0" indent="0" justifyLastLine="0" shrinkToFit="0" readingOrder="0"/>
    </dxf>
    <dxf>
      <numFmt numFmtId="34" formatCode="_(&quot;$&quot;* #,##0.00_);_(&quot;$&quot;* \(#,##0.00\);_(&quot;$&quot;* &quot;-&quot;??_);_(@_)"/>
    </dxf>
    <dxf>
      <font>
        <b/>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ill>
        <patternFill patternType="none">
          <fgColor indexed="64"/>
          <bgColor indexed="65"/>
        </patternFill>
      </fill>
    </dxf>
    <dxf>
      <numFmt numFmtId="169" formatCode="0.0"/>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74" formatCode="_(* #,##0_);_(* \(#,##0\);_(* &quot;-&quot;??_);_(@_)"/>
    </dxf>
    <dxf>
      <numFmt numFmtId="169" formatCode="0.0"/>
    </dxf>
    <dxf>
      <numFmt numFmtId="169" formatCode="0.0"/>
    </dxf>
    <dxf>
      <font>
        <b val="0"/>
        <i val="0"/>
        <strike val="0"/>
        <condense val="0"/>
        <extend val="0"/>
        <outline val="0"/>
        <shadow val="0"/>
        <u val="none"/>
        <vertAlign val="baseline"/>
        <sz val="10"/>
        <color theme="1"/>
        <name val="Calibri"/>
        <scheme val="minor"/>
      </font>
      <numFmt numFmtId="175" formatCode="_(* #,##0.0_);_(* \(#,##0.0\);_(* &quot;-&quot;??_);_(@_)"/>
    </dxf>
    <dxf>
      <numFmt numFmtId="169" formatCode="0.0"/>
    </dxf>
    <dxf>
      <font>
        <b/>
      </font>
      <alignment horizontal="left" vertical="center" textRotation="0" indent="0" justifyLastLine="0" shrinkToFit="0" readingOrder="0"/>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0"/>
        <color theme="1"/>
        <name val="Calibri"/>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indent="1" justifyLastLine="0" shrinkToFit="0" readingOrder="0"/>
    </dxf>
    <dxf>
      <numFmt numFmtId="34" formatCode="_(&quot;$&quot;* #,##0.00_);_(&quot;$&quot;* \(#,##0.00\);_(&quot;$&quot;* &quot;-&quot;??_);_(@_)"/>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indent="1" justifyLastLine="0" shrinkToFit="0" readingOrder="0"/>
    </dxf>
    <dxf>
      <font>
        <b val="0"/>
        <i val="0"/>
        <strike val="0"/>
        <condense val="0"/>
        <extend val="0"/>
        <outline val="0"/>
        <shadow val="0"/>
        <u val="none"/>
        <vertAlign val="baseline"/>
        <sz val="10"/>
        <color theme="1"/>
        <name val="Calibri"/>
        <scheme val="minor"/>
      </font>
      <numFmt numFmtId="34" formatCode="_(&quot;$&quot;* #,##0.00_);_(&quot;$&quot;* \(#,##0.00\);_(&quot;$&quot;* &quot;-&quot;??_);_(@_)"/>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scheme val="minor"/>
      </font>
      <numFmt numFmtId="175" formatCode="_(* #,##0.0_);_(* \(#,##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theme="1"/>
        <name val="Calibri"/>
        <scheme val="minor"/>
      </font>
      <alignment horizontal="left" vertical="center" textRotation="0" wrapText="1" indent="0" justifyLastLine="0" shrinkToFit="0" readingOrder="0"/>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theme="4" tint="0.79998168889431442"/>
        </patternFill>
      </fill>
      <alignment horizontal="left" vertical="bottom" textRotation="0" wrapText="0" indent="1" justifyLastLine="0" shrinkToFit="0" readingOrder="0"/>
    </dxf>
    <dxf>
      <font>
        <b/>
      </font>
      <numFmt numFmtId="34" formatCode="_(&quot;$&quot;* #,##0.00_);_(&quot;$&quot;* \(#,##0.00\);_(&quot;$&quot;* &quot;-&quot;??_);_(@_)"/>
      <fill>
        <patternFill patternType="solid">
          <fgColor indexed="64"/>
          <bgColor theme="4" tint="0.79998168889431442"/>
        </patternFill>
      </fill>
      <alignment horizontal="left" vertical="bottom" textRotation="0" wrapText="0" relativeIndent="1" justifyLastLine="0" shrinkToFit="0" readingOrder="0"/>
    </dxf>
    <dxf>
      <font>
        <b val="0"/>
        <i val="0"/>
        <strike val="0"/>
        <condense val="0"/>
        <extend val="0"/>
        <outline val="0"/>
        <shadow val="0"/>
        <u val="none"/>
        <vertAlign val="baseline"/>
        <sz val="10"/>
        <color theme="1"/>
        <name val="Calibri"/>
        <family val="2"/>
        <scheme val="minor"/>
      </font>
      <numFmt numFmtId="175" formatCode="_(* #,##0.0_);_(* \(#,##0.0\);_(* &quot;-&quot;??_);_(@_)"/>
    </dxf>
    <dxf>
      <numFmt numFmtId="169" formatCode="0.0"/>
    </dxf>
    <dxf>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sz val="10"/>
        <color auto="1"/>
        <name val="Calibri"/>
        <scheme val="minor"/>
      </font>
      <numFmt numFmtId="0" formatCode="Genera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72" formatCode="&quot;$&quot;#,##0"/>
      <fill>
        <patternFill patternType="solid">
          <fgColor indexed="64"/>
          <bgColor rgb="FFD5EBF0"/>
        </patternFill>
      </fill>
    </dxf>
    <dxf>
      <numFmt numFmtId="172" formatCode="&quot;$&quot;#,##0"/>
    </dxf>
    <dxf>
      <numFmt numFmtId="169" formatCode="0.0"/>
      <fill>
        <patternFill patternType="solid">
          <fgColor indexed="64"/>
          <bgColor rgb="FFD5EBF0"/>
        </patternFill>
      </fill>
    </dxf>
    <dxf>
      <numFmt numFmtId="169" formatCode="0.0"/>
    </dxf>
    <dxf>
      <font>
        <b val="0"/>
        <i val="0"/>
        <strike val="0"/>
        <condense val="0"/>
        <extend val="0"/>
        <outline val="0"/>
        <shadow val="0"/>
        <u val="none"/>
        <vertAlign val="baseline"/>
        <sz val="10"/>
        <color theme="1"/>
        <name val="Calibri"/>
        <family val="2"/>
        <scheme val="minor"/>
      </font>
      <numFmt numFmtId="175" formatCode="_(* #,##0.0_);_(* \(#,##0.0\);_(* &quot;-&quot;??_);_(@_)"/>
      <fill>
        <patternFill patternType="solid">
          <fgColor indexed="64"/>
          <bgColor rgb="FFD5EBF0"/>
        </patternFill>
      </fill>
    </dxf>
    <dxf>
      <numFmt numFmtId="169" formatCode="0.0"/>
    </dxf>
    <dxf>
      <font>
        <b/>
        <i val="0"/>
        <strike val="0"/>
        <condense val="0"/>
        <extend val="0"/>
        <outline val="0"/>
        <shadow val="0"/>
        <u val="none"/>
        <vertAlign val="baseline"/>
        <sz val="11"/>
        <color theme="1"/>
        <name val="Calibri"/>
        <family val="2"/>
        <scheme val="minor"/>
      </font>
      <numFmt numFmtId="171" formatCode="_(&quot;$&quot;* #,##0_);_(&quot;$&quot;* \(#,##0\);_(&quot;$&quot;* &quot;-&quot;??_);_(@_)"/>
      <fill>
        <patternFill patternType="solid">
          <fgColor indexed="64"/>
          <bgColor rgb="FFD5EBF0"/>
        </patternFill>
      </fill>
    </dxf>
    <dxf>
      <font>
        <b/>
        <i val="0"/>
        <strike val="0"/>
        <condense val="0"/>
        <extend val="0"/>
        <outline val="0"/>
        <shadow val="0"/>
        <u val="none"/>
        <vertAlign val="baseline"/>
        <sz val="11"/>
        <color theme="1"/>
        <name val="Calibri"/>
        <scheme val="minor"/>
      </font>
      <numFmt numFmtId="169" formatCode="0.0"/>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theme="4"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theme="4" tint="0.79998168889431442"/>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none">
          <fgColor indexed="64"/>
          <bgColor rgb="FFFF33CC"/>
        </patternFill>
      </fill>
    </dxf>
    <dxf>
      <numFmt numFmtId="34" formatCode="_(&quot;$&quot;* #,##0.00_);_(&quot;$&quot;* \(#,##0.00\);_(&quot;$&quot;* &quot;-&quot;??_);_(@_)"/>
      <fill>
        <patternFill patternType="solid">
          <fgColor indexed="64"/>
          <bgColor rgb="FFD5EBF0"/>
        </patternFill>
      </fill>
    </dxf>
    <dxf>
      <numFmt numFmtId="34" formatCode="_(&quot;$&quot;* #,##0.00_);_(&quot;$&quot;* \(#,##0.00\);_(&quot;$&quot;* &quot;-&quot;??_);_(@_)"/>
      <fill>
        <patternFill patternType="solid">
          <fgColor indexed="64"/>
          <bgColor rgb="FFFF33CC"/>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numFmt numFmtId="34" formatCode="_(&quot;$&quot;* #,##0.00_);_(&quot;$&quot;* \(#,##0.00\);_(&quot;$&quot;* &quot;-&quot;??_);_(@_)"/>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ont>
        <b val="0"/>
        <i val="0"/>
        <strike val="0"/>
        <condense val="0"/>
        <extend val="0"/>
        <outline val="0"/>
        <shadow val="0"/>
        <u val="none"/>
        <vertAlign val="baseline"/>
        <sz val="10"/>
        <color theme="1"/>
        <name val="Calibri"/>
        <family val="2"/>
        <scheme val="minor"/>
      </font>
      <numFmt numFmtId="34" formatCode="_(&quot;$&quot;* #,##0.00_);_(&quot;$&quot;* \(#,##0.00\);_(&quot;$&quot;* &quot;-&quot;??_);_(@_)"/>
      <fill>
        <patternFill patternType="solid">
          <fgColor indexed="64"/>
          <bgColor rgb="FFD5EBF0"/>
        </patternFill>
      </fill>
    </dxf>
    <dxf>
      <fill>
        <patternFill patternType="solid">
          <fgColor indexed="64"/>
          <bgColor rgb="FFD5EBF0"/>
        </patternFill>
      </fill>
      <alignment horizontal="right" vertical="bottom" textRotation="0" wrapText="0" indent="0" justifyLastLine="0" shrinkToFit="0" readingOrder="0"/>
    </dxf>
    <dxf>
      <fill>
        <patternFill patternType="solid">
          <fgColor indexed="64"/>
          <bgColor rgb="FFD5EBF0"/>
        </patternFill>
      </fill>
    </dxf>
    <dxf>
      <fill>
        <patternFill patternType="solid">
          <fgColor indexed="64"/>
          <bgColor rgb="FFD5EBF0"/>
        </patternFill>
      </fill>
    </dxf>
    <dxf>
      <font>
        <b val="0"/>
        <i val="0"/>
        <strike val="0"/>
        <condense val="0"/>
        <extend val="0"/>
        <outline val="0"/>
        <shadow val="0"/>
        <u val="none"/>
        <vertAlign val="baseline"/>
        <sz val="10"/>
        <color theme="1"/>
        <name val="Calibri"/>
        <scheme val="minor"/>
      </font>
    </dxf>
    <dxf>
      <font>
        <b/>
        <strike val="0"/>
        <outline val="0"/>
        <shadow val="0"/>
        <u val="none"/>
        <vertAlign val="baseline"/>
        <sz val="10"/>
        <color theme="1"/>
        <name val="Calibri"/>
        <scheme val="minor"/>
      </font>
      <alignment horizontal="left" vertical="center" textRotation="0" wrapText="1" indent="0" justifyLastLine="0" shrinkToFit="0" readingOrder="0"/>
    </dxf>
    <dxf>
      <font>
        <b/>
        <i val="0"/>
      </font>
      <border>
        <top style="thin">
          <color auto="1"/>
        </top>
        <bottom style="thin">
          <color auto="1"/>
        </bottom>
      </border>
    </dxf>
    <dxf>
      <border>
        <top style="thin">
          <color auto="1"/>
        </top>
        <bottom style="thin">
          <color auto="1"/>
        </bottom>
      </border>
    </dxf>
    <dxf>
      <font>
        <color theme="0"/>
      </font>
    </dxf>
    <dxf>
      <font>
        <color theme="0"/>
      </font>
    </dxf>
  </dxfs>
  <tableStyles count="2" defaultTableStyle="TableStyleMedium2" defaultPivotStyle="PivotStyleLight16">
    <tableStyle name="PivotTable Style 1" table="0" count="2" xr9:uid="{00000000-0011-0000-FFFF-FFFF00000000}">
      <tableStyleElement type="pageFieldLabels" dxfId="1651"/>
      <tableStyleElement type="pageFieldValues" dxfId="1650"/>
    </tableStyle>
    <tableStyle name="Table Style 1" pivot="0" count="2" xr9:uid="{00000000-0011-0000-FFFF-FFFF01000000}">
      <tableStyleElement type="headerRow" dxfId="1649"/>
      <tableStyleElement type="totalRow" dxfId="1648"/>
    </tableStyle>
  </tableStyles>
  <colors>
    <mruColors>
      <color rgb="FFFFF1CC"/>
      <color rgb="FF00FFFF"/>
      <color rgb="FFCCFFCC"/>
      <color rgb="FFFF33CC"/>
      <color rgb="FFD0E4A5"/>
      <color rgb="FFFF3300"/>
      <color rgb="FFD5EBF0"/>
      <color rgb="FFFFFFCC"/>
      <color rgb="FFF8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externalLink" Target="externalLinks/externalLink8.xml"/><Relationship Id="rId89" Type="http://schemas.openxmlformats.org/officeDocument/2006/relationships/externalLink" Target="externalLinks/externalLink13.xml"/><Relationship Id="rId16" Type="http://schemas.openxmlformats.org/officeDocument/2006/relationships/worksheet" Target="worksheets/sheet16.xml"/><Relationship Id="rId107" Type="http://schemas.openxmlformats.org/officeDocument/2006/relationships/customXml" Target="../customXml/item4.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externalLink" Target="externalLinks/externalLink3.xml"/><Relationship Id="rId102" Type="http://schemas.microsoft.com/office/2017/10/relationships/person" Target="persons/person.xml"/><Relationship Id="rId5" Type="http://schemas.openxmlformats.org/officeDocument/2006/relationships/worksheet" Target="worksheets/sheet5.xml"/><Relationship Id="rId90" Type="http://schemas.openxmlformats.org/officeDocument/2006/relationships/externalLink" Target="externalLinks/externalLink14.xml"/><Relationship Id="rId95" Type="http://schemas.openxmlformats.org/officeDocument/2006/relationships/externalLink" Target="externalLinks/externalLink19.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externalLink" Target="externalLinks/externalLink4.xml"/><Relationship Id="rId85" Type="http://schemas.openxmlformats.org/officeDocument/2006/relationships/externalLink" Target="externalLinks/externalLink9.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externalLink" Target="externalLinks/externalLink7.xml"/><Relationship Id="rId88" Type="http://schemas.openxmlformats.org/officeDocument/2006/relationships/externalLink" Target="externalLinks/externalLink12.xml"/><Relationship Id="rId91" Type="http://schemas.openxmlformats.org/officeDocument/2006/relationships/externalLink" Target="externalLinks/externalLink15.xml"/><Relationship Id="rId96" Type="http://schemas.openxmlformats.org/officeDocument/2006/relationships/externalLink" Target="externalLinks/externalLink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externalLink" Target="externalLinks/externalLink2.xml"/><Relationship Id="rId81" Type="http://schemas.openxmlformats.org/officeDocument/2006/relationships/externalLink" Target="externalLinks/externalLink5.xml"/><Relationship Id="rId86" Type="http://schemas.openxmlformats.org/officeDocument/2006/relationships/externalLink" Target="externalLinks/externalLink10.xml"/><Relationship Id="rId94" Type="http://schemas.openxmlformats.org/officeDocument/2006/relationships/externalLink" Target="externalLinks/externalLink18.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externalLink" Target="externalLinks/externalLink21.xml"/><Relationship Id="rId104"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externalLink" Target="externalLinks/externalLink16.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externalLink" Target="externalLinks/externalLink11.xml"/><Relationship Id="rId61" Type="http://schemas.openxmlformats.org/officeDocument/2006/relationships/worksheet" Target="worksheets/sheet61.xml"/><Relationship Id="rId82" Type="http://schemas.openxmlformats.org/officeDocument/2006/relationships/externalLink" Target="externalLinks/externalLink6.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externalLink" Target="externalLinks/externalLink1.xml"/><Relationship Id="rId100" Type="http://schemas.openxmlformats.org/officeDocument/2006/relationships/styles" Target="styles.xml"/><Relationship Id="rId105"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externalLink" Target="externalLinks/externalLink17.xml"/><Relationship Id="rId98" Type="http://schemas.openxmlformats.org/officeDocument/2006/relationships/externalLink" Target="externalLinks/externalLink2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Manitoba</a:t>
            </a:r>
            <a:r>
              <a:rPr lang="en-US" baseline="0"/>
              <a:t> FNSS 2020-21 Funding Estimates Summary</a:t>
            </a:r>
          </a:p>
        </c:rich>
      </c:tx>
      <c:overlay val="1"/>
    </c:title>
    <c:autoTitleDeleted val="0"/>
    <c:plotArea>
      <c:layout>
        <c:manualLayout>
          <c:layoutTarget val="inner"/>
          <c:xMode val="edge"/>
          <c:yMode val="edge"/>
          <c:x val="6.9483766583971526E-2"/>
          <c:y val="0.13793103448275862"/>
          <c:w val="0.49360730593607305"/>
          <c:h val="0.82835249042145598"/>
        </c:manualLayout>
      </c:layout>
      <c:pieChart>
        <c:varyColors val="1"/>
        <c:ser>
          <c:idx val="0"/>
          <c:order val="0"/>
          <c:explosion val="2"/>
          <c:dLbls>
            <c:dLbl>
              <c:idx val="2"/>
              <c:layout>
                <c:manualLayout>
                  <c:x val="5.5095895181086298E-2"/>
                  <c:y val="0.1188988476851810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1ECC-4DAE-B20D-C54965EC46EA}"/>
                </c:ext>
              </c:extLst>
            </c:dLbl>
            <c:dLbl>
              <c:idx val="3"/>
              <c:layout>
                <c:manualLayout>
                  <c:x val="2.5899576741893478E-2"/>
                  <c:y val="0.1465237563893889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ECC-4DAE-B20D-C54965EC46EA}"/>
                </c:ext>
              </c:extLst>
            </c:dLbl>
            <c:spPr>
              <a:noFill/>
              <a:ln>
                <a:noFill/>
              </a:ln>
              <a:effectLst/>
            </c:sp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'FNSS SUMMARY'!$A$13:$A$16</c:f>
              <c:strCache>
                <c:ptCount val="4"/>
                <c:pt idx="0">
                  <c:v>1. First Nations Schools</c:v>
                </c:pt>
                <c:pt idx="1">
                  <c:v>2 Tuition</c:v>
                </c:pt>
                <c:pt idx="2">
                  <c:v>3. Transportation (All School Types)</c:v>
                </c:pt>
                <c:pt idx="3">
                  <c:v>4. Student Accommodation/Private Home Placement (All School Types)</c:v>
                </c:pt>
              </c:strCache>
            </c:strRef>
          </c:cat>
          <c:val>
            <c:numRef>
              <c:f>'FNSS SUMMARY'!$G$13:$G$16</c:f>
              <c:numCache>
                <c:formatCode>_("$"* #,##0_);_("$"* \(#,##0\);_("$"* "-"??_);_(@_)</c:formatCode>
                <c:ptCount val="4"/>
                <c:pt idx="0">
                  <c:v>39903937</c:v>
                </c:pt>
                <c:pt idx="1">
                  <c:v>5574861.2199999997</c:v>
                </c:pt>
                <c:pt idx="2">
                  <c:v>3055003</c:v>
                </c:pt>
                <c:pt idx="3">
                  <c:v>1551990</c:v>
                </c:pt>
              </c:numCache>
            </c:numRef>
          </c:val>
          <c:extLst>
            <c:ext xmlns:c16="http://schemas.microsoft.com/office/drawing/2014/chart" uri="{C3380CC4-5D6E-409C-BE32-E72D297353CC}">
              <c16:uniqueId val="{00000002-1ECC-4DAE-B20D-C54965EC46EA}"/>
            </c:ext>
          </c:extLst>
        </c:ser>
        <c:dLbls>
          <c:showLegendKey val="0"/>
          <c:showVal val="1"/>
          <c:showCatName val="0"/>
          <c:showSerName val="0"/>
          <c:showPercent val="0"/>
          <c:showBubbleSize val="0"/>
          <c:showLeaderLines val="0"/>
        </c:dLbls>
        <c:firstSliceAng val="0"/>
      </c:pieChart>
    </c:plotArea>
    <c:legend>
      <c:legendPos val="r"/>
      <c:layout>
        <c:manualLayout>
          <c:xMode val="edge"/>
          <c:yMode val="edge"/>
          <c:x val="0.59673139785526341"/>
          <c:y val="0.37042553449177407"/>
          <c:w val="0.39425612878228694"/>
          <c:h val="0.3661494423255453"/>
        </c:manualLayout>
      </c:layout>
      <c:overlay val="0"/>
      <c:txPr>
        <a:bodyPr/>
        <a:lstStyle/>
        <a:p>
          <a:pPr>
            <a:defRPr sz="1200"/>
          </a:pPr>
          <a:endParaRPr lang="en-US"/>
        </a:p>
      </c:txPr>
    </c:legend>
    <c:plotVisOnly val="1"/>
    <c:dispBlanksAs val="gap"/>
    <c:showDLblsOverMax val="0"/>
  </c:chart>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7</xdr:col>
      <xdr:colOff>95250</xdr:colOff>
      <xdr:row>0</xdr:row>
      <xdr:rowOff>95250</xdr:rowOff>
    </xdr:from>
    <xdr:to>
      <xdr:col>12</xdr:col>
      <xdr:colOff>785812</xdr:colOff>
      <xdr:row>17</xdr:row>
      <xdr:rowOff>71438</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1</xdr:row>
      <xdr:rowOff>0</xdr:rowOff>
    </xdr:from>
    <xdr:to>
      <xdr:col>23</xdr:col>
      <xdr:colOff>201652</xdr:colOff>
      <xdr:row>2</xdr:row>
      <xdr:rowOff>15333</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3A00-000002000000}"/>
            </a:ext>
          </a:extLst>
        </xdr:cNvPr>
        <xdr:cNvSpPr txBox="1"/>
      </xdr:nvSpPr>
      <xdr:spPr>
        <a:xfrm>
          <a:off x="13154025" y="228600"/>
          <a:ext cx="1420852" cy="24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a:t>TABLE OF CONTENTS</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21</xdr:col>
      <xdr:colOff>0</xdr:colOff>
      <xdr:row>1</xdr:row>
      <xdr:rowOff>0</xdr:rowOff>
    </xdr:from>
    <xdr:to>
      <xdr:col>23</xdr:col>
      <xdr:colOff>201652</xdr:colOff>
      <xdr:row>2</xdr:row>
      <xdr:rowOff>15333</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3C00-000002000000}"/>
            </a:ext>
          </a:extLst>
        </xdr:cNvPr>
        <xdr:cNvSpPr txBox="1"/>
      </xdr:nvSpPr>
      <xdr:spPr>
        <a:xfrm>
          <a:off x="13154025" y="228600"/>
          <a:ext cx="1420852" cy="24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a:t>TABLE OF CONTENTS</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Edusfb/Frame/2016-17budge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3000558-v8-2011-12_ALLOCATIONS_DATABA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ANITOBA/MB%20Ministry%20of%20Education%20Docs/2015-16_frame_budge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CIDM%20PROBLEM/2016-17%20NR%20UPDATE%20-%20EB-SPPD-EN_-_MB_-_REGIONAL_FUNDING_MODEL_2017-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ANITOBA/DRAFT1_2017-18_MB_FNSS_FUNDING_MODE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4731805-v1-2011-2012_Departmental_Actuals_with_AF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EP&amp;PD/Funding%20Analysis/Formula%20Planning/Option%202/Users/PerreaultM/AppData/Roaming/OpenText/DM/Temp/NCR-%234260134-v1-Manitoba_and_Alberta_10-11_and_11-12_actual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ww.edu.gov.mb.ca/k12/finance/frame_report/2014-15_frame_actual.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Users/MittonP/Desktop/NCR-%237445709-v2-GEOMATICS_-_PROXIMITY_ANALYSIS_-_SCHOOLS_ON_RESERVE_AND_PROVINCIAL_SCHOOLS_(DMTI)_-_WORKING_FILE_MG.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Edusfb/Age%20and%20Area/Age%20and%20Area%202006-0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Users/wherryl/AppData/Local/Temp/XPgrpwise/SEIs_2011%20NHS_Sept%2030%202014%20A1%20for%202015-16%20E2%20Support.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Edusfb/Internet%20Projects/Forms/_Web%20Site/FB115A_Feb.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pmhost/fr$/Users/MittonP/Desktop/NCR-#10433845-v1-EB-SPPD-EN_-_MB_-_2018-19_FUNDING_MODEL_-_INITIAL.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CIDM%20PROBLEM/NCR-%239494837-v7-EB-SPPD-EN_-_MB_-_2017-18_FNSS_FUNDING_FORMULA.XLSX" TargetMode="External"/></Relationships>
</file>

<file path=xl/externalLinks/_rels/externalLink15.xml.rels><?xml version="1.0" encoding="UTF-8" standalone="yes"?>
<Relationships xmlns="http://schemas.openxmlformats.org/package/2006/relationships"><Relationship Id="rId2" Type="http://schemas.microsoft.com/office/2019/04/relationships/externalLinkLongPath" Target="/upmhost/fr$/Users/wana/AppData/Local/Microsoft/Windows/Temporary%20Internet%20Files/Content.Outlook/83BG4L1Z/NCR-#10828854-v3-EB-FUNDING_MODEL-MB-_WORKBOOK-_OLD_TEMPLATE-_WITH_NOTES.XLSX?FA6E49E2" TargetMode="External"/><Relationship Id="rId1" Type="http://schemas.openxmlformats.org/officeDocument/2006/relationships/externalLinkPath" Target="file:///FA6E49E2/NCR-%2310828854-v3-EB-FUNDING_MODEL-MB-_WORKBOOK-_OLD_TEMPLATE-_WITH_NOTE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pmhost/fr$/Users/MittonP/Desktop/NCR-#9361956-v3-EB-SP-EN-ALBERTA_COMPARABILITY_MODEL_TEMPLATE.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ww.edu.gov.mb.ca/k12/finance/frame_report/2016-17_frame_actual.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www.edu.gov.mb.ca/k12/finance/frame_report/2013-14_frame_budget.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U:/Data%20Processing/Divisions%20Template.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MANITOBA/MB%20Ministry%20of%20Education%20Docs/enrolment_2015.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Gonzalo/financial%20report%20French%20Dept/13-14-257%20-%202013-14%20FRAME%20Budget_FR(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Users/wilsonap/Desktop/ESDPP-EB%20-%20MB%20-%20Regional%20Funding%20Model%20-%202022-23.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Budget report"/>
      <sheetName val="Control rev &amp; exp"/>
      <sheetName val="Revenues &amp; Expenditures"/>
      <sheetName val="Revenues"/>
      <sheetName val="100"/>
      <sheetName val="200"/>
      <sheetName val="300"/>
      <sheetName val="400"/>
      <sheetName val="500"/>
      <sheetName val="600"/>
      <sheetName val="700"/>
      <sheetName val="800"/>
      <sheetName val="900"/>
      <sheetName val="Information Technology"/>
      <sheetName val="Statistics"/>
      <sheetName val="Special Levy"/>
      <sheetName val="Allowable"/>
      <sheetName val="Personnel"/>
      <sheetName val="Verification"/>
      <sheetName val="2016-17budget"/>
    </sheetNames>
    <sheetDataSet>
      <sheetData sheetId="0" refreshError="1"/>
      <sheetData sheetId="1" refreshError="1"/>
      <sheetData sheetId="2"/>
      <sheetData sheetId="3" refreshError="1"/>
      <sheetData sheetId="4"/>
      <sheetData sheetId="5"/>
      <sheetData sheetId="6"/>
      <sheetData sheetId="7"/>
      <sheetData sheetId="8"/>
      <sheetData sheetId="9"/>
      <sheetData sheetId="10"/>
      <sheetData sheetId="11"/>
      <sheetData sheetId="12"/>
      <sheetData sheetId="13" refreshError="1"/>
      <sheetData sheetId="14"/>
      <sheetData sheetId="15" refreshError="1"/>
      <sheetData sheetId="16"/>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sheetName val="Master Pivot"/>
      <sheetName val="ARLU &amp; HQ Changes"/>
      <sheetName val="ARLU &amp; HQ Pivot"/>
      <sheetName val="Salary Hold back"/>
      <sheetName val="Reg Changes"/>
      <sheetName val="Reg Pivot"/>
      <sheetName val="O&amp;M and G&amp;C Holdback"/>
      <sheetName val="2009-10 Actual"/>
      <sheetName val="Lookups"/>
      <sheetName val="Check hold back"/>
      <sheetName val="Check againt Mike's RG"/>
      <sheetName val="R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7 -"/>
      <sheetName val="- 48 - "/>
      <sheetName val="- 50 -"/>
      <sheetName val="- 51 -"/>
      <sheetName val="- 52 -"/>
      <sheetName val="- 53 -"/>
      <sheetName val="- 54 -"/>
      <sheetName val="- 55 -"/>
      <sheetName val="- 56 -"/>
      <sheetName val="- 57 -"/>
      <sheetName val="- 58 -"/>
      <sheetName val="- 59 -"/>
      <sheetName val="- 60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C Costing Inputs"/>
      <sheetName val="SUMMARY"/>
      <sheetName val="SUMMARY BREAKDOWN"/>
      <sheetName val="PER FTE VISUAL"/>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2. Tuition"/>
      <sheetName val="3. Transportation"/>
      <sheetName val="4. Student Accommodation"/>
      <sheetName val="Stud. Accom. FN Schools"/>
      <sheetName val="ANNEXES"/>
      <sheetName val="A. 16-17 FN Schools Data"/>
      <sheetName val="B. 15-16 Prov&amp;Priv Enrolment"/>
      <sheetName val="16-17 Prov&amp;Priv Enrolment"/>
      <sheetName val="16-17 Prov&amp;Priv 22+"/>
      <sheetName val="16-17 Prov&amp;Priv Accom &lt;18"/>
      <sheetName val="16-17 Prov&amp;Priv Accom 18-21"/>
      <sheetName val="C. AAA &amp; AIL"/>
      <sheetName val="D. RRTLS"/>
      <sheetName val="F. MBE Stud Serv 16-17"/>
      <sheetName val="E. Prov. Tuition Rates"/>
      <sheetName val="G. MB Eligible Enrolment"/>
      <sheetName val="H. MB School Area"/>
      <sheetName val="I. MB Enrol Report Summary"/>
      <sheetName val="J. ENROLMENT 2015-FRONTIER"/>
      <sheetName val="K. ENROLMENT 2015-RTSD"/>
      <sheetName val="L. PHP Rates"/>
      <sheetName val="M. FN Profile Data"/>
      <sheetName val="N. Reserve Land"/>
      <sheetName val="O. Transportation Rates"/>
      <sheetName val="P. Bus Maintenance Rates"/>
      <sheetName val="Q. MB Special Needs Incidence"/>
      <sheetName val="R. Travel Allocation"/>
      <sheetName val="S. 2016-17 FRAME Budget"/>
      <sheetName val="T. 16-17 Prov. Tuition Rates"/>
      <sheetName val="U. DRAFT Formula Mngmt Guide"/>
      <sheetName val="16-17 22+ Prov&amp;Priv"/>
      <sheetName val="2016-17 NR UPDATE - EB-SPPD-EN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refreshError="1"/>
      <sheetData sheetId="41"/>
      <sheetData sheetId="42"/>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a Management Guide"/>
      <sheetName val="2016-17 FNSS TOTAL"/>
      <sheetName val="FNSS Totals"/>
      <sheetName val="FNSS Formula Summary"/>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TUITION FUNDING"/>
      <sheetName val="PHP"/>
      <sheetName val="PHP Rates"/>
      <sheetName val="ANNEXES"/>
      <sheetName val="15-16 FN Schools Data"/>
      <sheetName val="15-16 Prov&amp;Priv Enrolment"/>
      <sheetName val="A. 2015-16 FRAME Budget DETAIL"/>
      <sheetName val="B. School Area"/>
      <sheetName val="C. AAA &amp; AIL"/>
      <sheetName val="D. RRTLS"/>
      <sheetName val="E. SEI-Divisions"/>
      <sheetName val="F. PROV Eligible Enrolment"/>
      <sheetName val="G. PROV Enrol Report Summary"/>
      <sheetName val="H. ENROLMENT 2015-FRONTIER"/>
      <sheetName val="I. ENROLMENT 2015-RTSD"/>
      <sheetName val="J. FN Profile Data"/>
      <sheetName val="K. Reserve Land"/>
      <sheetName val="15-16 Enrolment by FN"/>
      <sheetName val="MBE Stud Serv 16-17"/>
      <sheetName val="Transportation Rates"/>
      <sheetName val="Bus Maintenance Rates"/>
      <sheetName val="MB Special Needs Incidence"/>
      <sheetName val="Travel Allocation"/>
      <sheetName val="2016-17 FRAME Budget"/>
      <sheetName val="Prov. Tuition Rates"/>
      <sheetName val="FNSS TOTAL"/>
      <sheetName val="PART A SUMMARY"/>
      <sheetName val="2014-15 FN School 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sheetName val="Page1_1"/>
      <sheetName val="11-12 BA lookup"/>
      <sheetName val="TA to BA"/>
    </sheetNames>
    <sheetDataSet>
      <sheetData sheetId="0"/>
      <sheetData sheetId="1"/>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berta"/>
      <sheetName val="Manitoba"/>
      <sheetName val="data"/>
      <sheetName val="lookup2"/>
      <sheetName val="Sheet1"/>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6 -"/>
      <sheetName val="- 47 -"/>
      <sheetName val="- 48 -"/>
      <sheetName val="- 49 -"/>
      <sheetName val="- 50 -"/>
      <sheetName val="- 51 -"/>
      <sheetName val="- 53 -"/>
      <sheetName val="- 54 - "/>
      <sheetName val="- 55 -"/>
      <sheetName val="- 57 -"/>
      <sheetName val="- 58 -"/>
      <sheetName val="- 59 -"/>
      <sheetName val="- 60 -"/>
      <sheetName val="- 61 -"/>
      <sheetName val="- 62 -"/>
      <sheetName val="- 63 -"/>
      <sheetName val="- 64 -"/>
      <sheetName val="- 65 -"/>
      <sheetName val="- 66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
      <sheetName val="BC"/>
      <sheetName val="MB"/>
      <sheetName val="NB"/>
      <sheetName val="NL"/>
      <sheetName val="NS"/>
      <sheetName val="ON"/>
      <sheetName val="PE"/>
      <sheetName val="QC"/>
      <sheetName val="SK"/>
      <sheetName val="Schools on reserve"/>
      <sheetName val="Canada"/>
      <sheetName val="Pivot table"/>
      <sheetName val="Sheet5"/>
      <sheetName val="Canada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ital-D"/>
      <sheetName val="Data"/>
      <sheetName val="Form"/>
      <sheetName val="WI"/>
      <sheetName val="List"/>
      <sheetName val="Decades"/>
      <sheetName val="TU's"/>
      <sheetName val="Summary"/>
      <sheetName val="Summary (2)"/>
      <sheetName val="Colony Form"/>
      <sheetName val="Rented Space"/>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visions"/>
      <sheetName val="Schools"/>
      <sheetName val="Rates"/>
      <sheetName val="Sept 2014"/>
      <sheetName val="Table"/>
    </sheetNames>
    <sheetDataSet>
      <sheetData sheetId="0"/>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115A 2nd Semester"/>
      <sheetName val="DATA"/>
      <sheetName val="FB115A_Feb"/>
    </sheetNames>
    <sheetDataSet>
      <sheetData sheetId="0" refreshError="1"/>
      <sheetData sheetId="1" refreshError="1"/>
      <sheetData sheetId="2"/>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Mangement Guide"/>
      <sheetName val="SUMMARY"/>
      <sheetName val="Summary by FN"/>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Formula Guarantee"/>
      <sheetName val="Other Revenue"/>
      <sheetName val="Pensions"/>
      <sheetName val="2. Tuition"/>
      <sheetName val="2.i. Tuition 22+"/>
      <sheetName val="3. Transportation Summary"/>
      <sheetName val="Transportation Calculation"/>
      <sheetName val="4. Student Accommodation"/>
      <sheetName val="4.i. Stdnt Accommodation 18-21"/>
      <sheetName val="ANNEXES"/>
      <sheetName val="A. 16-17 FN Schools Data"/>
      <sheetName val="OLD 16-17 FN Schools Data"/>
      <sheetName val="16-17 Prov&amp;Priv Enrolment"/>
      <sheetName val="16-17 Prov&amp;Priv 22+"/>
      <sheetName val="OLD 16-17 Prov&amp;Priv Enrolment"/>
      <sheetName val="C. 16-17 Enrolment by FN"/>
      <sheetName val="16-17 Prov&amp;Priv Accom &lt;18"/>
      <sheetName val="16-17 Prov&amp;Priv Accom 18-21"/>
      <sheetName val="D. Prov School Area"/>
      <sheetName val="E. Prov. Tuition Rates"/>
      <sheetName val="F. PHP Rates"/>
      <sheetName val="G. 17-18 FRAME Budget"/>
      <sheetName val="H. AAA &amp; AIL"/>
      <sheetName val="I. RRTLS"/>
      <sheetName val="J. MB Funded Enrolment"/>
      <sheetName val="K. PROV Enrol Report Summary"/>
      <sheetName val="L. ENROLMENT 2016-FRONTIER"/>
      <sheetName val="M. ENROLMENT 2016-RTSD"/>
      <sheetName val="N. FN Profile Data"/>
      <sheetName val="O. MB Std Serv"/>
      <sheetName val="P. MB Special Needs Incidence"/>
      <sheetName val="Q. Travel Expenses"/>
      <sheetName val="R. 2017-18 Transp Rates"/>
      <sheetName val="Current Remote. Indic."/>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refreshError="1"/>
      <sheetData sheetId="25"/>
      <sheetData sheetId="26"/>
      <sheetData sheetId="27"/>
      <sheetData sheetId="28"/>
      <sheetData sheetId="29"/>
      <sheetData sheetId="30" refreshError="1"/>
      <sheetData sheetId="31"/>
      <sheetData sheetId="32"/>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sheetData sheetId="46" refreshError="1"/>
      <sheetData sheetId="47"/>
      <sheetData sheetId="48" refreshError="1"/>
      <sheetData sheetId="49" refreshError="1"/>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FNSS SUMMARY"/>
      <sheetName val="FNSS Summary Breakdown"/>
      <sheetName val="-B1-"/>
      <sheetName val="-B2-"/>
      <sheetName val="-B3-"/>
      <sheetName val="-B4-"/>
      <sheetName val="-B5-"/>
      <sheetName val="-B6-"/>
      <sheetName val="-B7-"/>
      <sheetName val="-B8-"/>
      <sheetName val="-B9-"/>
      <sheetName val="-B10-"/>
      <sheetName val="-B11-"/>
      <sheetName val="-C1-"/>
      <sheetName val="-C2-"/>
      <sheetName val="-C3-"/>
      <sheetName val="-C4-"/>
      <sheetName val="-C5-"/>
      <sheetName val="-C6-"/>
      <sheetName val="-C7-"/>
      <sheetName val="-C8-"/>
      <sheetName val="-C9-"/>
      <sheetName val="-C10-"/>
      <sheetName val="-C11-"/>
      <sheetName val="-C12-"/>
      <sheetName val="-C13-"/>
      <sheetName val="Minor Capital"/>
      <sheetName val="Property Tax"/>
      <sheetName val="Other Revenue"/>
      <sheetName val="Pensions"/>
      <sheetName val="2. Tuition"/>
      <sheetName val="3. Transportation Summary"/>
      <sheetName val="Transportation Calculation"/>
      <sheetName val="4. Student Accommodation"/>
      <sheetName val="ANNEXES"/>
      <sheetName val="A. 16-17 FN Schools Data"/>
      <sheetName val="B. 16-17 Prov&amp;Priv Enrolment"/>
      <sheetName val="C. 16-17 Enrolment by FN"/>
      <sheetName val="D. Prov School Area"/>
      <sheetName val="E. Prov. Tuition Rates"/>
      <sheetName val="F. PHP Rates"/>
      <sheetName val="G. 2016-17 FRAME Budget"/>
      <sheetName val="H. AAA &amp; AIL"/>
      <sheetName val="I. RRTLS"/>
      <sheetName val="J. MB Funded Enrolment"/>
      <sheetName val="K. PROV Enrol Report Summary"/>
      <sheetName val="L. ENROLMENT 2015-FRONTIER"/>
      <sheetName val="M. ENROLMENT 2015-RTSD"/>
      <sheetName val="N. FN Profile Data"/>
      <sheetName val="O. MBE Stud Serv 16-17"/>
      <sheetName val="P. MB Special Needs Incidence"/>
      <sheetName val="Q. Travel Allocation"/>
      <sheetName val="R. 2017-18 Transp Rates"/>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8-19 Update Tracker"/>
      <sheetName val="Contents"/>
      <sheetName val="Issue Tracking"/>
      <sheetName val="SUMMARY"/>
      <sheetName val="Summary by FN"/>
      <sheetName val="Distribution of Property Tax"/>
      <sheetName val="Rates and Adjustments"/>
      <sheetName val="-B1-"/>
      <sheetName val="-B2-"/>
      <sheetName val="-B3-"/>
      <sheetName val="-B4-"/>
      <sheetName val="-B5-"/>
      <sheetName val="-B6-"/>
      <sheetName val="-B7-"/>
      <sheetName val="-B8-"/>
      <sheetName val="-B9-"/>
      <sheetName val="-B10-"/>
      <sheetName val="-B11-"/>
      <sheetName val="-C1-"/>
      <sheetName val="-C2-"/>
      <sheetName val="-C3-"/>
      <sheetName val="INCLUSIVE SPEC ED CALC"/>
      <sheetName val="-C4-"/>
      <sheetName val="-C5-"/>
      <sheetName val="-C6-"/>
      <sheetName val="-C7-"/>
      <sheetName val="-C8-"/>
      <sheetName val="-C9-"/>
      <sheetName val="-C10-"/>
      <sheetName val="-C11-"/>
      <sheetName val="-C13-"/>
      <sheetName val="-C14-"/>
      <sheetName val="Minor Capital"/>
      <sheetName val="Property Tax"/>
      <sheetName val="Tax Component Considerations"/>
      <sheetName val="Formula Guarantee"/>
      <sheetName val="Other Revenue"/>
      <sheetName val="Pensions"/>
      <sheetName val="TUITION TOTALS"/>
      <sheetName val="2. Tuition"/>
      <sheetName val="2.i. Tuition 22+"/>
      <sheetName val="2.2 Tuition Stdnt Support"/>
      <sheetName val="2.2i Tuition Stdnt Support 22+"/>
      <sheetName val="3. Transportation Summary"/>
      <sheetName val="Transportation Calculation"/>
      <sheetName val="4. Accommodation Summary"/>
      <sheetName val="4.i Student Accommodation &lt;18"/>
      <sheetName val="4.ii Stdnt Accommodation 18-21"/>
      <sheetName val="ANNEXES"/>
      <sheetName val="A. 16-17 FN Schools Data"/>
      <sheetName val="16-17 Prov&amp;Priv Enrolment"/>
      <sheetName val="16-17 Prov&amp;Priv 22+"/>
      <sheetName val="C. 16-17 Enrolment by FN"/>
      <sheetName val="16-17 Prov&amp;Priv Accom &lt;18"/>
      <sheetName val="16-17 Prov&amp;Priv Accom 18-21"/>
      <sheetName val="Summary by FN FOR ANALYSIS"/>
      <sheetName val="D. Prov School Area"/>
      <sheetName val="E. Prov. Tuition Rates"/>
      <sheetName val="F. PHP Rates"/>
      <sheetName val="G. 17-18 FRAME Budget"/>
      <sheetName val="H. AAA &amp; AIL"/>
      <sheetName val="I. RRTLS"/>
      <sheetName val="J. MB Funded Enrolment"/>
      <sheetName val="K. PROV Enrol Report Summary"/>
      <sheetName val="L. ENROLMENT 2016-FRONTIER"/>
      <sheetName val="M. ENROLMENT 2016-RTSD"/>
      <sheetName val="N. FN Profile Data"/>
      <sheetName val="O. MB Std Serv"/>
      <sheetName val="P. MB Special Needs Incidence"/>
      <sheetName val="Q. Travel Expenses"/>
      <sheetName val="R. 2017-18 Transp Rates"/>
      <sheetName val="Current Remote. Indic."/>
      <sheetName val="2016-17 Prov Rev Breakdown"/>
      <sheetName val="17-18 FRAME Tab40"/>
      <sheetName val="17-18 FRAME Tab41"/>
      <sheetName val="NCR-#10828854-v3-EB-FUNDING_MO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 i -"/>
      <sheetName val="- ii -"/>
      <sheetName val="- iii -"/>
      <sheetName val="- 1 -"/>
      <sheetName val="- 2 -"/>
      <sheetName val="- 3 -"/>
      <sheetName val="- 4 -"/>
      <sheetName val="- 5 -"/>
      <sheetName val="- 6 -"/>
      <sheetName val="- 7 -"/>
      <sheetName val="- 8 -"/>
      <sheetName val="- 9 -"/>
      <sheetName val="- 10 -"/>
      <sheetName val="- 11 -"/>
      <sheetName val="- 12 -"/>
      <sheetName val="- 13 -"/>
      <sheetName val="- 14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Notes -"/>
      <sheetName val="Sheet5"/>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40 -"/>
      <sheetName val="- 41 -"/>
      <sheetName val="- 42 -"/>
      <sheetName val="- 43 -"/>
      <sheetName val="- 44 -"/>
      <sheetName val="- 45 -"/>
      <sheetName val="- 46 -"/>
      <sheetName val="- 47 -"/>
      <sheetName val="- 48 -"/>
      <sheetName val="- 49 -"/>
      <sheetName val="- 50 -"/>
      <sheetName val="- 51 -"/>
      <sheetName val="- 53 -"/>
      <sheetName val="- 54 - "/>
      <sheetName val="- 55 -"/>
      <sheetName val="- 57 -"/>
      <sheetName val="- 58 -"/>
      <sheetName val="- 59 -"/>
      <sheetName val="- 60 -"/>
      <sheetName val="- 61 -"/>
      <sheetName val="- 62 -"/>
      <sheetName val="- 63 -"/>
      <sheetName val="- 64 -"/>
      <sheetName val="- 65 -"/>
      <sheetName val="- 66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 3 -"/>
      <sheetName val="- 4 -"/>
      <sheetName val="- 6 -"/>
      <sheetName val="- 7 -"/>
      <sheetName val="- 8 -"/>
      <sheetName val="- 9 -"/>
      <sheetName val="- 10 -"/>
      <sheetName val="- 12 -"/>
      <sheetName val="- 13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39 -"/>
      <sheetName val="- 41 -"/>
      <sheetName val="- 42 -"/>
      <sheetName val="- 43 -"/>
      <sheetName val="- 44 -"/>
      <sheetName val="- 45 -"/>
      <sheetName val="- 46 -"/>
      <sheetName val="- 48 -"/>
      <sheetName val="- 49 - "/>
      <sheetName val="- 51 -"/>
      <sheetName val="- 52 -"/>
      <sheetName val="- 53 -"/>
      <sheetName val="- 54 -"/>
      <sheetName val="- 55 -"/>
      <sheetName val="- 56 -"/>
      <sheetName val="- 57 -"/>
      <sheetName val="- 58 -"/>
      <sheetName val="- 59 -"/>
      <sheetName val="- 60 -"/>
      <sheetName val="- 61 -"/>
      <sheetName val="Data"/>
      <sheetName val="Table"/>
      <sheetName val="Sept 2014"/>
      <sheetName val="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sheetName val="Bif Sheet"/>
      <sheetName val="Small Sheet"/>
      <sheetName val="Summary"/>
      <sheetName val="Cross Reference"/>
      <sheetName val="Index"/>
      <sheetName val="Card"/>
      <sheetName val="Full Names"/>
      <sheetName val="Full Names Alpha"/>
      <sheetName val="Sample"/>
      <sheetName val="Sample 2"/>
      <sheetName val="BIG Sheet"/>
      <sheetName val="DIV Summary"/>
      <sheetName val="French Table"/>
      <sheetName val="Sheet"/>
      <sheetName val="Summary 1"/>
      <sheetName val="Summary Formatted"/>
      <sheetName val="Year"/>
      <sheetName val="Prov Total"/>
      <sheetName val="DIV Summary Legal"/>
      <sheetName val="DIV Sum Landscape"/>
      <sheetName val="Summary R"/>
      <sheetName val="Sheet1"/>
      <sheetName val="SEV Adjust Detail"/>
      <sheetName val="DIV Summary (2)"/>
      <sheetName val="Sept 2020 Tracker"/>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refreshError="1"/>
      <sheetData sheetId="15" refreshError="1"/>
      <sheetData sheetId="16" refreshError="1"/>
      <sheetData sheetId="17" refreshError="1"/>
      <sheetData sheetId="18"/>
      <sheetData sheetId="19"/>
      <sheetData sheetId="20"/>
      <sheetData sheetId="21" refreshError="1"/>
      <sheetData sheetId="22" refreshError="1"/>
      <sheetData sheetId="23" refreshError="1"/>
      <sheetData sheetId="24" refreshError="1"/>
      <sheetData sheetId="2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Title"/>
      <sheetName val="Content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PUBLIC"/>
      <sheetName val="Funded IS"/>
      <sheetName val="Non-Funded IS"/>
      <sheetName val="ADDRESS"/>
      <sheetName val="DivAd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
      <sheetName val="- 1 -"/>
      <sheetName val="- 2 -"/>
      <sheetName val="- 3 -"/>
      <sheetName val="- 4 -"/>
      <sheetName val="- 5 -"/>
      <sheetName val="- 6 -"/>
      <sheetName val="- 7 -"/>
      <sheetName val="- 8 -"/>
      <sheetName val="- 9 -"/>
      <sheetName val="- 10 -"/>
      <sheetName val="- 11 -"/>
      <sheetName val="- 12 -"/>
      <sheetName val="- 13 -"/>
      <sheetName val="- 14 -"/>
      <sheetName val="- 15 -"/>
      <sheetName val="- 16 -"/>
      <sheetName val="- 17 -"/>
      <sheetName val="- 18 -"/>
      <sheetName val="- 19 -"/>
      <sheetName val="- 20 -"/>
      <sheetName val="- 21 -"/>
      <sheetName val="- 22 -"/>
      <sheetName val="- 23 -"/>
      <sheetName val="- 24 -"/>
      <sheetName val="- 25 -"/>
      <sheetName val="- 26 -"/>
      <sheetName val="- 27 -"/>
      <sheetName val="- 28 -"/>
      <sheetName val="- 29 -"/>
      <sheetName val="- 30 -"/>
      <sheetName val="- 31 -"/>
      <sheetName val="- 32 -"/>
      <sheetName val="- 33 -"/>
      <sheetName val="- 34 -"/>
      <sheetName val="- 35 -"/>
      <sheetName val="- 36 -"/>
      <sheetName val="- 37 -"/>
      <sheetName val="- 38 -"/>
      <sheetName val="- 39 -"/>
      <sheetName val="- 40 -"/>
      <sheetName val="- 41 -"/>
      <sheetName val="- 42 -"/>
      <sheetName val="- 43 -"/>
      <sheetName val="- 44 -"/>
      <sheetName val="- 45 -"/>
      <sheetName val="- 46 -"/>
      <sheetName val="- 47 -"/>
      <sheetName val="- 48 -"/>
      <sheetName val="- 49 - "/>
      <sheetName val="- 50 -"/>
      <sheetName val="- 51 -"/>
      <sheetName val="- 52 -"/>
      <sheetName val="- 53 -"/>
      <sheetName val="- 54 -"/>
      <sheetName val="- 55 -"/>
      <sheetName val="- 56 -"/>
      <sheetName val="- 57 -"/>
      <sheetName val="- 58 -"/>
      <sheetName val="- 59 -"/>
      <sheetName val="- 60 -"/>
      <sheetName val="- 61 -"/>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FM Summary"/>
      <sheetName val="Versions"/>
      <sheetName val="Rates &amp; Distrib"/>
      <sheetName val="Summary by Recipient"/>
      <sheetName val="Tax Allocation Summary"/>
      <sheetName val="Component by FN School"/>
      <sheetName val="Student Services Grant"/>
      <sheetName val="New Student Services "/>
      <sheetName val="Occupancy"/>
      <sheetName val="Special Needs"/>
      <sheetName val="Small Schools"/>
      <sheetName val="Enrolment Change Support"/>
      <sheetName val="Enrolment Change Support HiData"/>
      <sheetName val="Northern Allowance"/>
      <sheetName val="Literacy &amp; Numeracy"/>
      <sheetName val="Stabilization"/>
      <sheetName val="Menstrual Products"/>
      <sheetName val="Menstrual Products Data"/>
      <sheetName val="BASP Band-Op"/>
      <sheetName val="BASP Prov"/>
      <sheetName val="Prov SHCSE for BASP"/>
      <sheetName val="Prov Special Needs for BASP"/>
      <sheetName val="Prov Tax Base for BASP"/>
      <sheetName val="BASP Data"/>
      <sheetName val="Sheet1"/>
      <sheetName val="Tax Base"/>
      <sheetName val="Minor Capital"/>
      <sheetName val="Formula Guarantee"/>
      <sheetName val="Transportation"/>
      <sheetName val="Transp Summary by FN"/>
      <sheetName val="FN Accom"/>
      <sheetName val="Prov Accom"/>
      <sheetName val="Accomm Summary by FN"/>
      <sheetName val="Tuition Summary"/>
      <sheetName val="Tuition"/>
      <sheetName val="Tuition Rates"/>
      <sheetName val="2021-22 Band-Op NR"/>
      <sheetName val="School Data"/>
      <sheetName val="2021-22 Prov NR"/>
      <sheetName val="Accomodations Data"/>
      <sheetName val="Ext of FN Language"/>
      <sheetName val="Prov Data"/>
      <sheetName val="20-21 Transp Rates"/>
      <sheetName val="VTA Rates"/>
      <sheetName val="VTA Rates - National"/>
      <sheetName val="CFS Data"/>
      <sheetName val="Migrancy"/>
      <sheetName val="SocioEconomic INdicator"/>
      <sheetName val="Menstrual Product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5">
          <cell r="N5">
            <v>260</v>
          </cell>
          <cell r="P5">
            <v>80</v>
          </cell>
        </row>
        <row r="6">
          <cell r="N6">
            <v>261</v>
          </cell>
          <cell r="P6">
            <v>9</v>
          </cell>
        </row>
        <row r="7">
          <cell r="N7">
            <v>262</v>
          </cell>
          <cell r="P7">
            <v>11</v>
          </cell>
        </row>
        <row r="8">
          <cell r="N8">
            <v>263</v>
          </cell>
          <cell r="P8">
            <v>69</v>
          </cell>
        </row>
        <row r="9">
          <cell r="N9">
            <v>264</v>
          </cell>
          <cell r="P9">
            <v>0</v>
          </cell>
        </row>
        <row r="10">
          <cell r="N10">
            <v>265</v>
          </cell>
          <cell r="P10">
            <v>2</v>
          </cell>
        </row>
        <row r="11">
          <cell r="N11">
            <v>266</v>
          </cell>
          <cell r="P11">
            <v>178</v>
          </cell>
        </row>
        <row r="12">
          <cell r="N12">
            <v>267</v>
          </cell>
          <cell r="P12">
            <v>29</v>
          </cell>
        </row>
        <row r="13">
          <cell r="N13">
            <v>268</v>
          </cell>
          <cell r="P13">
            <v>2</v>
          </cell>
        </row>
        <row r="14">
          <cell r="N14">
            <v>269</v>
          </cell>
          <cell r="P14">
            <v>0</v>
          </cell>
        </row>
        <row r="15">
          <cell r="N15">
            <v>270</v>
          </cell>
          <cell r="P15">
            <v>5</v>
          </cell>
        </row>
        <row r="16">
          <cell r="N16">
            <v>271</v>
          </cell>
          <cell r="P16">
            <v>3</v>
          </cell>
        </row>
        <row r="17">
          <cell r="N17">
            <v>272</v>
          </cell>
          <cell r="P17">
            <v>10</v>
          </cell>
        </row>
        <row r="18">
          <cell r="N18">
            <v>273</v>
          </cell>
          <cell r="P18">
            <v>31</v>
          </cell>
        </row>
        <row r="19">
          <cell r="N19">
            <v>274</v>
          </cell>
          <cell r="P19">
            <v>18</v>
          </cell>
        </row>
        <row r="20">
          <cell r="N20">
            <v>275</v>
          </cell>
          <cell r="P20">
            <v>6</v>
          </cell>
        </row>
        <row r="21">
          <cell r="N21">
            <v>276</v>
          </cell>
          <cell r="P21">
            <v>0</v>
          </cell>
        </row>
        <row r="22">
          <cell r="N22">
            <v>277</v>
          </cell>
          <cell r="P22">
            <v>42</v>
          </cell>
        </row>
        <row r="23">
          <cell r="N23">
            <v>278</v>
          </cell>
          <cell r="P23">
            <v>671</v>
          </cell>
        </row>
        <row r="24">
          <cell r="N24">
            <v>279</v>
          </cell>
          <cell r="P24">
            <v>10</v>
          </cell>
        </row>
        <row r="25">
          <cell r="N25">
            <v>280</v>
          </cell>
          <cell r="P25">
            <v>0</v>
          </cell>
        </row>
        <row r="26">
          <cell r="N26">
            <v>281</v>
          </cell>
          <cell r="P26">
            <v>61</v>
          </cell>
        </row>
        <row r="27">
          <cell r="N27">
            <v>282</v>
          </cell>
          <cell r="P27">
            <v>68</v>
          </cell>
        </row>
        <row r="28">
          <cell r="N28">
            <v>283</v>
          </cell>
          <cell r="P28">
            <v>0</v>
          </cell>
        </row>
        <row r="29">
          <cell r="N29">
            <v>284</v>
          </cell>
          <cell r="P29">
            <v>66</v>
          </cell>
        </row>
        <row r="30">
          <cell r="N30">
            <v>285</v>
          </cell>
          <cell r="P30">
            <v>63</v>
          </cell>
        </row>
        <row r="31">
          <cell r="N31">
            <v>286</v>
          </cell>
          <cell r="P31">
            <v>18</v>
          </cell>
        </row>
        <row r="32">
          <cell r="N32">
            <v>287</v>
          </cell>
          <cell r="P32">
            <v>97</v>
          </cell>
        </row>
        <row r="33">
          <cell r="N33">
            <v>288</v>
          </cell>
          <cell r="P33">
            <v>12</v>
          </cell>
        </row>
        <row r="34">
          <cell r="N34">
            <v>289</v>
          </cell>
          <cell r="P34">
            <v>27</v>
          </cell>
        </row>
        <row r="35">
          <cell r="N35">
            <v>290</v>
          </cell>
          <cell r="P35">
            <v>0</v>
          </cell>
        </row>
        <row r="36">
          <cell r="N36">
            <v>291</v>
          </cell>
          <cell r="P36">
            <v>60</v>
          </cell>
        </row>
        <row r="37">
          <cell r="N37">
            <v>292</v>
          </cell>
          <cell r="P37">
            <v>21</v>
          </cell>
        </row>
        <row r="38">
          <cell r="N38">
            <v>293</v>
          </cell>
          <cell r="P38">
            <v>14</v>
          </cell>
        </row>
        <row r="39">
          <cell r="N39">
            <v>294</v>
          </cell>
          <cell r="P39">
            <v>3</v>
          </cell>
        </row>
        <row r="40">
          <cell r="N40">
            <v>295</v>
          </cell>
          <cell r="P40">
            <v>20</v>
          </cell>
        </row>
        <row r="41">
          <cell r="N41">
            <v>296</v>
          </cell>
          <cell r="P41">
            <v>28</v>
          </cell>
        </row>
        <row r="42">
          <cell r="N42">
            <v>297</v>
          </cell>
          <cell r="P42">
            <v>21</v>
          </cell>
        </row>
        <row r="43">
          <cell r="N43">
            <v>298</v>
          </cell>
          <cell r="P43">
            <v>27</v>
          </cell>
        </row>
        <row r="44">
          <cell r="N44">
            <v>299</v>
          </cell>
          <cell r="P44">
            <v>1</v>
          </cell>
        </row>
        <row r="45">
          <cell r="N45">
            <v>300</v>
          </cell>
          <cell r="P45">
            <v>0</v>
          </cell>
        </row>
        <row r="46">
          <cell r="N46">
            <v>301</v>
          </cell>
          <cell r="P46">
            <v>0</v>
          </cell>
        </row>
        <row r="47">
          <cell r="N47">
            <v>302</v>
          </cell>
          <cell r="P47">
            <v>9</v>
          </cell>
        </row>
        <row r="48">
          <cell r="N48">
            <v>303</v>
          </cell>
          <cell r="P48">
            <v>0</v>
          </cell>
        </row>
        <row r="49">
          <cell r="N49">
            <v>304</v>
          </cell>
          <cell r="P49">
            <v>6</v>
          </cell>
        </row>
        <row r="50">
          <cell r="N50">
            <v>305</v>
          </cell>
          <cell r="P50">
            <v>10</v>
          </cell>
        </row>
        <row r="51">
          <cell r="N51">
            <v>306</v>
          </cell>
          <cell r="P51">
            <v>0</v>
          </cell>
        </row>
        <row r="52">
          <cell r="N52">
            <v>307</v>
          </cell>
          <cell r="P52">
            <v>0</v>
          </cell>
        </row>
        <row r="53">
          <cell r="N53">
            <v>308</v>
          </cell>
          <cell r="P53">
            <v>58</v>
          </cell>
        </row>
        <row r="54">
          <cell r="N54">
            <v>309</v>
          </cell>
          <cell r="P54">
            <v>0</v>
          </cell>
        </row>
        <row r="55">
          <cell r="N55">
            <v>310</v>
          </cell>
          <cell r="P55">
            <v>127</v>
          </cell>
        </row>
        <row r="56">
          <cell r="N56">
            <v>311</v>
          </cell>
          <cell r="P56">
            <v>8</v>
          </cell>
        </row>
        <row r="57">
          <cell r="N57">
            <v>312</v>
          </cell>
          <cell r="P57">
            <v>132</v>
          </cell>
        </row>
        <row r="58">
          <cell r="N58">
            <v>313</v>
          </cell>
          <cell r="P58">
            <v>0</v>
          </cell>
        </row>
        <row r="59">
          <cell r="N59">
            <v>314</v>
          </cell>
          <cell r="P59">
            <v>19</v>
          </cell>
        </row>
        <row r="60">
          <cell r="N60">
            <v>315</v>
          </cell>
          <cell r="P60">
            <v>0</v>
          </cell>
        </row>
        <row r="61">
          <cell r="N61">
            <v>316</v>
          </cell>
          <cell r="P61">
            <v>28</v>
          </cell>
        </row>
        <row r="62">
          <cell r="N62">
            <v>317</v>
          </cell>
          <cell r="P62">
            <v>0</v>
          </cell>
        </row>
        <row r="63">
          <cell r="N63">
            <v>318</v>
          </cell>
          <cell r="P63">
            <v>77</v>
          </cell>
        </row>
        <row r="64">
          <cell r="N64">
            <v>323</v>
          </cell>
          <cell r="P64">
            <v>16</v>
          </cell>
        </row>
        <row r="65">
          <cell r="N65">
            <v>324</v>
          </cell>
          <cell r="P65">
            <v>11</v>
          </cell>
        </row>
        <row r="66">
          <cell r="N66">
            <v>327</v>
          </cell>
          <cell r="P66">
            <v>2</v>
          </cell>
        </row>
        <row r="67">
          <cell r="N67">
            <v>328</v>
          </cell>
          <cell r="P67">
            <v>10</v>
          </cell>
        </row>
        <row r="68">
          <cell r="N68">
            <v>3548</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persons/person.xml><?xml version="1.0" encoding="utf-8"?>
<personList xmlns="http://schemas.microsoft.com/office/spreadsheetml/2018/threadedcomments" xmlns:x="http://schemas.openxmlformats.org/spreadsheetml/2006/main">
  <person displayName="Alexander Gowriluk" id="{A15C4E43-72E0-484F-A0DB-D5B84E4465EB}" userId="S::agowriluk@validuseconomics.com::5c3d077c-1827-4972-9227-7da2b3579f4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1000000}" name="Table31" displayName="Table31" ref="A10:AV22" totalsRowCount="1" headerRowDxfId="1647" dataDxfId="1646" totalsRowDxfId="1645" dataCellStyle="Currency">
  <autoFilter ref="A10:AV21" xr:uid="{00000000-0009-0000-0100-00001F000000}"/>
  <tableColumns count="48">
    <tableColumn id="1" xr3:uid="{00000000-0010-0000-0100-000001000000}" name="Band #" totalsRowLabel="3548" totalsRowDxfId="1644">
      <calculatedColumnFormula>'D. 19-20 Enrolment by FN'!A7</calculatedColumnFormula>
    </tableColumn>
    <tableColumn id="2" xr3:uid="{00000000-0010-0000-0100-000002000000}" name="First Nation" totalsRowLabel="Total Comparability " totalsRowDxfId="1643">
      <calculatedColumnFormula>'D. 19-20 Enrolment by FN'!B7</calculatedColumnFormula>
    </tableColumn>
    <tableColumn id="3" xr3:uid="{00000000-0010-0000-0100-000003000000}" name="1. Instructional Support" totalsRowFunction="sum" totalsRowDxfId="1642" dataCellStyle="Currency">
      <calculatedColumnFormula>SUMIF('-B1-'!$A$11:$A$22,'FNSS Summary Breakdown'!$A11,'-B1-'!$F$11:$F$22)</calculatedColumnFormula>
    </tableColumn>
    <tableColumn id="4" xr3:uid="{00000000-0010-0000-0100-000004000000}" name="2. Additional Instructional Support for Small Schools" totalsRowFunction="sum" totalsRowDxfId="1641" dataCellStyle="Currency">
      <calculatedColumnFormula>SUMIF('-B2-'!$A$11:$A$22,'FNSS Summary Breakdown'!$A11,'-B2-'!$I$11:$I$22)</calculatedColumnFormula>
    </tableColumn>
    <tableColumn id="5" xr3:uid="{00000000-0010-0000-0100-000005000000}" name="3. Sparsity Support" totalsRowFunction="sum" totalsRowDxfId="1640" dataCellStyle="Currency">
      <calculatedColumnFormula>SUMIF('-B3-'!$A$11:$A$22,'FNSS Summary Breakdown'!$A11,'-B3-'!$J$11:$J$22)</calculatedColumnFormula>
    </tableColumn>
    <tableColumn id="6" xr3:uid="{00000000-0010-0000-0100-000006000000}" name="4. Curricular Materials" totalsRowFunction="sum" totalsRowDxfId="1639" dataCellStyle="Currency">
      <calculatedColumnFormula>SUMIF('-B4-'!$A$11:$A$22,'FNSS Summary Breakdown'!$A11,'-B4-'!$F$11:$F$22)</calculatedColumnFormula>
    </tableColumn>
    <tableColumn id="7" xr3:uid="{00000000-0010-0000-0100-000007000000}" name="5. Information Technology" totalsRowFunction="sum" totalsRowDxfId="1638" dataCellStyle="Currency">
      <calculatedColumnFormula>SUMIF('-B5-'!$A$11:$A$22,'FNSS Summary Breakdown'!$A11,'-B5-'!$F$11:$F$22)</calculatedColumnFormula>
    </tableColumn>
    <tableColumn id="8" xr3:uid="{00000000-0010-0000-0100-000008000000}" name="6. Library Services" totalsRowFunction="sum" totalsRowDxfId="1637" dataCellStyle="Currency">
      <calculatedColumnFormula>SUMIF('-B6-'!$A$11:$A$22,'FNSS Summary Breakdown'!$A11,'-B6-'!$F$11:$F$22)</calculatedColumnFormula>
    </tableColumn>
    <tableColumn id="9" xr3:uid="{00000000-0010-0000-0100-000009000000}" name="7. Student Services Grant " totalsRowFunction="sum" dataDxfId="1636" totalsRowDxfId="1635" dataCellStyle="Currency">
      <calculatedColumnFormula>SUMIF('-B7-'!$A$11:$A$22,'FNSS Summary Breakdown'!$A11,Table53[Rounded Total])</calculatedColumnFormula>
    </tableColumn>
    <tableColumn id="10" xr3:uid="{00000000-0010-0000-0100-00000A000000}" name="8. Counselling and Guidance " totalsRowFunction="sum" totalsRowDxfId="1634" dataCellStyle="Currency">
      <calculatedColumnFormula>SUMIF('-B8-'!$A$11:$A$22,'FNSS Summary Breakdown'!$A11,'-B8-'!$F$11:$F$22)</calculatedColumnFormula>
    </tableColumn>
    <tableColumn id="11" xr3:uid="{00000000-0010-0000-0100-00000B000000}" name="9. Professional Development" totalsRowFunction="sum" totalsRowDxfId="1633" dataCellStyle="Currency">
      <calculatedColumnFormula>SUMIF('-B9-'!$A$11:$A$22,'FNSS Summary Breakdown'!$A11,'-B9-'!$G$11:$G$22)</calculatedColumnFormula>
    </tableColumn>
    <tableColumn id="12" xr3:uid="{00000000-0010-0000-0100-00000C000000}" name="10. Physical Education" totalsRowFunction="sum" totalsRowDxfId="1632" dataCellStyle="Currency">
      <calculatedColumnFormula>SUMIF('-B10-'!$A$11:$A$22,'FNSS Summary Breakdown'!$A11,'-B10-'!$F$11:$F$22)</calculatedColumnFormula>
    </tableColumn>
    <tableColumn id="13" xr3:uid="{00000000-0010-0000-0100-00000D000000}" name="11. Occupancy" totalsRowFunction="sum" totalsRowDxfId="1631" dataCellStyle="Currency">
      <calculatedColumnFormula>SUMIF('-B11-'!$A$25:$A$36,'FNSS Summary Breakdown'!$A11,'-B11-'!$G$25:$G$36)</calculatedColumnFormula>
    </tableColumn>
    <tableColumn id="14" xr3:uid="{00000000-0010-0000-0100-00000E000000}" name="BASE SUPPORT SUBTOTAL" totalsRowFunction="sum" totalsRowDxfId="1630" dataCellStyle="Currency">
      <calculatedColumnFormula>SUM(C11:M11)</calculatedColumnFormula>
    </tableColumn>
    <tableColumn id="16" xr3:uid="{00000000-0010-0000-0100-000010000000}" name="2. Board and Room" totalsRowFunction="sum" totalsRowDxfId="1629" dataCellStyle="Currency">
      <calculatedColumnFormula>SUMIF(Table44[Band '#],Table31[[#This Row],[Band '#]],Table44[TOTAL Board &amp; Room Band-Op Schools &lt;18])</calculatedColumnFormula>
    </tableColumn>
    <tableColumn id="17" xr3:uid="{00000000-0010-0000-0100-000011000000}" name="3. Special Needs" totalsRowFunction="sum" totalsRowDxfId="1628" dataCellStyle="Currency">
      <calculatedColumnFormula>SUMIF(Table13[Band '#],Table31[[#This Row],[Band '#]],Table13[[Special Needs TOTAL ]])</calculatedColumnFormula>
    </tableColumn>
    <tableColumn id="18" xr3:uid="{00000000-0010-0000-0100-000012000000}" name="4. Senior Years Technology Education" totalsRowFunction="sum" totalsRowDxfId="1627" dataCellStyle="Currency">
      <calculatedColumnFormula>SUMIF(Table14[Band '#],Table31[[#This Row],[Band '#]],Table14[TOTAL])</calculatedColumnFormula>
    </tableColumn>
    <tableColumn id="19" xr3:uid="{00000000-0010-0000-0100-000013000000}" name="5. English as an Additional Language" totalsRowFunction="sum" totalsRowDxfId="1626" dataCellStyle="Currency">
      <calculatedColumnFormula>SUMIF(Table15[Band '#],Table31[[#This Row],[Band '#]],Table15[TOTAL])</calculatedColumnFormula>
    </tableColumn>
    <tableColumn id="20" xr3:uid="{00000000-0010-0000-0100-000014000000}" name="6. Aboriginal Academic Achievement" totalsRowFunction="sum" totalsRowDxfId="1625" dataCellStyle="Currency">
      <calculatedColumnFormula>SUMIF(Table16[Band '#],Table31[[#This Row],[Band '#]],Table16[Comparability TOTAL])</calculatedColumnFormula>
    </tableColumn>
    <tableColumn id="21" xr3:uid="{00000000-0010-0000-0100-000015000000}" name="7. Aboriginal Languages" totalsRowFunction="sum" totalsRowDxfId="1624" dataCellStyle="Currency">
      <calculatedColumnFormula>SUMIF(Table20[Band '#],Table31[[#This Row],[Band '#]],Table20[ENHANCED Aboriginal Languages TOTAL])</calculatedColumnFormula>
    </tableColumn>
    <tableColumn id="22" xr3:uid="{00000000-0010-0000-0100-000016000000}" name="8. French Langauge Education" totalsRowFunction="sum" totalsRowDxfId="1623" dataCellStyle="Currency">
      <calculatedColumnFormula>SUMIF(Table21[Band '#],Table31[[#This Row],[Band '#]],Table21[TOTAL])</calculatedColumnFormula>
    </tableColumn>
    <tableColumn id="23" xr3:uid="{00000000-0010-0000-0100-000017000000}" name="9. Small Schools" totalsRowFunction="sum" totalsRowDxfId="1622" dataCellStyle="Currency">
      <calculatedColumnFormula>SUMIF(Table22[Band '#],Table31[[#This Row],[Band '#]],Table22[TOTAL])</calculatedColumnFormula>
    </tableColumn>
    <tableColumn id="24" xr3:uid="{00000000-0010-0000-0100-000018000000}" name="10. Enrolment Change Support" totalsRowFunction="custom" dataDxfId="1621" totalsRowDxfId="1620" dataCellStyle="Currency">
      <calculatedColumnFormula>IF(Table31[[#This Row],[Band '#]]=3548,Table23[[#Totals],[Greater of A and B TOTAL ENROLMENT CHANGE SUPPORT]],0)</calculatedColumnFormula>
      <totalsRowFormula>Table23[[#Totals],[Greater of A and B TOTAL ENROLMENT CHANGE SUPPORT]]</totalsRowFormula>
    </tableColumn>
    <tableColumn id="25" xr3:uid="{00000000-0010-0000-0100-000019000000}" name="11. Northern Allowance" totalsRowFunction="sum" totalsRowDxfId="1619" dataCellStyle="Currency">
      <calculatedColumnFormula>SUMIF(Table24[Band '#],Table31[[#This Row],[Band '#]],Table24[TOTAL])</calculatedColumnFormula>
    </tableColumn>
    <tableColumn id="33" xr3:uid="{00000000-0010-0000-0100-000021000000}" name="12. Literacy and Numeracy" totalsRowFunction="custom" totalsRowDxfId="1618" dataCellStyle="Currency">
      <calculatedColumnFormula>SUMIF(Table25[Band '#],Table31[[#This Row],[Band '#]],Table25[TOTAL])</calculatedColumnFormula>
      <totalsRowFormula>SUBTOTAL(109,Table31[12. Literacy and Numeracy])+Table25[[#Totals],[RRTL Salary Allolcation]]</totalsRowFormula>
    </tableColumn>
    <tableColumn id="26" xr3:uid="{00000000-0010-0000-0100-00001A000000}" name="13. Education for Sustainable Development" totalsRowFunction="sum" totalsRowDxfId="1617" dataCellStyle="Currency">
      <calculatedColumnFormula>SUMIF(Table26[Band '#],Table31[[#This Row],[Band '#]],Table26[TOTAL])</calculatedColumnFormula>
    </tableColumn>
    <tableColumn id="28" xr3:uid="{00000000-0010-0000-0100-00001C000000}" name="CATEGORICAL SUPPORT SUBTOTAL" totalsRowFunction="custom" totalsRowDxfId="1616" dataCellStyle="Currency">
      <calculatedColumnFormula>SUM(Table31[[#This Row],[2. Board and Room]:[13. Education for Sustainable Development]])</calculatedColumnFormula>
      <totalsRowFormula>SUM(Table31[[#Totals],[2. Board and Room]:[13. Education for Sustainable Development]])</totalsRowFormula>
    </tableColumn>
    <tableColumn id="29" xr3:uid="{00000000-0010-0000-0100-00001D000000}" name="Minor Capital" totalsRowFunction="sum" totalsRowDxfId="1615" dataCellStyle="Currency">
      <calculatedColumnFormula>SUMIF(Table27[Band '#],Table31[[#This Row],[Band '#]],Table27[TOTAL])</calculatedColumnFormula>
    </tableColumn>
    <tableColumn id="30" xr3:uid="{00000000-0010-0000-0100-00001E000000}" name="Property Tax" totalsRowFunction="sum" totalsRowDxfId="1614" dataCellStyle="Currency"/>
    <tableColumn id="31" xr3:uid="{00000000-0010-0000-0100-00001F000000}" name="Other Revenue" totalsRowFunction="sum" totalsRowDxfId="1613" dataCellStyle="Currency"/>
    <tableColumn id="32" xr3:uid="{00000000-0010-0000-0100-000020000000}" name="Pensions" totalsRowFunction="sum" totalsRowDxfId="1612" dataCellStyle="Currency">
      <calculatedColumnFormula>SUMIF(Table30[Band '#],Table31[[#This Row],[Band '#]],Table30[TOTAL PENSIONS])</calculatedColumnFormula>
    </tableColumn>
    <tableColumn id="27" xr3:uid="{00000000-0010-0000-0100-00001B000000}" name="Second Level Services" totalsRowDxfId="1611" dataCellStyle="Currency"/>
    <tableColumn id="41" xr3:uid="{00000000-0010-0000-0100-000029000000}" name="School Administration" totalsRowDxfId="1610" dataCellStyle="Currency"/>
    <tableColumn id="45" xr3:uid="{00000000-0010-0000-0100-00002D000000}" name="Menstrual Products" totalsRowFunction="sum" dataDxfId="1609" totalsRowDxfId="1608" dataCellStyle="Currency"/>
    <tableColumn id="48" xr3:uid="{00000000-0010-0000-0100-000030000000}" name="FN Student Supports" totalsRowFunction="sum" dataDxfId="1607" totalsRowDxfId="1606" dataCellStyle="Currency"/>
    <tableColumn id="34" xr3:uid="{00000000-0010-0000-0100-000022000000}" name="1. FN SCHOOLS (Excludes Transportation)" totalsRowFunction="custom" dataDxfId="1605" totalsRowDxfId="1604" dataCellStyle="Currency">
      <calculatedColumnFormula>SUM(N11,AA11,AB11:AI11)</calculatedColumnFormula>
      <totalsRowFormula>SUM(N22,AA22:AI22)</totalsRowFormula>
    </tableColumn>
    <tableColumn id="42" xr3:uid="{00000000-0010-0000-0100-00002A000000}" name="Tuition Administration Support" totalsRowFunction="sum" dataDxfId="1603" totalsRowDxfId="1602" dataCellStyle="Currency">
      <calculatedColumnFormula>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ACCOMMODATION]]+AX11)*0.05),0)</calculatedColumnFormula>
    </tableColumn>
    <tableColumn id="43" xr3:uid="{00000000-0010-0000-0100-00002B000000}" name="Supports for Tuition Students" totalsRowFunction="sum" dataDxfId="1601" totalsRowDxfId="1600" dataCellStyle="Currency">
      <calculatedColumnFormula>SUMIF(Table35[Band No.],Table31[[#This Row],[Band '#]],Table35[Provincial Student Supports])+SUMIF(Table42[Band No.],Table31[[#This Row],[Band '#]],Table42[Provincial Student Supports])</calculatedColumnFormula>
    </tableColumn>
    <tableColumn id="35" xr3:uid="{00000000-0010-0000-0100-000023000000}" name="2. TUITION (Excludes Transportation)" totalsRowFunction="sum" totalsRowDxfId="1599" dataCellStyle="Currency">
      <calculatedColumnFormula>SUMIF(Table35[Band No.],Table31[[#This Row],[Band '#]],Table35[TOTAL Tuition Funding])+SUMIF(Table42[Band No.],Table31[[#This Row],[Band '#]],Table42[TOTAL Tuition Funding])</calculatedColumnFormula>
    </tableColumn>
    <tableColumn id="44" xr3:uid="{00000000-0010-0000-0100-00002C000000}" name="Band-Operated Transportation" totalsRowFunction="sum" dataDxfId="1598" totalsRowDxfId="1597" dataCellStyle="Currency">
      <calculatedColumnFormula>INDEX('Transportation Calc'!$AR$11:$AR$21,MATCH(Table31[[#This Row],[Band '#]],Table12[Band '#],0))</calculatedColumnFormula>
    </tableColumn>
    <tableColumn id="47" xr3:uid="{00000000-0010-0000-0100-00002F000000}" name="Provincial Transportation" totalsRowFunction="sum" dataDxfId="1596" totalsRowDxfId="1595" dataCellStyle="Currency">
      <calculatedColumnFormula>INDEX('Transportation Calc'!$AS$11:$AS$21,MATCH(Table31[[#This Row],[First Nation]],Table12[First Nation],0))</calculatedColumnFormula>
    </tableColumn>
    <tableColumn id="15" xr3:uid="{00000000-0010-0000-0100-00000F000000}" name="3. TRANSPORTATION" totalsRowFunction="sum" totalsRowDxfId="1594" dataCellStyle="Currency">
      <calculatedColumnFormula>Table31[[#This Row],[Band-Operated Transportation]]+Table31[[#This Row],[Provincial Transportation]]</calculatedColumnFormula>
    </tableColumn>
    <tableColumn id="36" xr3:uid="{00000000-0010-0000-0100-000024000000}" name="4. PHP/STUDENT ACCOMMODATION" totalsRowFunction="sum" totalsRowDxfId="1593" dataCellStyle="Currency">
      <calculatedColumnFormula>SUMIF(StuAccomUnder18[Band Number],Table31[[#This Row],[Band '#]],StuAccomUnder18[TOTAL Student Accommodation &lt;18])+SUMIF(StudAccom1821[Band No.],Table31[[#This Row],[Band '#]],StudAccom1821[TOTAL 18-21 PHP/Student Accommodation])</calculatedColumnFormula>
    </tableColumn>
    <tableColumn id="37" xr3:uid="{00000000-0010-0000-0100-000025000000}" name="GRAND TOTAL" totalsRowFunction="custom" dataDxfId="1592" totalsRowDxfId="1591" dataCellStyle="Currency">
      <calculatedColumnFormula>Table31[[#This Row],[1. FN SCHOOLS (Excludes Transportation)]]+Table31[[#This Row],[Tuition Administration Support]]+Table31[[#This Row],[Supports for Tuition Students]]+Table31[[#This Row],[2. TUITION (Excludes Transportation)]]+Table31[[#This Row],[3. TRANSPORTATION]]+Table31[[#This Row],[4. PHP/STUDENT ACCOMMODATION]]</calculatedColumnFormula>
      <totalsRowFormula>SUM(Table31[[#Totals],[1. FN SCHOOLS (Excludes Transportation)]]+Table31[[#Totals],[Tuition Administration Support]]+Table31[[#Totals],[Supports for Tuition Students]]+Table31[[#Totals],[2. TUITION (Excludes Transportation)]]+Table31[[#Totals],[3. TRANSPORTATION]]+Table31[[#Totals],[4. PHP/STUDENT ACCOMMODATION]])</totalsRowFormula>
    </tableColumn>
    <tableColumn id="46" xr3:uid="{00000000-0010-0000-0100-00002E000000}" name="Boarded Students" totalsRowFunction="sum" dataDxfId="1590" totalsRowDxfId="1589" dataCellStyle="Currency">
      <calculatedColumnFormula>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calculatedColumnFormula>
    </tableColumn>
    <tableColumn id="38" xr3:uid="{00000000-0010-0000-0100-000026000000}" name="FN Schools Enrolment" totalsRowFunction="sum" dataDxfId="1588" totalsRowDxfId="1587" dataCellStyle="Comma">
      <calculatedColumnFormula>SUMIF(TableAFNSchools[Band No '#],Table31[[#This Row],[Band '#]],TableAFNSchools[Total FTE])</calculatedColumnFormula>
    </tableColumn>
    <tableColumn id="39" xr3:uid="{00000000-0010-0000-0100-000027000000}" name="Prov/Priv Enrolment" totalsRowFunction="sum" dataDxfId="1586" totalsRowDxfId="1585" dataCellStyle="Currency">
      <calculatedColumnFormula>SUMIF('B. 20-21 Prov&amp;Priv Enrolment&lt;22'!$A$8:$A$54,Table31[[#This Row],[Band '#]],'B. 20-21 Prov&amp;Priv Enrolment&lt;22'!$Y$8:$Y$54)+SUMIF('C. 20-21 Prov&amp;Priv 22+'!$A$7:$A$7,Table31[[#This Row],[Band '#]],'C. 20-21 Prov&amp;Priv 22+'!$Q$7:$Q$7)</calculatedColumnFormula>
    </tableColumn>
    <tableColumn id="40" xr3:uid="{00000000-0010-0000-0100-000028000000}" name="Funding per FTE" totalsRowFunction="custom" dataDxfId="1584" totalsRowDxfId="1583" dataCellStyle="Currency">
      <calculatedColumnFormula>(Table31[[#This Row],[GRAND TOTAL]]+AR23)/(Table31[[#This Row],[FN Schools Enrolment]]+Table31[[#This Row],[Prov/Priv Enrolment]])</calculatedColumnFormula>
      <totalsRowFormula>AR36/(Table31[[#Totals],[FN Schools Enrolment]]+Table31[[#Totals],[Prov/Priv Enrolment]])</totalsRowFormula>
    </tableColumn>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0:G23" totalsRowCount="1" headerRowDxfId="1582" headerRowCellStyle="Normal">
  <autoFilter ref="A10:G22" xr:uid="{00000000-0009-0000-0100-000001000000}"/>
  <tableColumns count="7">
    <tableColumn id="1" xr3:uid="{00000000-0010-0000-0200-000001000000}" name="Band #" totalsRowLabel="Total" dataDxfId="1581" totalsRowDxfId="1580">
      <calculatedColumnFormula>'A. 20-21 FN Schools Data'!A7</calculatedColumnFormula>
    </tableColumn>
    <tableColumn id="2" xr3:uid="{00000000-0010-0000-0200-000002000000}" name="First Nation" dataDxfId="1579">
      <calculatedColumnFormula>'A. 20-21 FN Schools Data'!B7</calculatedColumnFormula>
    </tableColumn>
    <tableColumn id="3" xr3:uid="{00000000-0010-0000-0200-000003000000}" name="School #" dataDxfId="1578" totalsRowDxfId="1577">
      <calculatedColumnFormula>'A. 20-21 FN Schools Data'!C7</calculatedColumnFormula>
    </tableColumn>
    <tableColumn id="4" xr3:uid="{00000000-0010-0000-0200-000004000000}" name="School Name" dataDxfId="1576">
      <calculatedColumnFormula>'A. 20-21 FN Schools Data'!D7</calculatedColumnFormula>
    </tableColumn>
    <tableColumn id="5" xr3:uid="{00000000-0010-0000-0200-000005000000}" name="Eligible FTE" totalsRowFunction="sum" dataDxfId="1575" totalsRowDxfId="1574" dataCellStyle="Comma">
      <calculatedColumnFormula>INDEX(TableAFNSchools[Total Funded FTE],MATCH(Table1[[#This Row],[School '#]],TableAFNSchools[School No.],0))</calculatedColumnFormula>
    </tableColumn>
    <tableColumn id="7" xr3:uid="{00000000-0010-0000-0200-000007000000}" name="TOTAL" totalsRowFunction="sum" dataDxfId="1573" totalsRowDxfId="1572" dataCellStyle="Currency">
      <calculatedColumnFormula>ROUND(Table1[[#This Row],[Eligible FTE]]*FundingRate_InstrSupp,0)</calculatedColumnFormula>
    </tableColumn>
    <tableColumn id="6" xr3:uid="{7A979CDF-E5CF-3A4F-AB3C-FD4891C922F2}" name="Column1" dataDxfId="1571">
      <calculatedColumnFormula>Table1[[#This Row],[TOTAL]]/Table1[[#This Row],[Eligible FTE]]</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0:K23" totalsRowCount="1" headerRowDxfId="1570">
  <autoFilter ref="A10:K22" xr:uid="{00000000-0009-0000-0100-000002000000}"/>
  <tableColumns count="11">
    <tableColumn id="1" xr3:uid="{00000000-0010-0000-0300-000001000000}" name="Band #" totalsRowLabel="Total" dataDxfId="1569">
      <calculatedColumnFormula>'A. 20-21 FN Schools Data'!A7</calculatedColumnFormula>
    </tableColumn>
    <tableColumn id="2" xr3:uid="{00000000-0010-0000-0300-000002000000}" name="First Nation" dataDxfId="1568">
      <calculatedColumnFormula>'A. 20-21 FN Schools Data'!B7</calculatedColumnFormula>
    </tableColumn>
    <tableColumn id="3" xr3:uid="{00000000-0010-0000-0300-000003000000}" name="School #" dataDxfId="1567">
      <calculatedColumnFormula>'A. 20-21 FN Schools Data'!C7</calculatedColumnFormula>
    </tableColumn>
    <tableColumn id="4" xr3:uid="{00000000-0010-0000-0300-000004000000}" name="School Name" dataDxfId="1566">
      <calculatedColumnFormula>'A. 20-21 FN Schools Data'!D7</calculatedColumnFormula>
    </tableColumn>
    <tableColumn id="5" xr3:uid="{00000000-0010-0000-0300-000005000000}" name="School Type" dataDxfId="1565">
      <calculatedColumnFormula>INDEX(TableAFNSchools[School/ Program Type],MATCH(Table2[[#This Row],[School '#]],TableAFNSchools[School No.],0))</calculatedColumnFormula>
    </tableColumn>
    <tableColumn id="6" xr3:uid="{00000000-0010-0000-0300-000006000000}" name="Eligible FTE" totalsRowFunction="sum" dataDxfId="1564" totalsRowDxfId="1563" dataCellStyle="Comma">
      <calculatedColumnFormula>INDEX(TableAFNSchools[Total Funded FTE],MATCH(Table2[[#This Row],[School '#]],TableAFNSchools[School No.],0))</calculatedColumnFormula>
    </tableColumn>
    <tableColumn id="7" xr3:uid="{00000000-0010-0000-0300-000007000000}" name="Instructional Support" totalsRowFunction="sum" dataDxfId="1562" totalsRowDxfId="1561" dataCellStyle="Currency">
      <calculatedColumnFormula>Table1[[#This Row],[TOTAL]]</calculatedColumnFormula>
    </tableColumn>
    <tableColumn id="8" xr3:uid="{00000000-0010-0000-0300-000008000000}" name="Sparsity Support" totalsRowFunction="sum" dataDxfId="1560" totalsRowDxfId="1559" dataCellStyle="Currency">
      <calculatedColumnFormula>Table3[[#This Row],[TOTAL]]</calculatedColumnFormula>
    </tableColumn>
    <tableColumn id="9" xr3:uid="{00000000-0010-0000-0300-000009000000}" name="TOTAL" totalsRowFunction="sum" dataDxfId="1558" totalsRowDxfId="1557" dataCellStyle="Currency">
      <calculatedColumnFormula>ROUND(IF(Table2[[#This Row],[School Type]]="Adult Education",0,IF(FundingRate_AddSuppSmSch-(Table2[[#This Row],[Instructional Support]]+Table2[[#This Row],[Sparsity Support]])&lt;0,0,FundingRate_AddSuppSmSch-(Table2[[#This Row],[Instructional Support]]+Table2[[#This Row],[Sparsity Support]]))),0)</calculatedColumnFormula>
    </tableColumn>
    <tableColumn id="10" xr3:uid="{6D7697F5-0EE4-E54A-9948-3221D753D743}" name="Column1" dataDxfId="1556">
      <calculatedColumnFormula>(Table2[[#This Row],[Sparsity Support]]+Table2[[#This Row],[Instructional Support]])/Table2[[#This Row],[Eligible FTE]]</calculatedColumnFormula>
    </tableColumn>
    <tableColumn id="11" xr3:uid="{E8F849A0-A349-534F-9558-58C99C023B0A}" name="Column2" dataDxfId="1555">
      <calculatedColumnFormula>Table2[[#This Row],[Sparsity Support]]/Table2[[#This Row],[Eligible FTE]]</calculatedColumnFormula>
    </tableColumn>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10:K23" totalsRowCount="1" headerRowDxfId="1554">
  <autoFilter ref="A10:K22" xr:uid="{00000000-0009-0000-0100-000003000000}"/>
  <tableColumns count="11">
    <tableColumn id="1" xr3:uid="{00000000-0010-0000-0400-000001000000}" name="Band #" totalsRowLabel="Total">
      <calculatedColumnFormula>'A. 20-21 FN Schools Data'!A7</calculatedColumnFormula>
    </tableColumn>
    <tableColumn id="2" xr3:uid="{00000000-0010-0000-0400-000002000000}" name="First Nation">
      <calculatedColumnFormula>'A. 20-21 FN Schools Data'!B7</calculatedColumnFormula>
    </tableColumn>
    <tableColumn id="3" xr3:uid="{00000000-0010-0000-0400-000003000000}" name="School #">
      <calculatedColumnFormula>'A. 20-21 FN Schools Data'!C7</calculatedColumnFormula>
    </tableColumn>
    <tableColumn id="4" xr3:uid="{00000000-0010-0000-0400-000004000000}" name="School Name">
      <calculatedColumnFormula>'A. 20-21 FN Schools Data'!D7</calculatedColumnFormula>
    </tableColumn>
    <tableColumn id="5" xr3:uid="{00000000-0010-0000-0400-000005000000}" name="School Type">
      <calculatedColumnFormula>'A. 20-21 FN Schools Data'!BX7</calculatedColumnFormula>
    </tableColumn>
    <tableColumn id="6" xr3:uid="{00000000-0010-0000-0400-000006000000}" name="Eligible FTE" totalsRowFunction="sum" dataDxfId="1553" totalsRowDxfId="1552" dataCellStyle="Comma">
      <calculatedColumnFormula>INDEX(TableAFNSchools[Total Funded FTE],MATCH(Table3[[#This Row],[School '#]],TableAFNSchools[School No.],0))</calculatedColumnFormula>
    </tableColumn>
    <tableColumn id="7" xr3:uid="{00000000-0010-0000-0400-000007000000}" name="Avg FTE per Grade" dataDxfId="1551">
      <calculatedColumnFormula>INDEX(TableAFNSchools[Total Avg. FTEs per Grade],MATCH(Table3[[#This Row],[School '#]],TableAFNSchools[School No.],0))</calculatedColumnFormula>
    </tableColumn>
    <tableColumn id="10" xr3:uid="{00000000-0010-0000-0400-00000A000000}" name="2011 NHS Pop." totalsRowFunction="sum" dataDxfId="1550" totalsRowDxfId="1549" dataCellStyle="Comma">
      <calculatedColumnFormula>INDEX(TableAFNSchools[Total Reserve Pop (2011 Census)],MATCH(Table3[[#This Row],[School '#]],TableAFNSchools[School No.],0))</calculatedColumnFormula>
    </tableColumn>
    <tableColumn id="8" xr3:uid="{00000000-0010-0000-0400-000008000000}" name="Dispersion Factor" dataDxfId="1548" totalsRowDxfId="1547">
      <calculatedColumnFormula>INDEX(TableAFNSchools[FNSS Dispersion Factor],MATCH(Table3[[#This Row],[School '#]],TableAFNSchools[School No.],0))</calculatedColumnFormula>
    </tableColumn>
    <tableColumn id="9" xr3:uid="{00000000-0010-0000-0400-000009000000}" name="TOTAL" totalsRowFunction="sum" dataDxfId="1546" totalsRowDxfId="1545" dataCellStyle="Currency">
      <calculatedColumnFormula>ROUND(IF(Table3[[#This Row],[School Type]]="Adult Education",0,IF(AND(Table3[[#This Row],[Dispersion Factor]]&lt;10,Table3[[#This Row],[2011 NHS Pop.]]&lt;10000,Table3[[#This Row],[Avg FTE per Grade]]&lt;FundingRate_StdperGrade),(FundingRate_StdperGrade-Table3[[#This Row],[Avg FTE per Grade]])*FundingRate_Sparsity*Table3[[#This Row],[Eligible FTE]])),0)</calculatedColumnFormula>
    </tableColumn>
    <tableColumn id="11" xr3:uid="{856974CE-2BDF-9F48-A862-25E7CC7D7785}" name="Column1" dataDxfId="1544">
      <calculatedColumnFormula>Table3[[#This Row],[TOTAL]]/Table3[[#This Row],[Eligible FTE]]</calculatedColumnFormula>
    </tableColumn>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4" displayName="Table4" ref="A10:G23" totalsRowCount="1" headerRowDxfId="1543" headerRowCellStyle="Normal">
  <autoFilter ref="A10:G22" xr:uid="{00000000-0009-0000-0100-000004000000}"/>
  <tableColumns count="7">
    <tableColumn id="1" xr3:uid="{00000000-0010-0000-0500-000001000000}" name="Band #" totalsRowLabel="Total">
      <calculatedColumnFormula>'A. 20-21 FN Schools Data'!A7</calculatedColumnFormula>
    </tableColumn>
    <tableColumn id="2" xr3:uid="{00000000-0010-0000-0500-000002000000}" name="First Nation">
      <calculatedColumnFormula>'A. 20-21 FN Schools Data'!B7</calculatedColumnFormula>
    </tableColumn>
    <tableColumn id="3" xr3:uid="{00000000-0010-0000-0500-000003000000}" name="School #">
      <calculatedColumnFormula>'A. 20-21 FN Schools Data'!C7</calculatedColumnFormula>
    </tableColumn>
    <tableColumn id="4" xr3:uid="{00000000-0010-0000-0500-000004000000}" name="School Name">
      <calculatedColumnFormula>'A. 20-21 FN Schools Data'!D7</calculatedColumnFormula>
    </tableColumn>
    <tableColumn id="5" xr3:uid="{00000000-0010-0000-0500-000005000000}" name="Eligible FTE" totalsRowFunction="sum" dataDxfId="1542" totalsRowDxfId="1541" dataCellStyle="Comma">
      <calculatedColumnFormula>INDEX(TableAFNSchools[Total Funded FTE],MATCH(Table4[[#This Row],[School '#]],TableAFNSchools[School No.],0))</calculatedColumnFormula>
    </tableColumn>
    <tableColumn id="6" xr3:uid="{00000000-0010-0000-0500-000006000000}" name="TOTAL" totalsRowFunction="sum" dataDxfId="1540" totalsRowDxfId="1539" dataCellStyle="Currency">
      <calculatedColumnFormula>Table4[[#This Row],[Eligible FTE]]*FundingRate_Curricular</calculatedColumnFormula>
    </tableColumn>
    <tableColumn id="7" xr3:uid="{FBE5CEB0-C187-9049-A4CD-54F2B872BEC7}" name="Column1" dataDxfId="1538">
      <calculatedColumnFormula>Table4[[#This Row],[TOTAL]]/Table4[[#This Row],[Eligible FTE]]</calculatedColumnFormula>
    </tableColumn>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5" displayName="Table5" ref="A10:G23" totalsRowCount="1" headerRowDxfId="1537" headerRowCellStyle="Normal">
  <autoFilter ref="A10:G22" xr:uid="{00000000-0009-0000-0100-000005000000}"/>
  <tableColumns count="7">
    <tableColumn id="1" xr3:uid="{00000000-0010-0000-0600-000001000000}" name="Band #" totalsRowLabel="Total">
      <calculatedColumnFormula>'A. 20-21 FN Schools Data'!A7</calculatedColumnFormula>
    </tableColumn>
    <tableColumn id="2" xr3:uid="{00000000-0010-0000-0600-000002000000}" name="First Nation">
      <calculatedColumnFormula>'A. 20-21 FN Schools Data'!B7</calculatedColumnFormula>
    </tableColumn>
    <tableColumn id="3" xr3:uid="{00000000-0010-0000-0600-000003000000}" name="School #">
      <calculatedColumnFormula>'A. 20-21 FN Schools Data'!C7</calculatedColumnFormula>
    </tableColumn>
    <tableColumn id="4" xr3:uid="{00000000-0010-0000-0600-000004000000}" name="School Name">
      <calculatedColumnFormula>'A. 20-21 FN Schools Data'!D7</calculatedColumnFormula>
    </tableColumn>
    <tableColumn id="5" xr3:uid="{00000000-0010-0000-0600-000005000000}" name="Eligible FTE" totalsRowFunction="sum" dataDxfId="1536" totalsRowDxfId="1535" dataCellStyle="Comma">
      <calculatedColumnFormula>INDEX(TableAFNSchools[Total Funded FTE],MATCH(Table5[[#This Row],[School '#]],TableAFNSchools[School No.],0))</calculatedColumnFormula>
    </tableColumn>
    <tableColumn id="6" xr3:uid="{00000000-0010-0000-0600-000006000000}" name="TOTAL" totalsRowFunction="sum" dataDxfId="1534" totalsRowDxfId="1533">
      <calculatedColumnFormula>Table5[[#This Row],[Eligible FTE]]*FundingRate_InfoTech</calculatedColumnFormula>
    </tableColumn>
    <tableColumn id="7" xr3:uid="{ADE6E634-11FF-B640-94D6-ADE24AA61280}" name="Column1" dataDxfId="1532">
      <calculatedColumnFormula>Table5[[#This Row],[TOTAL]]/Table5[[#This Row],[Eligible FTE]]</calculatedColumnFormula>
    </tableColum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6" displayName="Table6" ref="A10:G23" totalsRowCount="1" headerRowDxfId="1531" headerRowCellStyle="Normal">
  <autoFilter ref="A10:G22" xr:uid="{00000000-0009-0000-0100-000006000000}"/>
  <tableColumns count="7">
    <tableColumn id="1" xr3:uid="{00000000-0010-0000-0700-000001000000}" name="Band #" totalsRowLabel="Total">
      <calculatedColumnFormula>'A. 20-21 FN Schools Data'!A7</calculatedColumnFormula>
    </tableColumn>
    <tableColumn id="2" xr3:uid="{00000000-0010-0000-0700-000002000000}" name="First Nation">
      <calculatedColumnFormula>'A. 20-21 FN Schools Data'!B7</calculatedColumnFormula>
    </tableColumn>
    <tableColumn id="3" xr3:uid="{00000000-0010-0000-0700-000003000000}" name="School #">
      <calculatedColumnFormula>'A. 20-21 FN Schools Data'!C7</calculatedColumnFormula>
    </tableColumn>
    <tableColumn id="4" xr3:uid="{00000000-0010-0000-0700-000004000000}" name="School Name">
      <calculatedColumnFormula>'A. 20-21 FN Schools Data'!D7</calculatedColumnFormula>
    </tableColumn>
    <tableColumn id="5" xr3:uid="{00000000-0010-0000-0700-000005000000}" name="Eligible FTE" totalsRowFunction="sum" dataDxfId="1530" totalsRowDxfId="1529" dataCellStyle="Comma">
      <calculatedColumnFormula>INDEX(TableAFNSchools[Total Funded FTE],MATCH(Table6[[#This Row],[School '#]],TableAFNSchools[School No.],0))</calculatedColumnFormula>
    </tableColumn>
    <tableColumn id="6" xr3:uid="{00000000-0010-0000-0700-000006000000}" name="TOTAL" totalsRowFunction="sum" dataDxfId="1528" totalsRowDxfId="1527" dataCellStyle="Currency">
      <calculatedColumnFormula>Table6[[#This Row],[Eligible FTE]]*FundingRate_LibraryServ</calculatedColumnFormula>
    </tableColumn>
    <tableColumn id="7" xr3:uid="{57D08828-2E2F-1041-A86A-670C0B3FB35B}" name="Column1" dataDxfId="1526">
      <calculatedColumnFormula>Table6[[#This Row],[TOTAL]]/Table6[[#This Row],[Eligible FTE]]</calculatedColumnFormula>
    </tableColumn>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8000000}" name="Table47" displayName="Table47" ref="I10:J23" totalsRowCount="1">
  <autoFilter ref="I10:J22" xr:uid="{00000000-0009-0000-0100-00002F000000}"/>
  <tableColumns count="2">
    <tableColumn id="1" xr3:uid="{00000000-0010-0000-0800-000001000000}" name="Tax Base Envelope amount" totalsRowLabel="Total" dataDxfId="1525" totalsRowDxfId="1524" dataCellStyle="Comma">
      <calculatedColumnFormula>INDEX(Table28[Envelope Allocation],MATCH(Table7[[#This Row],[School '#]],Table28[School '#],0))</calculatedColumnFormula>
    </tableColumn>
    <tableColumn id="2" xr3:uid="{00000000-0010-0000-0800-000002000000}" name="Tax Base Total" totalsRowFunction="sum" dataDxfId="1523" totalsRowDxfId="1522" dataCellStyle="Comma">
      <calculatedColumnFormula>ROUND(Table47[[#This Row],[Tax Base Envelope amount]]*$J$7,0)</calculatedColumnFormula>
    </tableColumn>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9000000}" name="Table7" displayName="Table7" ref="A10:F22" totalsRowShown="0" headerRowDxfId="1521" dataDxfId="1520" tableBorderDxfId="1519">
  <autoFilter ref="A10:F22" xr:uid="{00000000-0009-0000-0100-000007000000}"/>
  <tableColumns count="6">
    <tableColumn id="1" xr3:uid="{00000000-0010-0000-0900-000001000000}" name="Band #" dataDxfId="1518">
      <calculatedColumnFormula>'A. 20-21 FN Schools Data'!A7</calculatedColumnFormula>
    </tableColumn>
    <tableColumn id="2" xr3:uid="{00000000-0010-0000-0900-000002000000}" name="First Nation" dataDxfId="1517">
      <calculatedColumnFormula>'A. 20-21 FN Schools Data'!B7</calculatedColumnFormula>
    </tableColumn>
    <tableColumn id="3" xr3:uid="{00000000-0010-0000-0900-000003000000}" name="School #" dataDxfId="1516">
      <calculatedColumnFormula>'A. 20-21 FN Schools Data'!C7</calculatedColumnFormula>
    </tableColumn>
    <tableColumn id="4" xr3:uid="{00000000-0010-0000-0900-000004000000}" name="School Name" dataDxfId="1515">
      <calculatedColumnFormula>'A. 20-21 FN Schools Data'!D7</calculatedColumnFormula>
    </tableColumn>
    <tableColumn id="5" xr3:uid="{00000000-0010-0000-0900-000005000000}" name="Eligible FTE" dataDxfId="1514">
      <calculatedColumnFormula>INDEX(TableAFNSchools[Total Funded FTE],MATCH(Table7[[#This Row],[School '#]],TableAFNSchools[School No.],0))</calculatedColumnFormula>
    </tableColumn>
    <tableColumn id="6" xr3:uid="{00000000-0010-0000-0900-000006000000}" name="TOTAL" dataDxfId="1513" dataCellStyle="Currency">
      <calculatedColumnFormula>ROUND('-B7-'!$E11*FundingRate_StudServ,0)</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0A000000}" name="Table53" displayName="Table53" ref="A35:Q47" totalsRowShown="0" headerRowDxfId="1512">
  <autoFilter ref="A35:Q47" xr:uid="{00000000-0009-0000-0100-000035000000}"/>
  <tableColumns count="17">
    <tableColumn id="1" xr3:uid="{00000000-0010-0000-0A00-000001000000}" name="Recipient No."/>
    <tableColumn id="2" xr3:uid="{00000000-0010-0000-0A00-000002000000}" name="Recipient Name"/>
    <tableColumn id="3" xr3:uid="{00000000-0010-0000-0A00-000003000000}" name="School No."/>
    <tableColumn id="4" xr3:uid="{00000000-0010-0000-0A00-000004000000}" name="School Name"/>
    <tableColumn id="5" xr3:uid="{00000000-0010-0000-0A00-000005000000}" name="Sum of Total Sum of Final Funding FTE Count" dataDxfId="1511" dataCellStyle="Comma"/>
    <tableColumn id="6" xr3:uid="{00000000-0010-0000-0A00-000006000000}" name="Base Allocation" dataDxfId="1510" dataCellStyle="Comma"/>
    <tableColumn id="7" xr3:uid="{00000000-0010-0000-0A00-000007000000}" name="Low Income by FN" dataCellStyle="Percent"/>
    <tableColumn id="8" xr3:uid="{00000000-0010-0000-0A00-000008000000}" name="Migrancy" dataCellStyle="Percent"/>
    <tableColumn id="9" xr3:uid="{00000000-0010-0000-0A00-000009000000}" name="Socioeconomic Indicator (75% Low Income + 25% Migrancy)" dataCellStyle="Percent"/>
    <tableColumn id="10" xr3:uid="{00000000-0010-0000-0A00-00000A000000}" name="Socioeconomic Indicator Rate" dataDxfId="1509" dataCellStyle="Comma"/>
    <tableColumn id="11" xr3:uid="{00000000-0010-0000-0A00-00000B000000}" name="Socioeconomic Allocation" dataDxfId="1508" dataCellStyle="Comma"/>
    <tableColumn id="12" xr3:uid="{00000000-0010-0000-0A00-00000C000000}" name="CFS Incidence by Agency " dataCellStyle="Percent"/>
    <tableColumn id="13" xr3:uid="{00000000-0010-0000-0A00-00000D000000}" name="CFS Rate by Agency " dataDxfId="1507" dataCellStyle="Comma"/>
    <tableColumn id="14" xr3:uid="{00000000-0010-0000-0A00-00000E000000}" name="CFS allocation by agency " dataDxfId="1506" dataCellStyle="Comma"/>
    <tableColumn id="15" xr3:uid="{00000000-0010-0000-0A00-00000F000000}" name="Total Allocation by with variable data by FN for low income, and CFS" dataDxfId="1505" dataCellStyle="Comma"/>
    <tableColumn id="16" xr3:uid="{00000000-0010-0000-0A00-000010000000}" name="Rounded Total" dataDxfId="1504" dataCellStyle="Comma">
      <calculatedColumnFormula>ROUND(Table53[[#This Row],[Total Allocation by with variable data by FN for low income, and CFS]],0)</calculatedColumnFormula>
    </tableColumn>
    <tableColumn id="17" xr3:uid="{78DA1B20-D39F-FC43-A001-9D5DD0B22FF6}" name="Column1" dataDxfId="1503" dataCellStyle="Comma">
      <calculatedColumnFormula>Table53[[#This Row],[Rounded Total]]/Table53[[#This Row],[Sum of Total Sum of Final Funding FTE Count]]</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8" displayName="Table8" ref="A10:G23" totalsRowCount="1" headerRowDxfId="1502" headerRowCellStyle="Normal">
  <autoFilter ref="A10:G22" xr:uid="{00000000-0009-0000-0100-000008000000}"/>
  <tableColumns count="7">
    <tableColumn id="1" xr3:uid="{00000000-0010-0000-0B00-000001000000}" name="Band #" totalsRowLabel="Total">
      <calculatedColumnFormula>'A. 20-21 FN Schools Data'!A7</calculatedColumnFormula>
    </tableColumn>
    <tableColumn id="2" xr3:uid="{00000000-0010-0000-0B00-000002000000}" name="First Nation">
      <calculatedColumnFormula>'A. 20-21 FN Schools Data'!B7</calculatedColumnFormula>
    </tableColumn>
    <tableColumn id="3" xr3:uid="{00000000-0010-0000-0B00-000003000000}" name="School #">
      <calculatedColumnFormula>'A. 20-21 FN Schools Data'!C7</calculatedColumnFormula>
    </tableColumn>
    <tableColumn id="4" xr3:uid="{00000000-0010-0000-0B00-000004000000}" name="School Name">
      <calculatedColumnFormula>'A. 20-21 FN Schools Data'!D7</calculatedColumnFormula>
    </tableColumn>
    <tableColumn id="5" xr3:uid="{00000000-0010-0000-0B00-000005000000}" name="Eligible FTE" totalsRowFunction="sum" dataDxfId="1501" totalsRowDxfId="1500" dataCellStyle="Comma">
      <calculatedColumnFormula>INDEX(TableAFNSchools[Total Funded FTE],MATCH(Table8[[#This Row],[School '#]],TableAFNSchools[School No.],0))</calculatedColumnFormula>
    </tableColumn>
    <tableColumn id="6" xr3:uid="{00000000-0010-0000-0B00-000006000000}" name="TOTAL" totalsRowFunction="sum" dataDxfId="1499" totalsRowDxfId="1498" dataCellStyle="Currency">
      <calculatedColumnFormula>ROUND(Table8[[#This Row],[Eligible FTE]]*FundingRate_CounsGuid,0)</calculatedColumnFormula>
    </tableColumn>
    <tableColumn id="7" xr3:uid="{6D85DBE8-F854-2448-8CBE-C99EE10784C7}" name="Column1" dataDxfId="1497">
      <calculatedColumnFormula>Table8[[#This Row],[TOTAL]]/Table8[[#This Row],[Eligible FTE]]</calculatedColumnFormula>
    </tableColumn>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9" displayName="Table9" ref="A10:H23" totalsRowCount="1" headerRowDxfId="1496" headerRowCellStyle="Normal">
  <autoFilter ref="A10:H22" xr:uid="{00000000-0009-0000-0100-000009000000}"/>
  <tableColumns count="8">
    <tableColumn id="1" xr3:uid="{00000000-0010-0000-0C00-000001000000}" name="Band #" totalsRowLabel="Total">
      <calculatedColumnFormula>'A. 20-21 FN Schools Data'!A7</calculatedColumnFormula>
    </tableColumn>
    <tableColumn id="2" xr3:uid="{00000000-0010-0000-0C00-000002000000}" name="First Nation">
      <calculatedColumnFormula>'A. 20-21 FN Schools Data'!B7</calculatedColumnFormula>
    </tableColumn>
    <tableColumn id="3" xr3:uid="{00000000-0010-0000-0C00-000003000000}" name="School #">
      <calculatedColumnFormula>'A. 20-21 FN Schools Data'!C7</calculatedColumnFormula>
    </tableColumn>
    <tableColumn id="4" xr3:uid="{00000000-0010-0000-0C00-000004000000}" name="School Name">
      <calculatedColumnFormula>'A. 20-21 FN Schools Data'!D7</calculatedColumnFormula>
    </tableColumn>
    <tableColumn id="5" xr3:uid="{00000000-0010-0000-0C00-000005000000}" name="Eligible FTE" totalsRowFunction="sum" dataDxfId="1495" totalsRowDxfId="1494" dataCellStyle="Comma">
      <calculatedColumnFormula>INDEX(TableAFNSchools[Total Funded FTE],MATCH(Table9[[#This Row],[School '#]],TableAFNSchools[School No.],0))</calculatedColumnFormula>
    </tableColumn>
    <tableColumn id="6" xr3:uid="{00000000-0010-0000-0C00-000006000000}" name="Distance to Winnipeg" dataDxfId="1493" totalsRowDxfId="1492">
      <calculatedColumnFormula>INDEX(TableAFNSchools[Distance to Winnipeg in km],MATCH(Table9[[#This Row],[School '#]],TableAFNSchools[School No.],0))</calculatedColumnFormula>
    </tableColumn>
    <tableColumn id="7" xr3:uid="{00000000-0010-0000-0C00-000007000000}" name="TOTAL" totalsRowFunction="sum" dataDxfId="1491" totalsRowDxfId="1490" dataCellStyle="Currency">
      <calculatedColumnFormula>ROUND((FundingRate_ProfDev_perStud+IF(AND(Table9[[#This Row],[Distance to Winnipeg]]&gt;=100,Table9[[#This Row],[Distance to Winnipeg]]&lt;=350),FundingRate_ProfDev_Distance1,IF(Table9[[#This Row],[Distance to Winnipeg]]&gt;350,FundingRate_ProfDev_Distance2,0)))*Table9[[#This Row],[Eligible FTE]],0)</calculatedColumnFormula>
    </tableColumn>
    <tableColumn id="8" xr3:uid="{74064E37-9610-914C-8B0D-1D6689C3D42B}" name="Column1" dataDxfId="1489">
      <calculatedColumnFormula>Table9[[#This Row],[TOTAL]]/Table9[[#This Row],[Eligible FTE]]</calculatedColumnFormula>
    </tableColumn>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0:G23" totalsRowCount="1" headerRowDxfId="1488" headerRowCellStyle="Normal">
  <autoFilter ref="A10:G22" xr:uid="{00000000-0009-0000-0100-00000A000000}"/>
  <tableColumns count="7">
    <tableColumn id="1" xr3:uid="{00000000-0010-0000-0D00-000001000000}" name="Band #" totalsRowLabel="Total">
      <calculatedColumnFormula>'A. 20-21 FN Schools Data'!A7</calculatedColumnFormula>
    </tableColumn>
    <tableColumn id="2" xr3:uid="{00000000-0010-0000-0D00-000002000000}" name="First Nation">
      <calculatedColumnFormula>'A. 20-21 FN Schools Data'!B7</calculatedColumnFormula>
    </tableColumn>
    <tableColumn id="3" xr3:uid="{00000000-0010-0000-0D00-000003000000}" name="School #">
      <calculatedColumnFormula>'A. 20-21 FN Schools Data'!C7</calculatedColumnFormula>
    </tableColumn>
    <tableColumn id="4" xr3:uid="{00000000-0010-0000-0D00-000004000000}" name="School Name">
      <calculatedColumnFormula>'A. 20-21 FN Schools Data'!D7</calculatedColumnFormula>
    </tableColumn>
    <tableColumn id="5" xr3:uid="{00000000-0010-0000-0D00-000005000000}" name="Gr. 11-12 Eligible FTE" totalsRowFunction="sum" dataDxfId="1487" totalsRowDxfId="1486">
      <calculatedColumnFormula>INDEX(TableAFNSchools[Gr11 FTE Sum],MATCH(Table10[[#This Row],[School '#]],TableAFNSchools[School No.],0))+INDEX(TableAFNSchools[Gr12 FTE Sum],MATCH(Table10[[#This Row],[School '#]],TableAFNSchools[School No.],0))</calculatedColumnFormula>
    </tableColumn>
    <tableColumn id="6" xr3:uid="{00000000-0010-0000-0D00-000006000000}" name="TOTAL" totalsRowFunction="sum" dataDxfId="1485" totalsRowDxfId="1484" dataCellStyle="Currency">
      <calculatedColumnFormula>Table10[[#This Row],[Gr. 11-12 Eligible FTE]]*FundingRate_PhysEd</calculatedColumnFormula>
    </tableColumn>
    <tableColumn id="7" xr3:uid="{401EC48B-7E3C-5A4D-9A20-787391DE1E67}" name="Column1" dataDxfId="1483">
      <calculatedColumnFormula>Table10[[#This Row],[TOTAL]]/Table10[[#This Row],[Gr. 11-12 Eligible FTE]]</calculatedColumnFormula>
    </tableColumn>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Table11" displayName="Table11" ref="A24:H37" totalsRowCount="1" headerRowDxfId="1482" dataDxfId="1481" headerRowCellStyle="Normal">
  <autoFilter ref="A24:H36" xr:uid="{00000000-0009-0000-0100-00000B000000}"/>
  <tableColumns count="8">
    <tableColumn id="1" xr3:uid="{00000000-0010-0000-0E00-000001000000}" name="Band #" totalsRowLabel="Total" dataDxfId="1480">
      <calculatedColumnFormula>'A. 20-21 FN Schools Data'!A7</calculatedColumnFormula>
    </tableColumn>
    <tableColumn id="2" xr3:uid="{00000000-0010-0000-0E00-000002000000}" name="First Nation" dataDxfId="1479">
      <calculatedColumnFormula>'A. 20-21 FN Schools Data'!B7</calculatedColumnFormula>
    </tableColumn>
    <tableColumn id="3" xr3:uid="{00000000-0010-0000-0E00-000003000000}" name="School #" dataDxfId="1478">
      <calculatedColumnFormula>'A. 20-21 FN Schools Data'!C7</calculatedColumnFormula>
    </tableColumn>
    <tableColumn id="4" xr3:uid="{00000000-0010-0000-0E00-000004000000}" name="School Name" dataDxfId="1477">
      <calculatedColumnFormula>'A. 20-21 FN Schools Data'!D7</calculatedColumnFormula>
    </tableColumn>
    <tableColumn id="7" xr3:uid="{00000000-0010-0000-0E00-000007000000}" name="Proximate School Division" dataDxfId="1476">
      <calculatedColumnFormula>INDEX(TableAFNSchools[Proximate Provincial School Division],MATCH(Table11[[#This Row],[School '#]],TableAFNSchools[School No.],0))</calculatedColumnFormula>
    </tableColumn>
    <tableColumn id="5" xr3:uid="{00000000-0010-0000-0E00-000005000000}" name="School Size Sq M" totalsRowFunction="sum" dataDxfId="1475" totalsRowDxfId="1474" dataCellStyle="Comma">
      <calculatedColumnFormula>INDEX(TableAFNSchools[School size],MATCH(Table11[[#This Row],[School '#]],TableAFNSchools[School No.],0))</calculatedColumnFormula>
    </tableColumn>
    <tableColumn id="6" xr3:uid="{00000000-0010-0000-0E00-000006000000}" name="Total Occupancy Base" totalsRowFunction="sum" dataDxfId="1473" totalsRowDxfId="1472" dataCellStyle="Currency">
      <calculatedColumnFormula>ROUND(INDEX($D$8:$D$19,MATCH(Table11[[#This Row],[Proximate School Division]],$A$8:$A$19,0))*Table11[[#This Row],[School Size Sq M]],0)</calculatedColumnFormula>
    </tableColumn>
    <tableColumn id="8" xr3:uid="{00000000-0010-0000-0E00-000008000000}" name="Column1" dataDxfId="1471"/>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0F000000}" name="Table853" displayName="Table853" ref="A10:G23" totalsRowCount="1" headerRowDxfId="1470" headerRowCellStyle="Normal">
  <autoFilter ref="A10:G22" xr:uid="{00000000-0009-0000-0100-000034000000}"/>
  <tableColumns count="7">
    <tableColumn id="1" xr3:uid="{00000000-0010-0000-0F00-000001000000}" name="Band #" totalsRowLabel="Total">
      <calculatedColumnFormula>'A. 20-21 FN Schools Data'!A7</calculatedColumnFormula>
    </tableColumn>
    <tableColumn id="2" xr3:uid="{00000000-0010-0000-0F00-000002000000}" name="First Nation">
      <calculatedColumnFormula>'A. 20-21 FN Schools Data'!B7</calculatedColumnFormula>
    </tableColumn>
    <tableColumn id="3" xr3:uid="{00000000-0010-0000-0F00-000003000000}" name="School #">
      <calculatedColumnFormula>'A. 20-21 FN Schools Data'!C7</calculatedColumnFormula>
    </tableColumn>
    <tableColumn id="4" xr3:uid="{00000000-0010-0000-0F00-000004000000}" name="School Name">
      <calculatedColumnFormula>'A. 20-21 FN Schools Data'!D7</calculatedColumnFormula>
    </tableColumn>
    <tableColumn id="5" xr3:uid="{00000000-0010-0000-0F00-000005000000}" name="Eligible FTE" totalsRowFunction="sum" dataDxfId="1469" totalsRowDxfId="1468" dataCellStyle="Comma">
      <calculatedColumnFormula>INDEX(TableAFNSchools[Total Funded FTE],MATCH(Table853[[#This Row],[School '#]],TableAFNSchools[School No.],0))</calculatedColumnFormula>
    </tableColumn>
    <tableColumn id="6" xr3:uid="{00000000-0010-0000-0F00-000006000000}" name="TOTAL" totalsRowFunction="sum" dataDxfId="1467" totalsRowDxfId="1466" dataCellStyle="Currency">
      <calculatedColumnFormula>ROUND(Table853[[#This Row],[Eligible FTE]]*$B$7,0)</calculatedColumnFormula>
    </tableColumn>
    <tableColumn id="7" xr3:uid="{D4D0B3A2-6BB8-6D4B-97EF-4E54779BC764}" name="Column1" dataDxfId="1465">
      <calculatedColumnFormula>Table853[[#This Row],[TOTAL]]/Table853[[#This Row],[Eligible FTE]]</calculatedColumnFormula>
    </tableColumn>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10000000}" name="Table44" displayName="Table44" ref="A11:L24" totalsRowCount="1" headerRowDxfId="1464" headerRowBorderDxfId="1463" tableBorderDxfId="1462">
  <autoFilter ref="A11:L23" xr:uid="{00000000-0009-0000-0100-00002C000000}"/>
  <tableColumns count="12">
    <tableColumn id="1" xr3:uid="{00000000-0010-0000-1000-000001000000}" name="Band #" totalsRowLabel="Total">
      <calculatedColumnFormula>'A. 20-21 FN Schools Data'!A7</calculatedColumnFormula>
    </tableColumn>
    <tableColumn id="2" xr3:uid="{00000000-0010-0000-1000-000002000000}" name="First Nation of Residence" dataDxfId="1461">
      <calculatedColumnFormula>'A. 20-21 FN Schools Data'!B7</calculatedColumnFormula>
    </tableColumn>
    <tableColumn id="6" xr3:uid="{00000000-0010-0000-1000-000006000000}" name="FN of  Res. North/South (North of 53 parallel)" dataDxfId="1460">
      <calculatedColumnFormula>'A. 20-21 FN Schools Data'!CA7</calculatedColumnFormula>
    </tableColumn>
    <tableColumn id="7" xr3:uid="{00000000-0010-0000-1000-000007000000}" name="Mandatory PHP &lt;18 Headcount" totalsRowFunction="sum" dataDxfId="1459">
      <calculatedColumnFormula>'A. 20-21 FN Schools Data'!DC7</calculatedColumnFormula>
    </tableColumn>
    <tableColumn id="8" xr3:uid="{00000000-0010-0000-1000-000008000000}" name="Student Residence &lt;18 Headcount" totalsRowFunction="sum" dataDxfId="1458">
      <calculatedColumnFormula>'A. 20-21 FN Schools Data'!DD7</calculatedColumnFormula>
    </tableColumn>
    <tableColumn id="9" xr3:uid="{00000000-0010-0000-1000-000009000000}" name="Boarding School &lt;18 Headcount" totalsRowFunction="sum" dataDxfId="1457">
      <calculatedColumnFormula>'A. 20-21 FN Schools Data'!DE7</calculatedColumnFormula>
    </tableColumn>
    <tableColumn id="10" xr3:uid="{00000000-0010-0000-1000-00000A000000}" name="5-Day Room &amp; Board &lt;18 Headcount" totalsRowFunction="sum" dataDxfId="1456">
      <calculatedColumnFormula>'A. 20-21 FN Schools Data'!DF7</calculatedColumnFormula>
    </tableColumn>
    <tableColumn id="11" xr3:uid="{00000000-0010-0000-1000-00000B000000}" name="PHP &amp; Residence Set Per Student Amount" totalsRowFunction="sum" dataDxfId="1455" totalsRowDxfId="1454" dataCellStyle="Currency">
      <calculatedColumnFormula>$F$6*Table44[[#This Row],[Mandatory PHP &lt;18 Headcount]]+((Table44[[#This Row],[Student Residence &lt;18 Headcount]]+Table44[[#This Row],[Boarding School &lt;18 Headcount]])*$F$5)</calculatedColumnFormula>
    </tableColumn>
    <tableColumn id="12" xr3:uid="{00000000-0010-0000-1000-00000C000000}" name="PHP &amp; Residence Seasonal Transportation" totalsRowFunction="sum" dataDxfId="1453" totalsRowDxfId="1452" dataCellStyle="Currency">
      <calculatedColumnFormula>IF(Table44[[#This Row],[FN of  Res. North/South (North of 53 parallel)]]="South",Table44[[#This Row],[Mandatory PHP &lt;18 Headcount]]*$G$7,IF(Table44[[#This Row],[FN of  Res. North/South (North of 53 parallel)]]="North",Table44[[#This Row],[Mandatory PHP &lt;18 Headcount]]*$H$7,0))</calculatedColumnFormula>
    </tableColumn>
    <tableColumn id="13" xr3:uid="{00000000-0010-0000-1000-00000D000000}" name="Travel Chaperones" totalsRowFunction="sum" totalsRowDxfId="1451" dataCellStyle="Currency">
      <calculatedColumnFormula>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calculatedColumnFormula>
    </tableColumn>
    <tableColumn id="14" xr3:uid="{00000000-0010-0000-1000-00000E000000}" name="5-Day Room &amp; Board Rate" totalsRowFunction="sum" totalsRowDxfId="1450" dataCellStyle="Currency">
      <calculatedColumnFormula>$F$9*Table44[[#This Row],[5-Day Room &amp; Board &lt;18 Headcount]]</calculatedColumnFormula>
    </tableColumn>
    <tableColumn id="15" xr3:uid="{00000000-0010-0000-1000-00000F000000}" name="TOTAL Board &amp; Room Band-Op Schools &lt;18" totalsRowFunction="sum" dataDxfId="1449" totalsRowDxfId="1448" dataCellStyle="Currency">
      <calculatedColumnFormula>SUM(Table44[[#This Row],[PHP &amp; Residence Set Per Student Amount]:[5-Day Room &amp; Board Rate]])</calculatedColumnFormula>
    </tableColumn>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1000000}" name="Table13" displayName="Table13" ref="A29:L42" totalsRowCount="1" headerRowDxfId="1447" headerRowCellStyle="Normal">
  <autoFilter ref="A29:L41" xr:uid="{00000000-0009-0000-0100-00000D000000}"/>
  <tableColumns count="12">
    <tableColumn id="1" xr3:uid="{00000000-0010-0000-1100-000001000000}" name="Band #" totalsRowLabel="Total">
      <calculatedColumnFormula>'A. 20-21 FN Schools Data'!A7</calculatedColumnFormula>
    </tableColumn>
    <tableColumn id="2" xr3:uid="{00000000-0010-0000-1100-000002000000}" name="First Nation">
      <calculatedColumnFormula>'A. 20-21 FN Schools Data'!B7</calculatedColumnFormula>
    </tableColumn>
    <tableColumn id="3" xr3:uid="{00000000-0010-0000-1100-000003000000}" name="School #">
      <calculatedColumnFormula>'A. 20-21 FN Schools Data'!C7</calculatedColumnFormula>
    </tableColumn>
    <tableColumn id="4" xr3:uid="{00000000-0010-0000-1100-000004000000}" name="School Name">
      <calculatedColumnFormula>'A. 20-21 FN Schools Data'!D7</calculatedColumnFormula>
    </tableColumn>
    <tableColumn id="10" xr3:uid="{00000000-0010-0000-1100-00000A000000}" name="Proximate School Divion " dataDxfId="1446">
      <calculatedColumnFormula>INDEX(TableAFNSchools[Proximate Provincial School Division],MATCH(Table13[[#This Row],[School '#]],TableAFNSchools[School No.],0))</calculatedColumnFormula>
    </tableColumn>
    <tableColumn id="5" xr3:uid="{00000000-0010-0000-1100-000005000000}" name="Eligible FTE" totalsRowFunction="sum" dataDxfId="1445" dataCellStyle="Comma">
      <calculatedColumnFormula>INDEX(TableAFNSchools[Total Funded FTE],MATCH(Table13[[#This Row],[School '#]],TableAFNSchools[School No.],0))</calculatedColumnFormula>
    </tableColumn>
    <tableColumn id="7" xr3:uid="{00000000-0010-0000-1100-000007000000}" name="Coordinator/Clinician Subtotal" totalsRowFunction="sum" dataDxfId="1444" totalsRowDxfId="1443" dataCellStyle="Currency">
      <calculatedColumnFormula>INDEX($I$10:$I$21,MATCH(Table13[[#This Row],[Proximate School Divion ]],$E$10:$E$21,0))*Table13[[#This Row],[Eligible FTE]]</calculatedColumnFormula>
    </tableColumn>
    <tableColumn id="6" xr3:uid="{00000000-0010-0000-1100-000006000000}" name="Level 2 and 3 Subtotal" totalsRowFunction="sum" dataDxfId="1442" totalsRowDxfId="1441" dataCellStyle="Currency">
      <calculatedColumnFormula>INDEX($L$10:$L$21,MATCH(Table13[[#This Row],[Proximate School Divion ]],$E$10:$E$21,0))*Table13[[#This Row],[Eligible FTE]]</calculatedColumnFormula>
    </tableColumn>
    <tableColumn id="11" xr3:uid="{00000000-0010-0000-1100-00000B000000}" name="Special Needs TOTAL " totalsRowFunction="sum" dataDxfId="1440" totalsRowDxfId="1439" dataCellStyle="Currency">
      <calculatedColumnFormula>ROUND(Table13[[#This Row],[Level 2 and 3 Subtotal]]+Table13[[#This Row],[Coordinator/Clinician Subtotal]],0)</calculatedColumnFormula>
    </tableColumn>
    <tableColumn id="8" xr3:uid="{00000000-0010-0000-1100-000008000000}" name="Tax Base Envelope amount" totalsRowFunction="sum" dataDxfId="1438" totalsRowDxfId="1437" dataCellStyle="Currency">
      <calculatedColumnFormula>'-B7-'!I11</calculatedColumnFormula>
    </tableColumn>
    <tableColumn id="9" xr3:uid="{00000000-0010-0000-1100-000009000000}" name="Tax Base Total" totalsRowFunction="custom" dataDxfId="1436" totalsRowDxfId="1435" dataCellStyle="Comma">
      <calculatedColumnFormula>ROUND(Table13[[#This Row],[Tax Base Envelope amount]]*$K$5,0)</calculatedColumnFormula>
      <totalsRowFormula>SUM(K30:K41)</totalsRowFormula>
    </tableColumn>
    <tableColumn id="12" xr3:uid="{D4E187E6-8513-CF41-A120-1B1D41025B84}" name="Column1" dataDxfId="1434">
      <calculatedColumnFormula>Table13[[#This Row],[Special Needs TOTAL ]]/Table13[[#This Row],[Eligible FTE]]</calculatedColumnFormula>
    </tableColumn>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2000000}" name="Table14" displayName="Table14" ref="A10:G23" totalsRowCount="1" headerRowDxfId="1433" headerRowCellStyle="Normal">
  <autoFilter ref="A10:G22" xr:uid="{00000000-0009-0000-0100-00000E000000}"/>
  <tableColumns count="7">
    <tableColumn id="1" xr3:uid="{00000000-0010-0000-1200-000001000000}" name="Band #" totalsRowLabel="Total">
      <calculatedColumnFormula>'A. 20-21 FN Schools Data'!A7</calculatedColumnFormula>
    </tableColumn>
    <tableColumn id="2" xr3:uid="{00000000-0010-0000-1200-000002000000}" name="First Nation">
      <calculatedColumnFormula>'A. 20-21 FN Schools Data'!B7</calculatedColumnFormula>
    </tableColumn>
    <tableColumn id="3" xr3:uid="{00000000-0010-0000-1200-000003000000}" name="School #">
      <calculatedColumnFormula>'A. 20-21 FN Schools Data'!C7</calculatedColumnFormula>
    </tableColumn>
    <tableColumn id="4" xr3:uid="{00000000-0010-0000-1200-000004000000}" name="School Name">
      <calculatedColumnFormula>'A. 20-21 FN Schools Data'!D7</calculatedColumnFormula>
    </tableColumn>
    <tableColumn id="5" xr3:uid="{00000000-0010-0000-1200-000005000000}" name="Gr 11-12 Headcount" totalsRowFunction="sum" dataDxfId="1432" totalsRowDxfId="1431">
      <calculatedColumnFormula>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calculatedColumnFormula>
    </tableColumn>
    <tableColumn id="6" xr3:uid="{00000000-0010-0000-1200-000006000000}" name="TOTAL" totalsRowFunction="sum" dataDxfId="1430" totalsRowDxfId="1429" dataCellStyle="Currency">
      <calculatedColumnFormula>ROUND(Table14[[#This Row],[Gr 11-12 Headcount]]*FundingRate_SrYrTech,0)</calculatedColumnFormula>
    </tableColumn>
    <tableColumn id="7" xr3:uid="{2F6366C2-D310-E14C-99CC-69EE49A788A5}" name="Column1" dataDxfId="1428">
      <calculatedColumnFormula>Table14[[#This Row],[TOTAL]]/Table14[[#This Row],[Gr 11-12 Headcount]]</calculatedColumnFormula>
    </tableColumn>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3000000}" name="Table15" displayName="Table15" ref="A10:J23" totalsRowCount="1" headerRowDxfId="1427" headerRowCellStyle="Normal">
  <autoFilter ref="A10:J22" xr:uid="{00000000-0009-0000-0100-00000F000000}"/>
  <tableColumns count="10">
    <tableColumn id="1" xr3:uid="{00000000-0010-0000-1300-000001000000}" name="Band #" totalsRowLabel="Total">
      <calculatedColumnFormula>'A. 20-21 FN Schools Data'!A7</calculatedColumnFormula>
    </tableColumn>
    <tableColumn id="2" xr3:uid="{00000000-0010-0000-1300-000002000000}" name="First Nation">
      <calculatedColumnFormula>'A. 20-21 FN Schools Data'!B7</calculatedColumnFormula>
    </tableColumn>
    <tableColumn id="3" xr3:uid="{00000000-0010-0000-1300-000003000000}" name="School #">
      <calculatedColumnFormula>'A. 20-21 FN Schools Data'!C7</calculatedColumnFormula>
    </tableColumn>
    <tableColumn id="4" xr3:uid="{00000000-0010-0000-1300-000004000000}" name="School Name">
      <calculatedColumnFormula>'A. 20-21 FN Schools Data'!D7</calculatedColumnFormula>
    </tableColumn>
    <tableColumn id="6" xr3:uid="{00000000-0010-0000-1300-000006000000}" name="Kindergarten" totalsRowFunction="sum" dataDxfId="1426" totalsRowDxfId="1425">
      <calculatedColumnFormula>INDEX(TableAFNSchools[K5- Half-Day],MATCH(Table15[[#This Row],[School '#]],TableAFNSchools[School No.],0))+INDEX(TableAFNSchools[K5 - Full Day],MATCH(Table15[[#This Row],[School '#]],TableAFNSchools[School No.],0))</calculatedColumnFormula>
    </tableColumn>
    <tableColumn id="7" xr3:uid="{00000000-0010-0000-1300-000007000000}" name="Gr 1 FTE" totalsRowFunction="sum" dataDxfId="1424" totalsRowDxfId="1423">
      <calculatedColumnFormula>INDEX(TableAFNSchools[Gr1],MATCH(Table15[[#This Row],[School '#]],TableAFNSchools[School No.],0))</calculatedColumnFormula>
    </tableColumn>
    <tableColumn id="8" xr3:uid="{00000000-0010-0000-1300-000008000000}" name="Gr 2 FTE" totalsRowFunction="sum" dataDxfId="1422" totalsRowDxfId="1421">
      <calculatedColumnFormula>INDEX(TableAFNSchools[Gr2],MATCH(Table15[[#This Row],[School '#]],TableAFNSchools[School No.],0))</calculatedColumnFormula>
    </tableColumn>
    <tableColumn id="10" xr3:uid="{00000000-0010-0000-1300-00000A000000}" name="Gr 3 FTE" totalsRowFunction="sum" dataDxfId="1420" totalsRowDxfId="1419">
      <calculatedColumnFormula>INDEX(TableAFNSchools[Gr3],MATCH(Table15[[#This Row],[School '#]],TableAFNSchools[School No.],0))</calculatedColumnFormula>
    </tableColumn>
    <tableColumn id="9" xr3:uid="{00000000-0010-0000-1300-000009000000}" name="TOTAL" totalsRowFunction="sum" dataDxfId="1418" totalsRowDxfId="1417" dataCellStyle="Currency">
      <calculatedColumnFormula>ROUND(SUM(Table15[[#This Row],[Kindergarten]:[Gr 3 FTE]])*FundingRate_EALperFTE,0)</calculatedColumnFormula>
    </tableColumn>
    <tableColumn id="5" xr3:uid="{F6FB0E61-8552-D84E-BE47-DBD4C6658BEE}" name="Column1" dataDxfId="1416">
      <calculatedColumnFormula>Table15[[#This Row],[TOTAL]]/(Table15[[#This Row],[Gr 3 FTE]]+Table15[[#This Row],[Gr 2 FTE]]+Table15[[#This Row],[Gr 1 FTE]]+Table15[[#This Row],[Kindergarten]])</calculatedColumnFormula>
    </tableColumn>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4000000}" name="Table16" displayName="Table16" ref="A10:G23" totalsRowCount="1" headerRowDxfId="1415" headerRowCellStyle="Normal">
  <autoFilter ref="A10:G22" xr:uid="{00000000-0009-0000-0100-000010000000}"/>
  <tableColumns count="7">
    <tableColumn id="1" xr3:uid="{00000000-0010-0000-1400-000001000000}" name="Band #" totalsRowLabel="Total">
      <calculatedColumnFormula>'A. 20-21 FN Schools Data'!A7</calculatedColumnFormula>
    </tableColumn>
    <tableColumn id="2" xr3:uid="{00000000-0010-0000-1400-000002000000}" name="First Nation">
      <calculatedColumnFormula>'A. 20-21 FN Schools Data'!B7</calculatedColumnFormula>
    </tableColumn>
    <tableColumn id="3" xr3:uid="{00000000-0010-0000-1400-000003000000}" name="School #">
      <calculatedColumnFormula>'A. 20-21 FN Schools Data'!C7</calculatedColumnFormula>
    </tableColumn>
    <tableColumn id="4" xr3:uid="{00000000-0010-0000-1400-000004000000}" name="School Name">
      <calculatedColumnFormula>'A. 20-21 FN Schools Data'!D7</calculatedColumnFormula>
    </tableColumn>
    <tableColumn id="5" xr3:uid="{00000000-0010-0000-1400-000005000000}" name="Eligible FTE" totalsRowFunction="sum" dataDxfId="1414" totalsRowDxfId="1413" dataCellStyle="Comma">
      <calculatedColumnFormula>INDEX(TableAFNSchools[Total Funded FTE],MATCH(Table16[[#This Row],[School '#]],TableAFNSchools[School No.],0))</calculatedColumnFormula>
    </tableColumn>
    <tableColumn id="6" xr3:uid="{00000000-0010-0000-1400-000006000000}" name="Comparability Approach Total" totalsRowFunction="sum" dataDxfId="1412" totalsRowDxfId="1411" dataCellStyle="Currency">
      <calculatedColumnFormula>Table16[[#This Row],[Eligible FTE]]*FundingRate_AAA</calculatedColumnFormula>
    </tableColumn>
    <tableColumn id="7" xr3:uid="{00000000-0010-0000-1400-000007000000}" name="Comparability TOTAL" totalsRowFunction="sum" dataDxfId="1410" totalsRowDxfId="1409" dataCellStyle="Currency">
      <calculatedColumnFormula>ROUND(Table16[[#This Row],[Eligible FTE]]*FundingRate_AAA,0)</calculatedColumnFormula>
    </tableColumn>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5000000}" name="Table20" displayName="Table20" ref="A10:K23" totalsRowCount="1" headerRowDxfId="1408" headerRowBorderDxfId="1407">
  <autoFilter ref="A10:K22" xr:uid="{00000000-0009-0000-0100-000014000000}"/>
  <tableColumns count="11">
    <tableColumn id="1" xr3:uid="{00000000-0010-0000-1500-000001000000}" name="Band #" totalsRowLabel="Total">
      <calculatedColumnFormula>'A. 20-21 FN Schools Data'!A7</calculatedColumnFormula>
    </tableColumn>
    <tableColumn id="2" xr3:uid="{00000000-0010-0000-1500-000002000000}" name="First Nation">
      <calculatedColumnFormula>'A. 20-21 FN Schools Data'!B7</calculatedColumnFormula>
    </tableColumn>
    <tableColumn id="3" xr3:uid="{00000000-0010-0000-1500-000003000000}" name="School #">
      <calculatedColumnFormula>'A. 20-21 FN Schools Data'!C7</calculatedColumnFormula>
    </tableColumn>
    <tableColumn id="4" xr3:uid="{00000000-0010-0000-1500-000004000000}" name="School Name">
      <calculatedColumnFormula>'A. 20-21 FN Schools Data'!D7</calculatedColumnFormula>
    </tableColumn>
    <tableColumn id="7" xr3:uid="{00000000-0010-0000-1500-000007000000}" name="K4-K5 Eligible Headcount All or More than One Subject" totalsRowFunction="sum"/>
    <tableColumn id="9" xr3:uid="{00000000-0010-0000-1500-000009000000}" name="Grade 1-12 Eligible Headcount All or More than One Subject" totalsRowFunction="sum" dataDxfId="1406"/>
    <tableColumn id="8" xr3:uid="{00000000-0010-0000-1500-000008000000}" name="K4-12 Eligible Headcount One Subject" totalsRowFunction="sum" totalsRowDxfId="1405"/>
    <tableColumn id="5" xr3:uid="{00000000-0010-0000-1500-000005000000}" name="Total Eligible FTE" totalsRowFunction="sum" dataDxfId="1404" totalsRowDxfId="1403">
      <calculatedColumnFormula>INDEX(TableAFNSchools[Total Funded FTE],MATCH(Table20[[#This Row],[School '#]],TableAFNSchools[School No.],0))</calculatedColumnFormula>
    </tableColumn>
    <tableColumn id="10" xr3:uid="{00000000-0010-0000-1500-00000A000000}" name="Comparability Aboriginal Languages TOTAL" totalsRowFunction="sum" dataDxfId="1402" totalsRowDxfId="1401" dataCellStyle="Currency">
      <calculatedColumnFormula>(Table20[[#This Row],[K4-K5 Eligible Headcount All or More than One Subject]]*FundingRate_AILKindergarten)+(Table20[[#This Row],[Grade 1-12 Eligible Headcount All or More than One Subject]]*FundingRate_AILGr1to12)+(Table20[[#This Row],[K4-12 Eligible Headcount One Subject]]*FundingRate_AILperCourse)</calculatedColumnFormula>
    </tableColumn>
    <tableColumn id="6" xr3:uid="{00000000-0010-0000-1500-000006000000}" name="ENHANCED Aboriginal Languages TOTAL" totalsRowFunction="sum" dataDxfId="1400" totalsRowDxfId="1399">
      <calculatedColumnFormula>ROUND(Table20[[#This Row],[Total Eligible FTE]]*FundingRate_IndLanguageCulture,0)</calculatedColumnFormula>
    </tableColumn>
    <tableColumn id="11" xr3:uid="{319D43BA-EAF2-9245-B55B-48E8ADD128B8}" name="Column1" dataDxfId="1398">
      <calculatedColumnFormula>Table20[[#This Row],[ENHANCED Aboriginal Languages TOTAL]]/Table20[[#This Row],[Total Eligible FTE]]</calculatedColumnFormula>
    </tableColumn>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6000000}" name="Table21" displayName="Table21" ref="A10:J23" totalsRowCount="1" headerRowDxfId="1397" headerRowBorderDxfId="1396">
  <autoFilter ref="A10:J22" xr:uid="{00000000-0009-0000-0100-000015000000}"/>
  <tableColumns count="10">
    <tableColumn id="1" xr3:uid="{00000000-0010-0000-1600-000001000000}" name="Band #" totalsRowLabel="Total">
      <calculatedColumnFormula>'A. 20-21 FN Schools Data'!A7</calculatedColumnFormula>
    </tableColumn>
    <tableColumn id="2" xr3:uid="{00000000-0010-0000-1600-000002000000}" name="First Nation">
      <calculatedColumnFormula>'A. 20-21 FN Schools Data'!B7</calculatedColumnFormula>
    </tableColumn>
    <tableColumn id="3" xr3:uid="{00000000-0010-0000-1600-000003000000}" name="School #">
      <calculatedColumnFormula>'A. 20-21 FN Schools Data'!C7</calculatedColumnFormula>
    </tableColumn>
    <tableColumn id="4" xr3:uid="{00000000-0010-0000-1600-000004000000}" name="School Name">
      <calculatedColumnFormula>'A. 20-21 FN Schools Data'!D7</calculatedColumnFormula>
    </tableColumn>
    <tableColumn id="5" xr3:uid="{00000000-0010-0000-1600-000005000000}" name="K4 to Grade 3 FTE and Ungrad. Elem." totalsRowFunction="sum" dataDxfId="1395" totalsRowDxfId="1394">
      <calculatedColumnFormula>INDEX(TableAFNSchools[Total FTE K4-Gr.3 and Elementary Ungraded ],MATCH(Table21[[#This Row],[School '#]],TableAFNSchools[School No.],0))</calculatedColumnFormula>
    </tableColumn>
    <tableColumn id="6" xr3:uid="{00000000-0010-0000-1600-000006000000}" name="Grade 4-6 FTE" totalsRowFunction="sum" dataDxfId="1393" totalsRowDxfId="1392">
      <calculatedColumnFormula>INDEX(TableAFNSchools[Gr. 4-6 FTE],MATCH(Table21[[#This Row],[School '#]],TableAFNSchools[School No.],0))</calculatedColumnFormula>
    </tableColumn>
    <tableColumn id="7" xr3:uid="{00000000-0010-0000-1600-000007000000}" name="Grade 7-8 FTE" totalsRowFunction="sum" dataDxfId="1391" totalsRowDxfId="1390">
      <calculatedColumnFormula>INDEX(TableAFNSchools[Gr. 7-8 FTE],MATCH(Table21[[#This Row],[School '#]],TableAFNSchools[School No.],0))</calculatedColumnFormula>
    </tableColumn>
    <tableColumn id="8" xr3:uid="{00000000-0010-0000-1600-000008000000}" name="Grade 9-12 FTE" totalsRowFunction="sum" dataDxfId="1389" totalsRowDxfId="1388">
      <calculatedColumnFormula>INDEX(TableAFNSchools[Gr. 9-12 FTE and Sec Ungraded],MATCH(Table21[[#This Row],[School '#]],TableAFNSchools[School No.],0))</calculatedColumnFormula>
    </tableColumn>
    <tableColumn id="9" xr3:uid="{00000000-0010-0000-1600-000009000000}" name="TOTAL" totalsRowFunction="sum" dataDxfId="1387" totalsRowDxfId="1386">
      <calculatedColumnFormula>ROUND((FundingRate_FREK4toGr3*(Table21[[#This Row],[K4 to Grade 3 FTE and Ungrad. Elem.]]*FRE_Instr_Time))+(FundingRate_FREGr4to6*(Table21[[#This Row],[Grade 4-6 FTE]]*FRE_Instr_Time))+(FundingRate_FREGr7to8*(Table21[[#This Row],[Grade 7-8 FTE]]*FRE_Instr_Time))+(FundingRate_FREGr9to12*Table21[[#This Row],[Grade 9-12 FTE]]),0)</calculatedColumnFormula>
    </tableColumn>
    <tableColumn id="10" xr3:uid="{64CBCC44-AA56-944C-916A-D19FD9ED82E4}" name="Column1" dataDxfId="1385">
      <calculatedColumnFormula>Table21[[#This Row],[TOTAL]]/(Table21[[#This Row],[Grade 9-12 FTE]]+Table21[[#This Row],[Grade 7-8 FTE]]+Table21[[#This Row],[Grade 4-6 FTE]]+Table21[[#This Row],[K4 to Grade 3 FTE and Ungrad. Elem.]])</calculatedColumnFormula>
    </tableColumn>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7000000}" name="Table22" displayName="Table22" ref="A10:P23" totalsRowCount="1" headerRowDxfId="1384" dataDxfId="1382" headerRowBorderDxfId="1383">
  <autoFilter ref="A10:P22" xr:uid="{00000000-0009-0000-0100-000016000000}"/>
  <tableColumns count="16">
    <tableColumn id="1" xr3:uid="{00000000-0010-0000-1700-000001000000}" name="Band #" totalsRowLabel="Total">
      <calculatedColumnFormula>'A. 20-21 FN Schools Data'!A7</calculatedColumnFormula>
    </tableColumn>
    <tableColumn id="2" xr3:uid="{00000000-0010-0000-1700-000002000000}" name="First Nation">
      <calculatedColumnFormula>'A. 20-21 FN Schools Data'!B7</calculatedColumnFormula>
    </tableColumn>
    <tableColumn id="3" xr3:uid="{00000000-0010-0000-1700-000003000000}" name="School #">
      <calculatedColumnFormula>'A. 20-21 FN Schools Data'!C7</calculatedColumnFormula>
    </tableColumn>
    <tableColumn id="4" xr3:uid="{00000000-0010-0000-1700-000004000000}" name="School Name">
      <calculatedColumnFormula>'A. 20-21 FN Schools Data'!D7</calculatedColumnFormula>
    </tableColumn>
    <tableColumn id="5" xr3:uid="{00000000-0010-0000-1700-000005000000}" name="School Type" dataDxfId="1381">
      <calculatedColumnFormula>INDEX(TableAFNSchools[School/ Program Type],MATCH(Table22[[#This Row],[School '#]],TableAFNSchools[School No.],0))</calculatedColumnFormula>
    </tableColumn>
    <tableColumn id="6" xr3:uid="{00000000-0010-0000-1700-000006000000}" name="Elem. FTE" totalsRowFunction="sum" dataDxfId="1380" totalsRowDxfId="1379" dataCellStyle="Comma">
      <calculatedColumnFormula>INDEX(TableAFNSchools[Elementary],MATCH(Table22[[#This Row],[School '#]],TableAFNSchools[School No.],0))</calculatedColumnFormula>
    </tableColumn>
    <tableColumn id="7" xr3:uid="{00000000-0010-0000-1700-000007000000}" name="Second. FTE" totalsRowFunction="sum" dataDxfId="1378" totalsRowDxfId="1377">
      <calculatedColumnFormula>INDEX(TableAFNSchools[Secondary],MATCH(Table22[[#This Row],[School '#]],TableAFNSchools[School No.],0))</calculatedColumnFormula>
    </tableColumn>
    <tableColumn id="8" xr3:uid="{00000000-0010-0000-1700-000008000000}" name="Avg Elem. FTEs per Grade" totalsRowFunction="sum" dataDxfId="1376" totalsRowDxfId="1375">
      <calculatedColumnFormula>INDEX(TableAFNSchools[Avg. Elem FTEs per Grade],MATCH(Table22[[#This Row],[School '#]],TableAFNSchools[School No.],0))</calculatedColumnFormula>
    </tableColumn>
    <tableColumn id="9" xr3:uid="{00000000-0010-0000-1700-000009000000}" name="Avg Second. FTEs per Grade" totalsRowFunction="sum" dataDxfId="1374" totalsRowDxfId="1373">
      <calculatedColumnFormula>INDEX(TableAFNSchools[Avg. Second FTEs per Grade],MATCH(Table22[[#This Row],[School '#]],TableAFNSchools[School No.],0))</calculatedColumnFormula>
    </tableColumn>
    <tableColumn id="10" xr3:uid="{00000000-0010-0000-1700-00000A000000}" name="Elem. Small Schools &lt;5 FTE per Grade" totalsRowFunction="sum" dataDxfId="1372" totalsRowDxfId="1371">
      <calculatedColumnFormula>IF(Table22[[#This Row],[School Type]]="Adult Education",0,IF(AND(Table22[[#This Row],[Avg Elem. FTEs per Grade]]&gt;0,Table22[[#This Row],[Avg Elem. FTEs per Grade]]&lt;5),Table22[[#This Row],[Elem. FTE]]*FundingRate_SmSchElem,0))</calculatedColumnFormula>
    </tableColumn>
    <tableColumn id="11" xr3:uid="{00000000-0010-0000-1700-00000B000000}" name="Elem. Small Schools 5&lt;20 FTE per Grade" totalsRowFunction="sum" dataDxfId="1370" totalsRowDxfId="1369">
      <calculatedColumnFormula>IF(Table22[[#This Row],[School Type]]="Adult Education",0,IF(AND(Table22[[#This Row],[Avg Elem. FTEs per Grade]]&gt;=5,Table22[[#This Row],[Avg Elem. FTEs per Grade]]&lt;20),(FundingRate_SmSchElem-FundingRate_SmSchElemperPupil*(Table22[[#This Row],[Avg Elem. FTEs per Grade]]-5))*Table22[[#This Row],[Elem. FTE]],0))</calculatedColumnFormula>
    </tableColumn>
    <tableColumn id="12" xr3:uid="{00000000-0010-0000-1700-00000C000000}" name="Second. Small Schools &lt;10 FTE per Grade" totalsRowFunction="sum" dataDxfId="1368" totalsRowDxfId="1367">
      <calculatedColumnFormula>IF(Table22[[#This Row],[School Type]]="Adult Education",0,IF(AND(Table22[[#This Row],[Avg Second. FTEs per Grade]]&gt;0,Table22[[#This Row],[Avg Second. FTEs per Grade]]&lt;10),Table22[[#This Row],[Second. FTE]]*FundingRate_SmSchSec,0))</calculatedColumnFormula>
    </tableColumn>
    <tableColumn id="13" xr3:uid="{00000000-0010-0000-1700-00000D000000}" name="Second. Small Schools 10&lt;50 FTE per Grade" totalsRowFunction="sum" dataDxfId="1366" totalsRowDxfId="1365">
      <calculatedColumnFormula>IF(Table22[[#This Row],[School Type]]="Adult Education",0,IF(AND(Table22[[#This Row],[Avg Second. FTEs per Grade]]&gt;=10,Table22[[#This Row],[Avg Second. FTEs per Grade]]&lt;50),(FundingRate_SmSchSec-FundingRate_SmSchSecperPupil*(Table22[[#This Row],[Avg Second. FTEs per Grade]]-10))*Table22[[#This Row],[Second. FTE]],0))</calculatedColumnFormula>
    </tableColumn>
    <tableColumn id="14" xr3:uid="{00000000-0010-0000-1700-00000E000000}" name="Small Schools - Per School Allocation" totalsRowFunction="sum" dataDxfId="1364" totalsRowDxfId="1363" dataCellStyle="Currency">
      <calculatedColumnFormula>IF(OR(Table22[[#This Row],[Elem. Small Schools &lt;5 FTE per Grade]]&gt;0,Table22[[#This Row],[Elem. Small Schools 5&lt;20 FTE per Grade]]&gt;0,Table22[[#This Row],[Second. Small Schools &lt;10 FTE per Grade]]&gt;0,Table22[[#This Row],[Second. Small Schools 10&lt;50 FTE per Grade]]&gt;0),FudningRate_SmSchperSch,0)</calculatedColumnFormula>
    </tableColumn>
    <tableColumn id="15" xr3:uid="{00000000-0010-0000-1700-00000F000000}" name="TOTAL" totalsRowFunction="sum" dataDxfId="1362" totalsRowDxfId="1361">
      <calculatedColumnFormula>IF(Table22[[#This Row],[School Type]]="Adult Education",0,ROUND(SUM(Table22[[#This Row],[Elem. Small Schools &lt;5 FTE per Grade]:[Small Schools - Per School Allocation]]),0))</calculatedColumnFormula>
    </tableColumn>
    <tableColumn id="16" xr3:uid="{CF485E51-4FDC-394F-95E4-96B77BC806F2}" name="Column1" dataDxfId="1360" totalsRowDxfId="1359">
      <calculatedColumnFormula>Table22[[#This Row],[TOTAL]]/(Table22[[#This Row],[Second. FTE]]+Table22[[#This Row],[Elem. FTE]])</calculatedColumnFormula>
    </tableColumn>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8000000}" name="Table23" displayName="Table23" ref="A10:J22" totalsRowCount="1" headerRowDxfId="1358" headerRowBorderDxfId="1357">
  <autoFilter ref="A10:J21" xr:uid="{00000000-0009-0000-0100-000017000000}"/>
  <tableColumns count="10">
    <tableColumn id="1" xr3:uid="{00000000-0010-0000-1800-000001000000}" name="Band #" totalsRowLabel="Total"/>
    <tableColumn id="2" xr3:uid="{00000000-0010-0000-1800-000002000000}" name="First Nation"/>
    <tableColumn id="5" xr3:uid="{00000000-0010-0000-1800-000005000000}" name="Total Enrolment Formula Year - 2019/20" totalsRowFunction="sum" dataDxfId="1356" totalsRowDxfId="1355"/>
    <tableColumn id="6" xr3:uid="{00000000-0010-0000-1800-000006000000}" name="Total Enrolment  Formula Year - 2020/21" totalsRowFunction="sum" dataDxfId="1354" totalsRowDxfId="1353"/>
    <tableColumn id="7" xr3:uid="{00000000-0010-0000-1800-000007000000}" name="Total Enrolment Current Formula Year - 2021/22" totalsRowFunction="sum" dataDxfId="1352" totalsRowDxfId="1351">
      <calculatedColumnFormula>SUMIF(TableAFNSchools[Band No '#],Table23[[#This Row],[Band '#]],TableAFNSchools[Total Funded FTE])</calculatedColumnFormula>
    </tableColumn>
    <tableColumn id="8" xr3:uid="{00000000-0010-0000-1800-000008000000}" name="Base Support Current Formula Year (excluding Occupancy) 2020-21" totalsRowFunction="sum" dataDxfId="1350" totalsRowDxfId="1349" dataCellStyle="Currency">
      <calculatedColumnFormula>SUMIF(Table31[Band '#],Table23[[#This Row],[Band '#]],Table31[BASE SUPPORT SUBTOTAL])-SUMIF(Table31[Band '#],Table23[[#This Row],[Band '#]],Table31[11. Occupancy])</calculatedColumnFormula>
    </tableColumn>
    <tableColumn id="10" xr3:uid="{00000000-0010-0000-1800-00000A000000}" name="A. Decrease in NR from 2018 to 2019" totalsRowFunction="custom" dataDxfId="1348" totalsRowDxfId="1347" dataCellStyle="Currency">
      <totalsRowFormula>ROUND((Table23[[#Totals],[Total Enrolment Formula Year - 2019/20]]-Table23[[#Totals],[Total Enrolment  Formula Year - 2020/21]])*(Table23[[#Totals],[Base Support Current Formula Year (excluding Occupancy) 2020-21]]/Table23[[#Totals],[Total Enrolment  Formula Year - 2020/21]]),0)</totalsRowFormula>
    </tableColumn>
    <tableColumn id="11" xr3:uid="{00000000-0010-0000-1800-00000B000000}" name="B. Increase in NR from 2019 to 2020" totalsRowFunction="custom" dataDxfId="1346" totalsRowDxfId="1345" dataCellStyle="Currency">
      <totalsRowFormula>ROUND((Table23[[#Totals],[Total Enrolment Current Formula Year - 2021/22]]-Table23[[#Totals],[Total Enrolment  Formula Year - 2020/21]])*(Table23[[#Totals],[Base Support Current Formula Year (excluding Occupancy) 2020-21]]/Table23[[#Totals],[Total Enrolment  Formula Year - 2020/21]]),0)</totalsRowFormula>
    </tableColumn>
    <tableColumn id="9" xr3:uid="{00000000-0010-0000-1800-000009000000}" name="Greater of A and B TOTAL ENROLMENT CHANGE SUPPORT" totalsRowFunction="custom" dataDxfId="1344" totalsRowDxfId="1343" dataCellStyle="Currency">
      <totalsRowFormula>IF(OR(Table23[[#Totals],[B. Increase in NR from 2019 to 2020]],Table23[[#Totals],[A. Decrease in NR from 2018 to 2019]])&gt;0,IF(Table23[[#Totals],[B. Increase in NR from 2019 to 2020]]&gt;Table23[[#Totals],[A. Decrease in NR from 2018 to 2019]],Table23[[#Totals],[B. Increase in NR from 2019 to 2020]],Table23[[#Totals],[A. Decrease in NR from 2018 to 2019]]),0)</totalsRowFormula>
    </tableColumn>
    <tableColumn id="3" xr3:uid="{A7E31582-25ED-AE44-9932-8805404E3F3E}" name="Column1" dataDxfId="1342">
      <calculatedColumnFormula>Table23[[#This Row],[Base Support Current Formula Year (excluding Occupancy) 2020-21]]/Table23[[#This Row],[Total Enrolment Current Formula Year - 2021/22]]</calculatedColumnFormula>
    </tableColumn>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9000000}" name="Table24" displayName="Table24" ref="A10:G23" totalsRowCount="1" headerRowDxfId="1341" headerRowBorderDxfId="1340">
  <autoFilter ref="A10:G22" xr:uid="{00000000-0009-0000-0100-000018000000}"/>
  <tableColumns count="7">
    <tableColumn id="1" xr3:uid="{00000000-0010-0000-1900-000001000000}" name="Band #" totalsRowLabel="Total">
      <calculatedColumnFormula>'A. 20-21 FN Schools Data'!A7</calculatedColumnFormula>
    </tableColumn>
    <tableColumn id="2" xr3:uid="{00000000-0010-0000-1900-000002000000}" name="First Nation">
      <calculatedColumnFormula>'A. 20-21 FN Schools Data'!B7</calculatedColumnFormula>
    </tableColumn>
    <tableColumn id="3" xr3:uid="{00000000-0010-0000-1900-000003000000}" name="School #">
      <calculatedColumnFormula>'A. 20-21 FN Schools Data'!C7</calculatedColumnFormula>
    </tableColumn>
    <tableColumn id="4" xr3:uid="{00000000-0010-0000-1900-000004000000}" name="School Name">
      <calculatedColumnFormula>'A. 20-21 FN Schools Data'!D7</calculatedColumnFormula>
    </tableColumn>
    <tableColumn id="5" xr3:uid="{00000000-0010-0000-1900-000005000000}" name="North/South of the 53rd Parallel" dataDxfId="1339" totalsRowDxfId="1338">
      <calculatedColumnFormula>INDEX(TableAFNSchools[North/South of 53rd Parallel &amp; Fly-in = North],MATCH(Table24[[#This Row],[School '#]],TableAFNSchools[School No.],0))</calculatedColumnFormula>
    </tableColumn>
    <tableColumn id="6" xr3:uid="{00000000-0010-0000-1900-000006000000}" name="Total Eligible FTE" totalsRowFunction="sum" dataDxfId="1337" totalsRowDxfId="1336" dataCellStyle="Comma">
      <calculatedColumnFormula>INDEX(TableAFNSchools[Total Funded FTE],MATCH(Table24[[#This Row],[School '#]],TableAFNSchools[School No.],0))</calculatedColumnFormula>
    </tableColumn>
    <tableColumn id="7" xr3:uid="{00000000-0010-0000-1900-000007000000}" name="TOTAL" totalsRowFunction="sum" dataDxfId="1335" totalsRowDxfId="1334">
      <calculatedColumnFormula>IF(Table24[[#This Row],[North/South of the 53rd Parallel]]="North",Table24[[#This Row],[Total Eligible FTE]]*FundingRate_Northern,0)</calculatedColumnFormula>
    </tableColumn>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A000000}" name="Table25" displayName="Table25" ref="A10:J23" totalsRowCount="1" headerRowDxfId="1333" headerRowBorderDxfId="1332">
  <autoFilter ref="A10:J22" xr:uid="{00000000-0009-0000-0100-000019000000}"/>
  <tableColumns count="10">
    <tableColumn id="1" xr3:uid="{00000000-0010-0000-1A00-000001000000}" name="Band #" totalsRowLabel="Total">
      <calculatedColumnFormula>'A. 20-21 FN Schools Data'!A7</calculatedColumnFormula>
    </tableColumn>
    <tableColumn id="2" xr3:uid="{00000000-0010-0000-1A00-000002000000}" name="First Nation">
      <calculatedColumnFormula>'A. 20-21 FN Schools Data'!B7</calculatedColumnFormula>
    </tableColumn>
    <tableColumn id="3" xr3:uid="{00000000-0010-0000-1A00-000003000000}" name="School #">
      <calculatedColumnFormula>'A. 20-21 FN Schools Data'!C7</calculatedColumnFormula>
    </tableColumn>
    <tableColumn id="4" xr3:uid="{00000000-0010-0000-1A00-000004000000}" name="School Name">
      <calculatedColumnFormula>'A. 20-21 FN Schools Data'!D7</calculatedColumnFormula>
    </tableColumn>
    <tableColumn id="5" xr3:uid="{00000000-0010-0000-1A00-000005000000}" name="Total Eligible FTE" totalsRowFunction="sum" dataDxfId="1331" totalsRowDxfId="1330" dataCellStyle="Comma">
      <calculatedColumnFormula>INDEX(TableAFNSchools[Total Funded FTE],MATCH(Table25[[#This Row],[School '#]],TableAFNSchools[School No.],0))</calculatedColumnFormula>
    </tableColumn>
    <tableColumn id="6" xr3:uid="{00000000-0010-0000-1A00-000006000000}" name="Literacy and Numeracy Per FTE" totalsRowFunction="sum" dataDxfId="1329" totalsRowDxfId="1328">
      <calculatedColumnFormula>Table25[[#This Row],[Total Eligible FTE]]*FundingRate_LitNumperFTE</calculatedColumnFormula>
    </tableColumn>
    <tableColumn id="7" xr3:uid="{00000000-0010-0000-1A00-000007000000}" name="RRTL Salary Allolcation" totalsRowLabel=" $63,250 " dataDxfId="1327" totalsRowDxfId="1326"/>
    <tableColumn id="8" xr3:uid="{00000000-0010-0000-1A00-000008000000}" name="RRTL Travel Allocation by School" totalsRowFunction="sum" dataDxfId="1325" totalsRowDxfId="1324" dataCellStyle="Currency">
      <calculatedColumnFormula>INDEX(Table135[2017-18 Travel Rate],MATCH(Table25[[#This Row],[Band '#]],Table135[Recipient/Band No.],0))</calculatedColumnFormula>
    </tableColumn>
    <tableColumn id="9" xr3:uid="{00000000-0010-0000-1A00-000009000000}" name="TOTAL" totalsRowFunction="custom" dataDxfId="1323" totalsRowDxfId="1322">
      <calculatedColumnFormula>ROUND(SUM(Table25[[#This Row],[Literacy and Numeracy Per FTE]:[RRTL Travel Allocation by School]]),0)</calculatedColumnFormula>
      <totalsRowFormula>Table25[[#Totals],[Literacy and Numeracy Per FTE]]+Table25[[#Totals],[RRTL Salary Allolcation]]+Table25[[#Totals],[RRTL Travel Allocation by School]]</totalsRowFormula>
    </tableColumn>
    <tableColumn id="10" xr3:uid="{1CF66AA0-10F8-D442-9C96-7486BBBCD0C6}" name="Column1" dataDxfId="1321">
      <calculatedColumnFormula>Table25[[#This Row],[TOTAL]]/Table25[[#This Row],[Total Eligible FTE]]</calculatedColumnFormula>
    </tableColumn>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B000000}" name="Table26" displayName="Table26" ref="A10:F23" totalsRowCount="1" headerRowDxfId="1320" headerRowBorderDxfId="1319">
  <autoFilter ref="A10:F22" xr:uid="{00000000-0009-0000-0100-00001A000000}"/>
  <tableColumns count="6">
    <tableColumn id="1" xr3:uid="{00000000-0010-0000-1B00-000001000000}" name="Band #" totalsRowLabel="Total">
      <calculatedColumnFormula>'A. 20-21 FN Schools Data'!A7</calculatedColumnFormula>
    </tableColumn>
    <tableColumn id="2" xr3:uid="{00000000-0010-0000-1B00-000002000000}" name="First Nation">
      <calculatedColumnFormula>'A. 20-21 FN Schools Data'!B7</calculatedColumnFormula>
    </tableColumn>
    <tableColumn id="3" xr3:uid="{00000000-0010-0000-1B00-000003000000}" name="School #">
      <calculatedColumnFormula>'A. 20-21 FN Schools Data'!C7</calculatedColumnFormula>
    </tableColumn>
    <tableColumn id="4" xr3:uid="{00000000-0010-0000-1B00-000004000000}" name="School Name">
      <calculatedColumnFormula>'A. 20-21 FN Schools Data'!D7</calculatedColumnFormula>
    </tableColumn>
    <tableColumn id="5" xr3:uid="{00000000-0010-0000-1B00-000005000000}" name="School Type" dataDxfId="1318">
      <calculatedColumnFormula>INDEX(TableAFNSchools[School/ Program Type],MATCH(Table26[[#This Row],[School '#]],TableAFNSchools[School No.],0))</calculatedColumnFormula>
    </tableColumn>
    <tableColumn id="6" xr3:uid="{00000000-0010-0000-1B00-000006000000}" name="TOTAL" totalsRowFunction="sum" dataDxfId="1317" totalsRowDxfId="1316">
      <calculatedColumnFormula>FundingRate_SusDev</calculatedColumnFormula>
    </tableColumn>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1C000000}" name="Table1050" displayName="Table1050" ref="A4:M17" totalsRowCount="1">
  <autoFilter ref="A4:M16" xr:uid="{00000000-0009-0000-0100-000031000000}"/>
  <tableColumns count="13">
    <tableColumn id="1" xr3:uid="{00000000-0010-0000-1C00-000001000000}" name="Recipient No." totalsRowLabel="Total" dataDxfId="1315"/>
    <tableColumn id="2" xr3:uid="{00000000-0010-0000-1C00-000002000000}" name="Recipient Name" dataDxfId="1314"/>
    <tableColumn id="16" xr3:uid="{00000000-0010-0000-1C00-000010000000}" name="Band no"/>
    <tableColumn id="17" xr3:uid="{00000000-0010-0000-1C00-000011000000}" name="Band Name"/>
    <tableColumn id="3" xr3:uid="{00000000-0010-0000-1C00-000003000000}" name="Band-Op Head Count" totalsRowFunction="sum" dataDxfId="1313"/>
    <tableColumn id="5" xr3:uid="{00000000-0010-0000-1C00-000005000000}" name="Number of programs" totalsRowFunction="sum" dataDxfId="1312">
      <calculatedColumnFormula>SUMIF($AH$5:$AH$15,Table1050[[#This Row],[Recipient No.]],$AK$5:$AK$15)</calculatedColumnFormula>
    </tableColumn>
    <tableColumn id="18" xr3:uid="{00000000-0010-0000-1C00-000012000000}" name="New program in 2022-23"/>
    <tableColumn id="6" xr3:uid="{00000000-0010-0000-1C00-000006000000}" name="Pad Cost" totalsRowFunction="sum" dataDxfId="1311" totalsRowDxfId="1310">
      <calculatedColumnFormula>E5/3*'Menstrual Product Data'!$D$56</calculatedColumnFormula>
    </tableColumn>
    <tableColumn id="7" xr3:uid="{00000000-0010-0000-1C00-000007000000}" name="Tampon Cost" totalsRowFunction="sum" dataDxfId="1309" totalsRowDxfId="1308">
      <calculatedColumnFormula>E5/3*'Menstrual Product Data'!$D$65</calculatedColumnFormula>
    </tableColumn>
    <tableColumn id="8" xr3:uid="{00000000-0010-0000-1C00-000008000000}" name="Cup Cost" totalsRowFunction="sum" dataDxfId="1307" totalsRowDxfId="1306">
      <calculatedColumnFormula>E5/3*'Menstrual Product Data'!$D$76</calculatedColumnFormula>
    </tableColumn>
    <tableColumn id="9" xr3:uid="{00000000-0010-0000-1C00-000009000000}" name="Dispenser cost" totalsRowFunction="sum" dataDxfId="1305" totalsRowDxfId="1304">
      <calculatedColumnFormula>IF('Menstrual Products'!$G5="Yes",F5*600,0)</calculatedColumnFormula>
    </tableColumn>
    <tableColumn id="15" xr3:uid="{00000000-0010-0000-1C00-00000F000000}" name="First Nation School Total" totalsRowFunction="sum" dataDxfId="1303" totalsRowDxfId="1302">
      <calculatedColumnFormula>ROUND(SUM(Table1050[[#This Row],[Pad Cost]:[Dispenser cost]]),0)</calculatedColumnFormula>
    </tableColumn>
    <tableColumn id="4" xr3:uid="{22502DBA-4EB7-3140-AC3A-98BA7D33CF4D}" name="Column1" dataDxfId="1301">
      <calculatedColumnFormula>Table1050[[#This Row],[First Nation School Total]]/Table1050[[#This Row],[Band-Op Head Count]]</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1D000000}" name="Table54" displayName="Table54" ref="N4:T16" totalsRowCount="1" headerRowDxfId="1300">
  <autoFilter ref="N4:T15" xr:uid="{00000000-0009-0000-0100-000036000000}"/>
  <tableColumns count="7">
    <tableColumn id="1" xr3:uid="{00000000-0010-0000-1D00-000001000000}" name="Band no" totalsRowLabel="Total" dataDxfId="1299" totalsRowDxfId="1298" dataCellStyle="Comma"/>
    <tableColumn id="2" xr3:uid="{00000000-0010-0000-1D00-000002000000}" name="Band Name" dataDxfId="1297" totalsRowDxfId="1296"/>
    <tableColumn id="3" xr3:uid="{00000000-0010-0000-1D00-000003000000}" name="Prov/Private NR" dataDxfId="1295" totalsRowDxfId="1294" dataCellStyle="Comma">
      <calculatedColumnFormula>INDEX('[22]Menstrual Products'!P$5:P$67,MATCH(N5,'[22]Menstrual Products'!N$5:N$68,0))</calculatedColumnFormula>
    </tableColumn>
    <tableColumn id="4" xr3:uid="{00000000-0010-0000-1D00-000004000000}" name="Pad Cost2" dataDxfId="1293">
      <calculatedColumnFormula>P5/3*'Menstrual Product Data'!$D$56</calculatedColumnFormula>
    </tableColumn>
    <tableColumn id="5" xr3:uid="{00000000-0010-0000-1D00-000005000000}" name="Tampon Cost3" dataDxfId="1292">
      <calculatedColumnFormula>P5/3*'Menstrual Product Data'!$D$65</calculatedColumnFormula>
    </tableColumn>
    <tableColumn id="6" xr3:uid="{00000000-0010-0000-1D00-000006000000}" name="Cup Cost4" dataDxfId="1291">
      <calculatedColumnFormula>P5/3*'Menstrual Product Data'!$D$76</calculatedColumnFormula>
    </tableColumn>
    <tableColumn id="7" xr3:uid="{00000000-0010-0000-1D00-000007000000}" name="Provincial School Total " totalsRowFunction="sum" dataDxfId="1290" totalsRowDxfId="1289">
      <calculatedColumnFormula>ROUND(SUM(Q5:S5),0)</calculatedColumnFormula>
    </tableColumn>
  </tableColumns>
  <tableStyleInfo name="TableStyleLight1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1E000000}" name="Table151" displayName="Table151" ref="A11:F24" totalsRowCount="1" headerRowDxfId="1288" headerRowCellStyle="Normal">
  <autoFilter ref="A11:F23" xr:uid="{00000000-0009-0000-0100-000032000000}"/>
  <tableColumns count="6">
    <tableColumn id="1" xr3:uid="{00000000-0010-0000-1E00-000001000000}" name="Band #" totalsRowLabel="Total" dataDxfId="1287" totalsRowDxfId="1286">
      <calculatedColumnFormula>'A. 20-21 FN Schools Data'!A7</calculatedColumnFormula>
    </tableColumn>
    <tableColumn id="2" xr3:uid="{00000000-0010-0000-1E00-000002000000}" name="First Nation" dataDxfId="1285">
      <calculatedColumnFormula>'A. 20-21 FN Schools Data'!B7</calculatedColumnFormula>
    </tableColumn>
    <tableColumn id="3" xr3:uid="{00000000-0010-0000-1E00-000003000000}" name="School #" dataDxfId="1284" totalsRowDxfId="1283">
      <calculatedColumnFormula>'A. 20-21 FN Schools Data'!C7</calculatedColumnFormula>
    </tableColumn>
    <tableColumn id="4" xr3:uid="{00000000-0010-0000-1E00-000004000000}" name="School Name" dataDxfId="1282">
      <calculatedColumnFormula>'A. 20-21 FN Schools Data'!D7</calculatedColumnFormula>
    </tableColumn>
    <tableColumn id="5" xr3:uid="{00000000-0010-0000-1E00-000005000000}" name="Eligible FTE" totalsRowFunction="sum" dataDxfId="1281" totalsRowDxfId="1280" dataCellStyle="Comma">
      <calculatedColumnFormula>INDEX(TableAFNSchools[Total Funded FTE],MATCH(Table151[[#This Row],[School '#]],TableAFNSchools[School No.],0))</calculatedColumnFormula>
    </tableColumn>
    <tableColumn id="7" xr3:uid="{00000000-0010-0000-1E00-000007000000}" name="TOTAL TAX BASE" totalsRowFunction="sum" dataDxfId="1279" totalsRowDxfId="1278" dataCellStyle="Currency">
      <calculatedColumnFormula>ROUND(Table151[[#This Row],[Eligible FTE]]*$B$8,0)</calculatedColumnFormula>
    </tableColumn>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1F000000}" name="Table15152" displayName="Table15152" ref="A11:F24" totalsRowCount="1" headerRowDxfId="1277" headerRowCellStyle="Normal">
  <autoFilter ref="A11:F23" xr:uid="{00000000-0009-0000-0100-000033000000}"/>
  <tableColumns count="6">
    <tableColumn id="1" xr3:uid="{00000000-0010-0000-1F00-000001000000}" name="Band #" totalsRowLabel="Total" dataDxfId="1276" totalsRowDxfId="1275">
      <calculatedColumnFormula>'A. 20-21 FN Schools Data'!A7</calculatedColumnFormula>
    </tableColumn>
    <tableColumn id="2" xr3:uid="{00000000-0010-0000-1F00-000002000000}" name="First Nation" dataDxfId="1274">
      <calculatedColumnFormula>'A. 20-21 FN Schools Data'!B7</calculatedColumnFormula>
    </tableColumn>
    <tableColumn id="3" xr3:uid="{00000000-0010-0000-1F00-000003000000}" name="School #" dataDxfId="1273" totalsRowDxfId="1272">
      <calculatedColumnFormula>'A. 20-21 FN Schools Data'!C7</calculatedColumnFormula>
    </tableColumn>
    <tableColumn id="4" xr3:uid="{00000000-0010-0000-1F00-000004000000}" name="School Name" dataDxfId="1271">
      <calculatedColumnFormula>'A. 20-21 FN Schools Data'!D7</calculatedColumnFormula>
    </tableColumn>
    <tableColumn id="5" xr3:uid="{00000000-0010-0000-1F00-000005000000}" name="Eligible FTE" totalsRowFunction="sum" dataDxfId="1270" totalsRowDxfId="1269" dataCellStyle="Comma">
      <calculatedColumnFormula>INDEX(TableAFNSchools[Total Funded FTE],MATCH(Table15152[[#This Row],[School '#]],TableAFNSchools[School No.],0))</calculatedColumnFormula>
    </tableColumn>
    <tableColumn id="7" xr3:uid="{00000000-0010-0000-1F00-000007000000}" name="TOTAL TAX BASE" totalsRowFunction="sum" dataDxfId="1268" totalsRowDxfId="1267" dataCellStyle="Currency">
      <calculatedColumnFormula>Table15152[[#This Row],[Eligible FTE]]*$B$8</calculatedColumnFormula>
    </tableColumn>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20000000}" name="Table27" displayName="Table27" ref="A10:K23" totalsRowCount="1" headerRowDxfId="1266" headerRowBorderDxfId="1265">
  <autoFilter ref="A10:K22" xr:uid="{00000000-0009-0000-0100-00001B000000}"/>
  <tableColumns count="11">
    <tableColumn id="1" xr3:uid="{00000000-0010-0000-2000-000001000000}" name="Band #" totalsRowLabel="Total">
      <calculatedColumnFormula>'A. 20-21 FN Schools Data'!A7</calculatedColumnFormula>
    </tableColumn>
    <tableColumn id="2" xr3:uid="{00000000-0010-0000-2000-000002000000}" name="First Nation">
      <calculatedColumnFormula>'A. 20-21 FN Schools Data'!B7</calculatedColumnFormula>
    </tableColumn>
    <tableColumn id="3" xr3:uid="{00000000-0010-0000-2000-000003000000}" name="School #">
      <calculatedColumnFormula>'A. 20-21 FN Schools Data'!C7</calculatedColumnFormula>
    </tableColumn>
    <tableColumn id="4" xr3:uid="{00000000-0010-0000-2000-000004000000}" name="School Name">
      <calculatedColumnFormula>'A. 20-21 FN Schools Data'!D7</calculatedColumnFormula>
    </tableColumn>
    <tableColumn id="5" xr3:uid="{00000000-0010-0000-2000-000005000000}" name="School Size in Sq. M." dataDxfId="1264" totalsRowDxfId="1263" dataCellStyle="Comma">
      <calculatedColumnFormula>INDEX(TableAFNSchools[School size],MATCH(Table27[[#This Row],[School '#]],TableAFNSchools[School No.],0))</calculatedColumnFormula>
    </tableColumn>
    <tableColumn id="6" xr3:uid="{00000000-0010-0000-2000-000006000000}" name="Grade 9-12 Headcount &amp; Ungradable Second." totalsRowFunction="sum" dataDxfId="1262">
      <calculatedColumnFormula>INDEX(TableAFNSchools[Gr. 9-12 HC and Ungradeable ],MATCH(Table27[[#This Row],[School '#]],TableAFNSchools[School No.],0))</calculatedColumnFormula>
    </tableColumn>
    <tableColumn id="7" xr3:uid="{00000000-0010-0000-2000-000007000000}" name="Grade 7-12 &amp; Ungradable Second. Headcount" totalsRowFunction="sum" dataDxfId="1261">
      <calculatedColumnFormula>INDEX(TableAFNSchools[Gr. 7-12 HC and Ungradeable],MATCH(Table27[[#This Row],[School '#]],TableAFNSchools[School No.],0))</calculatedColumnFormula>
    </tableColumn>
    <tableColumn id="8" xr3:uid="{00000000-0010-0000-2000-000008000000}" name="School Building Support Total" totalsRowFunction="sum" dataDxfId="1260" totalsRowDxfId="1259">
      <calculatedColumnFormula>ROUND(Table27[[#This Row],[School Size in Sq. M.]]*FundingRate_MinCapSqM,0)</calculatedColumnFormula>
    </tableColumn>
    <tableColumn id="9" xr3:uid="{00000000-0010-0000-2000-000009000000}" name="TEER Total" totalsRowFunction="sum" dataDxfId="1258" totalsRowDxfId="1257">
      <calculatedColumnFormula>ROUND(Table27[[#This Row],[Grade 9-12 Headcount &amp; Ungradable Second.]]*FundingRate_MinCapTEER,0)</calculatedColumnFormula>
    </tableColumn>
    <tableColumn id="10" xr3:uid="{00000000-0010-0000-2000-00000A000000}" name="SSEEF Total" totalsRowFunction="sum" dataDxfId="1256" totalsRowDxfId="1255">
      <calculatedColumnFormula>ROUND(Table27[[#This Row],[Grade 7-12 &amp; Ungradable Second. Headcount]]*FundingRate_MinCapSSEEF,0)</calculatedColumnFormula>
    </tableColumn>
    <tableColumn id="11" xr3:uid="{00000000-0010-0000-2000-00000B000000}" name="TOTAL" totalsRowFunction="sum" dataDxfId="1254" totalsRowDxfId="1253">
      <calculatedColumnFormula>ROUND(SUM(Table27[[#This Row],[School Building Support Total]:[SSEEF Total]]),0)</calculatedColumnFormula>
    </tableColumn>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21000000}" name="Table28" displayName="Table28" ref="A10:G23" totalsRowCount="1" headerRowDxfId="1252" headerRowBorderDxfId="1251">
  <autoFilter ref="A10:G22" xr:uid="{00000000-0009-0000-0100-00001C000000}"/>
  <tableColumns count="7">
    <tableColumn id="1" xr3:uid="{00000000-0010-0000-2100-000001000000}" name="Band #" totalsRowLabel="Total">
      <calculatedColumnFormula>'A. 20-21 FN Schools Data'!A7</calculatedColumnFormula>
    </tableColumn>
    <tableColumn id="2" xr3:uid="{00000000-0010-0000-2100-000002000000}" name="First Nation">
      <calculatedColumnFormula>'A. 20-21 FN Schools Data'!B7</calculatedColumnFormula>
    </tableColumn>
    <tableColumn id="3" xr3:uid="{00000000-0010-0000-2100-000003000000}" name="School #">
      <calculatedColumnFormula>'A. 20-21 FN Schools Data'!C7</calculatedColumnFormula>
    </tableColumn>
    <tableColumn id="4" xr3:uid="{00000000-0010-0000-2100-000004000000}" name="School Name">
      <calculatedColumnFormula>'A. 20-21 FN Schools Data'!D7</calculatedColumnFormula>
    </tableColumn>
    <tableColumn id="5" xr3:uid="{00000000-0010-0000-2100-000005000000}" name="Total Eligible Headcount" totalsRowFunction="sum" dataDxfId="1250" totalsRowDxfId="1249" dataCellStyle="Comma">
      <calculatedColumnFormula>INDEX(TableAFNSchools[Total Headcount],MATCH(Table28[[#This Row],[School '#]],TableAFNSchools[School No.],0))</calculatedColumnFormula>
    </tableColumn>
    <tableColumn id="7" xr3:uid="{00000000-0010-0000-2100-000007000000}" name="Proximate School Divison " dataDxfId="1248" totalsRowDxfId="1247">
      <calculatedColumnFormula>INDEX(TableAFNSchools[Proximate Provincial School Division],MATCH(Table28[[#This Row],[School '#]],TableAFNSchools[School No.],0))</calculatedColumnFormula>
    </tableColumn>
    <tableColumn id="8" xr3:uid="{00000000-0010-0000-2100-000008000000}" name="Envelope Allocation" totalsRowFunction="sum" dataDxfId="1246" totalsRowDxfId="1245" dataCellStyle="Comma">
      <calculatedColumnFormula>ROUND(Table28[[#This Row],[Total Eligible Headcount]]*(INDEX($S$5:$S$16,MATCH(Table28[[#This Row],[Proximate School Divison ]],$K$5:$K$16,0))),0)</calculatedColumnFormula>
    </tableColumn>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2000000}" name="Table29" displayName="Table29" ref="A10:F23" totalsRowCount="1" headerRowDxfId="1244" headerRowBorderDxfId="1243">
  <autoFilter ref="A10:F22" xr:uid="{00000000-0009-0000-0100-00001D000000}"/>
  <tableColumns count="6">
    <tableColumn id="1" xr3:uid="{00000000-0010-0000-2200-000001000000}" name="Band #" totalsRowLabel="Total">
      <calculatedColumnFormula>'A. 20-21 FN Schools Data'!A7</calculatedColumnFormula>
    </tableColumn>
    <tableColumn id="2" xr3:uid="{00000000-0010-0000-2200-000002000000}" name="First Nation">
      <calculatedColumnFormula>'A. 20-21 FN Schools Data'!B7</calculatedColumnFormula>
    </tableColumn>
    <tableColumn id="3" xr3:uid="{00000000-0010-0000-2200-000003000000}" name="School #">
      <calculatedColumnFormula>'A. 20-21 FN Schools Data'!C7</calculatedColumnFormula>
    </tableColumn>
    <tableColumn id="4" xr3:uid="{00000000-0010-0000-2200-000004000000}" name="School Name">
      <calculatedColumnFormula>'A. 20-21 FN Schools Data'!D7</calculatedColumnFormula>
    </tableColumn>
    <tableColumn id="5" xr3:uid="{00000000-0010-0000-2200-000005000000}" name="Total Eligible FTE" totalsRowFunction="sum" dataDxfId="1242" totalsRowDxfId="1241" dataCellStyle="Comma">
      <calculatedColumnFormula>INDEX(TableAFNSchools[Total Funded FTE],MATCH(Table29[[#This Row],[School '#]],TableAFNSchools[School No.],0))</calculatedColumnFormula>
    </tableColumn>
    <tableColumn id="6" xr3:uid="{00000000-0010-0000-2200-000006000000}" name="TOTAL" totalsRowFunction="sum" dataDxfId="1240" totalsRowDxfId="1239">
      <calculatedColumnFormula>ROUND(Table29[[#This Row],[Total Eligible FTE]]*FundingRate_OtherRevProxy,0)</calculatedColumnFormula>
    </tableColumn>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3000000}" name="Table30" displayName="Table30" ref="A10:D22" totalsRowCount="1" headerRowDxfId="1238" headerRowBorderDxfId="1237">
  <autoFilter ref="A10:D21" xr:uid="{00000000-0009-0000-0100-00001E000000}"/>
  <tableColumns count="4">
    <tableColumn id="1" xr3:uid="{00000000-0010-0000-2300-000001000000}" name="Band #" totalsRowLabel="Total" dataDxfId="1236">
      <calculatedColumnFormula>'D. 19-20 Enrolment by FN'!A7</calculatedColumnFormula>
    </tableColumn>
    <tableColumn id="2" xr3:uid="{00000000-0010-0000-2300-000002000000}" name="First Nation">
      <calculatedColumnFormula>'D. 19-20 Enrolment by FN'!B7</calculatedColumnFormula>
    </tableColumn>
    <tableColumn id="5" xr3:uid="{00000000-0010-0000-2300-000005000000}" name="Total Base Support Funding" totalsRowFunction="sum" dataDxfId="1235" totalsRowDxfId="1234" dataCellStyle="Currency">
      <calculatedColumnFormula>Table31[[#This Row],[BASE SUPPORT SUBTOTAL]]</calculatedColumnFormula>
    </tableColumn>
    <tableColumn id="6" xr3:uid="{00000000-0010-0000-2300-000006000000}" name="TOTAL PENSIONS" totalsRowFunction="sum" dataDxfId="1233" totalsRowDxfId="1232" dataCellStyle="Currency">
      <calculatedColumnFormula>ROUND(Table30[[#This Row],[Total Base Support Funding]]*PensionContrPercent,0)</calculatedColumnFormula>
    </tableColumn>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4000000}" name="Table35" displayName="Table35" ref="A12:N60" totalsRowCount="1" dataDxfId="1230" headerRowBorderDxfId="1231" dataCellStyle="Currency">
  <autoFilter ref="A12:N59" xr:uid="{00000000-0009-0000-0100-000023000000}"/>
  <sortState xmlns:xlrd2="http://schemas.microsoft.com/office/spreadsheetml/2017/richdata2" ref="A11:L71">
    <sortCondition ref="A10:A71"/>
  </sortState>
  <tableColumns count="14">
    <tableColumn id="1" xr3:uid="{00000000-0010-0000-2400-000001000000}" name="Band No." totalsRowLabel="Total" dataDxfId="1229">
      <calculatedColumnFormula>'B. 20-21 Prov&amp;Priv Enrolment&lt;22'!#REF!</calculatedColumnFormula>
    </tableColumn>
    <tableColumn id="2" xr3:uid="{00000000-0010-0000-2400-000002000000}" name="First Nation of Residence" dataDxfId="1228">
      <calculatedColumnFormula>'B. 20-21 Prov&amp;Priv Enrolment&lt;22'!#REF!</calculatedColumnFormula>
    </tableColumn>
    <tableColumn id="5" xr3:uid="{00000000-0010-0000-2400-000005000000}" name="School No." dataDxfId="1227">
      <calculatedColumnFormula>'B. 20-21 Prov&amp;Priv Enrolment&lt;22'!#REF!</calculatedColumnFormula>
    </tableColumn>
    <tableColumn id="6" xr3:uid="{00000000-0010-0000-2400-000006000000}" name="School Name" dataDxfId="1226">
      <calculatedColumnFormula>'B. 20-21 Prov&amp;Priv Enrolment&lt;22'!#REF!</calculatedColumnFormula>
    </tableColumn>
    <tableColumn id="16" xr3:uid="{00000000-0010-0000-2400-000010000000}" name="Total &lt;22 Prov&amp;Priv FTE" totalsRowFunction="sum" dataDxfId="1225" totalsRowDxfId="1224">
      <calculatedColumnFormula>'B. 20-21 Prov&amp;Priv Enrolment&lt;22'!#REF!</calculatedColumnFormula>
    </tableColumn>
    <tableColumn id="9" xr3:uid="{00000000-0010-0000-2400-000009000000}" name="District of the School Attended" dataDxfId="1223" totalsRowDxfId="1222">
      <calculatedColumnFormula>'B. 20-21 Prov&amp;Priv Enrolment&lt;22'!#REF!</calculatedColumnFormula>
    </tableColumn>
    <tableColumn id="10" xr3:uid="{00000000-0010-0000-2400-00000A000000}" name="Proximate Public School District to First Nation of Residence" dataDxfId="1221">
      <calculatedColumnFormula>'B. 20-21 Prov&amp;Priv Enrolment&lt;22'!#REF!</calculatedColumnFormula>
    </tableColumn>
    <tableColumn id="11" xr3:uid="{00000000-0010-0000-2400-00000B000000}" name="Base Tuition Rate" dataDxfId="1220" totalsRowDxfId="1219" dataCellStyle="Currency">
      <calculatedColumnFormula>IFERROR(INDEX('G2. 20-21 Prov Tuition Rates'!$N$7:$N$42,MATCH(Table35[[#This Row],[District of the School Attended]],'G2. 20-21 Prov Tuition Rates'!$B$7:$B$42,0)),0)</calculatedColumnFormula>
    </tableColumn>
    <tableColumn id="12" xr3:uid="{00000000-0010-0000-2400-00000C000000}" name="Proximate Tuition Rate for Adult Centres, Private and Unaffiliated Schools" dataDxfId="1218" totalsRowDxfId="1217" dataCellStyle="Currency">
      <calculatedColumnFormula>IF(H13=0,INDEX('G2. 20-21 Prov Tuition Rates'!$N$7:$N$42,MATCH(Table35[[#This Row],[Proximate Public School District to First Nation of Residence]],'G2. 20-21 Prov Tuition Rates'!$A$7:$A$42,0)),0)</calculatedColumnFormula>
    </tableColumn>
    <tableColumn id="13" xr3:uid="{00000000-0010-0000-2400-00000D000000}" name="BASE TUITION" totalsRowFunction="sum" dataDxfId="1216" totalsRowDxfId="1215" dataCellStyle="Currency">
      <calculatedColumnFormula>ROUND(IF(Table35[[#This Row],[Base Tuition Rate]]=0,Table35[[#This Row],[Total &lt;22 Prov&amp;Priv FTE]]*Table35[[#This Row],[Proximate Tuition Rate for Adult Centres, Private and Unaffiliated Schools]],Table35[[#This Row],[Total &lt;22 Prov&amp;Priv FTE]]*Table35[[#This Row],[Base Tuition Rate]]),0)</calculatedColumnFormula>
    </tableColumn>
    <tableColumn id="14" xr3:uid="{00000000-0010-0000-2400-00000E000000}" name="SPEC ED TUITION" totalsRowFunction="sum" dataDxfId="1214" totalsRowDxfId="1213">
      <calculatedColumnFormula>ROUND(IF(Table35[[#This Row],[District of the School Attended]]="Adult",0,Table35[[#This Row],[Total &lt;22 Prov&amp;Priv FTE]]*$D$7),0)</calculatedColumnFormula>
    </tableColumn>
    <tableColumn id="15" xr3:uid="{00000000-0010-0000-2400-00000F000000}" name="TOTAL Tuition Funding" totalsRowFunction="sum" dataDxfId="1212" totalsRowDxfId="1211">
      <calculatedColumnFormula>SUM(J13:K13)</calculatedColumnFormula>
    </tableColumn>
    <tableColumn id="3" xr3:uid="{00000000-0010-0000-2400-000003000000}" name="Tuition Administration Support " totalsRowFunction="sum" dataDxfId="1210" totalsRowDxfId="1209" dataCellStyle="Currency">
      <calculatedColumnFormula>ROUND($D$10*Table35[[#This Row],[TOTAL Tuition Funding]],0)</calculatedColumnFormula>
    </tableColumn>
    <tableColumn id="4" xr3:uid="{00000000-0010-0000-2400-000004000000}" name="Provincial Student Supports" totalsRowFunction="sum" dataDxfId="1208" totalsRowDxfId="1207" dataCellStyle="Currency">
      <calculatedColumnFormula>$D$9*Table35[[#This Row],[Total &lt;22 Prov&amp;Priv FTE]]</calculatedColumnFormula>
    </tableColumn>
  </tableColumns>
  <tableStyleInfo name="Table Style 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5000000}" name="Table42" displayName="Table42" ref="A10:O12" totalsRowCount="1" headerRowDxfId="1206" headerRowBorderDxfId="1205" tableBorderDxfId="1204">
  <autoFilter ref="A10:O11" xr:uid="{00000000-0009-0000-0100-00002A000000}"/>
  <tableColumns count="15">
    <tableColumn id="1" xr3:uid="{00000000-0010-0000-2500-000001000000}" name="Band No." totalsRowLabel="Total" dataDxfId="1203">
      <calculatedColumnFormula>'C. 20-21 Prov&amp;Priv 22+'!A7</calculatedColumnFormula>
    </tableColumn>
    <tableColumn id="2" xr3:uid="{00000000-0010-0000-2500-000002000000}" name="First Nation of Residence" dataDxfId="1202">
      <calculatedColumnFormula>'C. 20-21 Prov&amp;Priv 22+'!B7</calculatedColumnFormula>
    </tableColumn>
    <tableColumn id="5" xr3:uid="{00000000-0010-0000-2500-000005000000}" name="School No." dataDxfId="1201">
      <calculatedColumnFormula>'C. 20-21 Prov&amp;Priv 22+'!C7</calculatedColumnFormula>
    </tableColumn>
    <tableColumn id="6" xr3:uid="{00000000-0010-0000-2500-000006000000}" name="School Name" dataDxfId="1200">
      <calculatedColumnFormula>'C. 20-21 Prov&amp;Priv 22+'!D7</calculatedColumnFormula>
    </tableColumn>
    <tableColumn id="7" xr3:uid="{00000000-0010-0000-2500-000007000000}" name="School Type" dataDxfId="1199">
      <calculatedColumnFormula>'C. 20-21 Prov&amp;Priv 22+'!E7</calculatedColumnFormula>
    </tableColumn>
    <tableColumn id="8" xr3:uid="{00000000-0010-0000-2500-000008000000}" name="Total Prov &amp; Priv FTE 22+" totalsRowFunction="sum" dataDxfId="1198">
      <calculatedColumnFormula>'C. 20-21 Prov&amp;Priv 22+'!Q7</calculatedColumnFormula>
    </tableColumn>
    <tableColumn id="9" xr3:uid="{00000000-0010-0000-2500-000009000000}" name="District of the School Attended" dataDxfId="1197">
      <calculatedColumnFormula>'C. 20-21 Prov&amp;Priv 22+'!AJ7</calculatedColumnFormula>
    </tableColumn>
    <tableColumn id="10" xr3:uid="{00000000-0010-0000-2500-00000A000000}" name="Proximate Public School District to First Nation of Residence" dataDxfId="1196">
      <calculatedColumnFormula>'C. 20-21 Prov&amp;Priv 22+'!AK7</calculatedColumnFormula>
    </tableColumn>
    <tableColumn id="11" xr3:uid="{00000000-0010-0000-2500-00000B000000}" name="Base Tuition Rate" dataDxfId="1195" dataCellStyle="Currency">
      <calculatedColumnFormula>IFERROR(INDEX('G2. 20-21 Prov Tuition Rates'!$N$7:$N$42,MATCH(Table42[[#This Row],[District of the School Attended]],'G2. 20-21 Prov Tuition Rates'!$B$7:$B$42,0)),0)</calculatedColumnFormula>
    </tableColumn>
    <tableColumn id="12" xr3:uid="{00000000-0010-0000-2500-00000C000000}" name="Proximate Tuition Rate for Adult Centres, Private and Unaffiliated Schools" dataDxfId="1194" dataCellStyle="Currency">
      <calculatedColumnFormula>IF(I11=0,INDEX('G2. 20-21 Prov Tuition Rates'!$N$7:$N$42,MATCH(Table42[[#This Row],[Proximate Public School District to First Nation of Residence]],'G2. 20-21 Prov Tuition Rates'!$A$7:$A$42,0)),0)</calculatedColumnFormula>
    </tableColumn>
    <tableColumn id="13" xr3:uid="{00000000-0010-0000-2500-00000D000000}" name="Total BASE TUITION 22+" totalsRowFunction="sum" dataDxfId="1193" totalsRowDxfId="1192" dataCellStyle="Currency">
      <calculatedColumnFormula>ROUND(IF(Table42[[#This Row],[Base Tuition Rate]]=0,Table42[[#This Row],[Total Prov &amp; Priv FTE 22+]]*Table42[[#This Row],[Proximate Tuition Rate for Adult Centres, Private and Unaffiliated Schools]],Table42[[#This Row],[Total Prov &amp; Priv FTE 22+]]*Table42[[#This Row],[Base Tuition Rate]]),0)</calculatedColumnFormula>
    </tableColumn>
    <tableColumn id="3" xr3:uid="{00000000-0010-0000-2500-000003000000}" name="SPEC ED TUITION" totalsRowFunction="sum" dataDxfId="1191" totalsRowDxfId="1190" dataCellStyle="Currency">
      <calculatedColumnFormula>ROUND(IF(Table42[[#This Row],[District of the School Attended]]="Adult",0,Table42[[#This Row],[Total Prov &amp; Priv FTE 22+]]*$D$7),0)</calculatedColumnFormula>
    </tableColumn>
    <tableColumn id="4" xr3:uid="{00000000-0010-0000-2500-000004000000}" name="TOTAL Tuition Funding" totalsRowFunction="sum" totalsRowDxfId="1189" dataCellStyle="Currency">
      <calculatedColumnFormula>SUM(K11:L11)</calculatedColumnFormula>
    </tableColumn>
    <tableColumn id="14" xr3:uid="{00000000-0010-0000-2500-00000E000000}" name="Tuition Administration Support " totalsRowFunction="sum" dataDxfId="1188" totalsRowDxfId="1187" dataCellStyle="Currency">
      <calculatedColumnFormula>ROUND(I$6*Table42[[#This Row],[TOTAL Tuition Funding]],0)</calculatedColumnFormula>
    </tableColumn>
    <tableColumn id="15" xr3:uid="{00000000-0010-0000-2500-00000F000000}" name="Provincial Student Supports" totalsRowFunction="sum" dataDxfId="1186" totalsRowDxfId="1185" dataCellStyle="Currency">
      <calculatedColumnFormula>$I$5*Table42[[#This Row],[Total Prov &amp; Priv FTE 22+]]</calculatedColumnFormula>
    </tableColumn>
  </tableColumns>
  <tableStyleInfo name="Table Style 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RANSP" displayName="TRANSP" ref="A10:C22" totalsRowCount="1" headerRowDxfId="1184" headerRowBorderDxfId="1183" headerRowCellStyle="Normal 2">
  <autoFilter ref="A10:C21" xr:uid="{00000000-0009-0000-0100-000027000000}"/>
  <tableColumns count="3">
    <tableColumn id="1" xr3:uid="{00000000-0010-0000-2600-000001000000}" name="Band #" totalsRowLabel="Total">
      <calculatedColumnFormula>'D. 19-20 Enrolment by FN'!A7</calculatedColumnFormula>
    </tableColumn>
    <tableColumn id="2" xr3:uid="{00000000-0010-0000-2600-000002000000}" name="First Nation">
      <calculatedColumnFormula>'D. 19-20 Enrolment by FN'!B7</calculatedColumnFormula>
    </tableColumn>
    <tableColumn id="4" xr3:uid="{00000000-0010-0000-2600-000004000000}" name="2019-20 School Year Allocations" totalsRowFunction="sum" dataDxfId="1182" totalsRowDxfId="1181">
      <calculatedColumnFormula>Table12[[#This Row],[TOTAL TRANSPORTATION]]</calculatedColumnFormula>
    </tableColumn>
  </tableColumns>
  <tableStyleInfo name="Table Style 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27000000}" name="Table12" displayName="Table12" ref="A10:AN22" totalsRowCount="1">
  <autoFilter ref="A10:AN21" xr:uid="{00000000-0009-0000-0100-00000C000000}"/>
  <tableColumns count="40">
    <tableColumn id="1" xr3:uid="{00000000-0010-0000-2700-000001000000}" name="Band #" totalsRowLabel="Total" dataDxfId="1180">
      <calculatedColumnFormula>'D. 19-20 Enrolment by FN'!A7</calculatedColumnFormula>
    </tableColumn>
    <tableColumn id="2" xr3:uid="{00000000-0010-0000-2700-000002000000}" name="First Nation" dataDxfId="1179">
      <calculatedColumnFormula>'D. 19-20 Enrolment by FN'!B7</calculatedColumnFormula>
    </tableColumn>
    <tableColumn id="39" xr3:uid="{00000000-0010-0000-2700-000027000000}" name="Prov K4 Headcount" totalsRowFunction="sum" dataDxfId="1178">
      <calculatedColumnFormula>'D. 19-20 Enrolment by FN'!BQ7</calculatedColumnFormula>
    </tableColumn>
    <tableColumn id="38" xr3:uid="{00000000-0010-0000-2700-000026000000}" name="Prov K4 Program Type" dataDxfId="1177">
      <calculatedColumnFormula>'D. 19-20 Enrolment by FN'!BR7</calculatedColumnFormula>
    </tableColumn>
    <tableColumn id="5" xr3:uid="{00000000-0010-0000-2700-000005000000}" name="Prov K5 Headcount" totalsRowFunction="sum" dataDxfId="1176">
      <calculatedColumnFormula>'D. 19-20 Enrolment by FN'!BS7</calculatedColumnFormula>
    </tableColumn>
    <tableColumn id="6" xr3:uid="{00000000-0010-0000-2700-000006000000}" name="Prov K5 Program Type" dataDxfId="1175">
      <calculatedColumnFormula>'D. 19-20 Enrolment by FN'!BT7</calculatedColumnFormula>
    </tableColumn>
    <tableColumn id="7" xr3:uid="{00000000-0010-0000-2700-000007000000}" name="Transported Prov Headcount Gr.1-12 &lt;22" totalsRowFunction="sum" dataDxfId="1174">
      <calculatedColumnFormula>'D. 19-20 Enrolment by FN'!BV7</calculatedColumnFormula>
    </tableColumn>
    <tableColumn id="8" xr3:uid="{00000000-0010-0000-2700-000008000000}" name="FN Op K4 Headcount" totalsRowFunction="sum" dataDxfId="1173">
      <calculatedColumnFormula>'D. 19-20 Enrolment by FN'!AB7</calculatedColumnFormula>
    </tableColumn>
    <tableColumn id="9" xr3:uid="{00000000-0010-0000-2700-000009000000}" name="FN K4 Program Type" dataDxfId="1172">
      <calculatedColumnFormula>'D. 19-20 Enrolment by FN'!AY7</calculatedColumnFormula>
    </tableColumn>
    <tableColumn id="10" xr3:uid="{00000000-0010-0000-2700-00000A000000}" name="FN Op K5 Headcount" totalsRowFunction="sum" dataDxfId="1171">
      <calculatedColumnFormula>'D. 19-20 Enrolment by FN'!AC7</calculatedColumnFormula>
    </tableColumn>
    <tableColumn id="11" xr3:uid="{00000000-0010-0000-2700-00000B000000}" name="FN K5 Program Type" dataDxfId="1170">
      <calculatedColumnFormula>'D. 19-20 Enrolment by FN'!AZ7</calculatedColumnFormula>
    </tableColumn>
    <tableColumn id="12" xr3:uid="{00000000-0010-0000-2700-00000C000000}" name="FN Operated Gr. 1-12 &lt;22" totalsRowFunction="sum" dataDxfId="1169" totalsRowDxfId="1168">
      <calculatedColumnFormula>SUM('D. 19-20 Enrolment by FN'!AD7:AQ7)</calculatedColumnFormula>
    </tableColumn>
    <tableColumn id="13" xr3:uid="{00000000-0010-0000-2700-00000D000000}" name="Total Kindergarten Enrolment" totalsRowFunction="sum" dataDxfId="1167">
      <calculatedColumnFormula>Table12[[#This Row],[Prov K4 Headcount]]+Table12[[#This Row],[Prov K5 Headcount]]+Table12[[#This Row],[FN Op K4 Headcount]]+Table12[[#This Row],[FN Op K5 Headcount]]</calculatedColumnFormula>
    </tableColumn>
    <tableColumn id="14" xr3:uid="{00000000-0010-0000-2700-00000E000000}" name="Total Gr. 1-12 Enrolment &lt;22" totalsRowFunction="sum" dataDxfId="1166" totalsRowDxfId="1165">
      <calculatedColumnFormula>Table12[[#This Row],[Transported Prov Headcount Gr.1-12 &lt;22]]+Table12[[#This Row],[FN Operated Gr. 1-12 &lt;22]]</calculatedColumnFormula>
    </tableColumn>
    <tableColumn id="15" xr3:uid="{00000000-0010-0000-2700-00000F000000}" name="TOTAL Headcount Enrolment &lt;22" totalsRowFunction="sum" dataDxfId="1164" totalsRowDxfId="1163">
      <calculatedColumnFormula>SUM(Table12[[#This Row],[Total Kindergarten Enrolment]:[Total Gr. 1-12 Enrolment &lt;22]])</calculatedColumnFormula>
    </tableColumn>
    <tableColumn id="16" xr3:uid="{00000000-0010-0000-2700-000010000000}" name="47-Passenger Buses" totalsRowFunction="sum" dataDxfId="1162" totalsRowDxfId="1161">
      <calculatedColumnFormula>ROUNDUP(IF((Table12[[#This Row],[TOTAL Headcount Enrolment &lt;22]]/47)&gt;6,6,Table12[[#This Row],[TOTAL Headcount Enrolment &lt;22]]/47),0)</calculatedColumnFormula>
    </tableColumn>
    <tableColumn id="17" xr3:uid="{00000000-0010-0000-2700-000011000000}" name="71-Passenger Buses" totalsRowFunction="sum" dataDxfId="1160" totalsRowDxfId="1159">
      <calculatedColumnFormula>ROUNDUP(IF((Table12[[#This Row],[TOTAL Headcount Enrolment &lt;22]]/47)&gt;6,(Table12[[#This Row],[TOTAL Headcount Enrolment &lt;22]]-47*6)/71),0)</calculatedColumnFormula>
    </tableColumn>
    <tableColumn id="18" xr3:uid="{00000000-0010-0000-2700-000012000000}" name="Total Buses &amp; Drivers" totalsRowFunction="sum" dataDxfId="1158" totalsRowDxfId="1157">
      <calculatedColumnFormula>SUM(Table12[[#This Row],[47-Passenger Buses]:[71-Passenger Buses]])</calculatedColumnFormula>
    </tableColumn>
    <tableColumn id="19" xr3:uid="{00000000-0010-0000-2700-000013000000}" name="No. of Buses on Prov Routes" totalsRowFunction="sum" dataDxfId="1156" totalsRowDxfId="1155"/>
    <tableColumn id="20" xr3:uid="{00000000-0010-0000-2700-000014000000}" name="No. of Buses on FN School Routes" totalsRowFunction="sum" dataDxfId="1154" totalsRowDxfId="1153">
      <calculatedColumnFormula>Table12[[#This Row],[Total Buses &amp; Drivers]]-Table12[[#This Row],[No. of Buses on Prov Routes]]</calculatedColumnFormula>
    </tableColumn>
    <tableColumn id="21" xr3:uid="{00000000-0010-0000-2700-000015000000}" name="Students requiring Half-Day Route" totalsRowFunction="sum" dataDxfId="1152" totalsRowDxfId="1151">
      <calculatedColumnFormula>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calculatedColumnFormula>
    </tableColumn>
    <tableColumn id="22" xr3:uid="{00000000-0010-0000-2700-000016000000}" name="Total Half-Day Routes" totalsRowFunction="sum" dataDxfId="1150" totalsRowDxfId="1149">
      <calculatedColumnFormula>ROUNDUP(IF(Table12[[#This Row],[Students requiring Half-Day Route]]/47&gt;6, 6+((Table12[[#This Row],[Students requiring Half-Day Route]]-47)*6)/71, (Table12[[#This Row],[Students requiring Half-Day Route]])/47), 0)</calculatedColumnFormula>
    </tableColumn>
    <tableColumn id="23" xr3:uid="{00000000-0010-0000-2700-000017000000}" name="Half-Day Buses on Prov Routes" totalsRowFunction="sum" dataDxfId="1148" totalsRowDxfId="1147">
      <calculatedColumnFormula>IF(OR(Table12[[#This Row],[Prov K5 Program Type]]="Half-day",Table12[[#This Row],[Prov K4 Program Type]]="Half-day"),1,0)</calculatedColumnFormula>
    </tableColumn>
    <tableColumn id="24" xr3:uid="{00000000-0010-0000-2700-000018000000}" name="Half-Day Buses on FN Routes" totalsRowFunction="sum" dataDxfId="1146" totalsRowDxfId="1145">
      <calculatedColumnFormula>Table12[[#This Row],[Total Half-Day Routes]]-Table12[[#This Row],[Half-Day Buses on Prov Routes]]</calculatedColumnFormula>
    </tableColumn>
    <tableColumn id="25" xr3:uid="{00000000-0010-0000-2700-000019000000}" name="Off-Reserve Kms Prov Schools" totalsRowFunction="sum" dataDxfId="1144" totalsRowDxfId="1143"/>
    <tableColumn id="26" xr3:uid="{00000000-0010-0000-2700-00001A000000}" name="On-Reserve Kms (CAIS)" totalsRowFunction="sum" dataDxfId="1142" totalsRowDxfId="1141"/>
    <tableColumn id="27" xr3:uid="{00000000-0010-0000-2700-00001B000000}" name="Remoteness Factor" dataDxfId="1140" totalsRowDxfId="1139">
      <calculatedColumnFormula array="1">INDEX(TableAFNSchools[Remoteness Index (adjusted for Transportation)],MATCH(Table12[[#This Row],[Band '#]],TableAFNSchools[Band No '#],0))</calculatedColumnFormula>
    </tableColumn>
    <tableColumn id="3" xr3:uid="{00000000-0010-0000-2700-000003000000}" name="Off-Reserve Routes" totalsRowFunction="sum" dataDxfId="1138" totalsRowDxfId="1137" dataCellStyle="Currency">
      <calculatedColumnFormula>ROUND(((Table12[[#This Row],[On-Reserve Kms (CAIS)]]*$AB$6)+Table12[[#This Row],[Off-Reserve Kms Prov Schools]])*Table12[[#This Row],[No. of Buses on Prov Routes]]*$AB$7*2*$X$5,0)</calculatedColumnFormula>
    </tableColumn>
    <tableColumn id="4" xr3:uid="{00000000-0010-0000-2700-000004000000}" name="On-Reserve Routes" totalsRowFunction="sum" dataDxfId="1136" totalsRowDxfId="1135" dataCellStyle="Currency">
      <calculatedColumnFormula>ROUND((Table12[[#This Row],[On-Reserve Kms (CAIS)]]*$AB$6)*Table12[[#This Row],[No. of Buses on FN School Routes]]*$AB$7*2*$X$5,0)</calculatedColumnFormula>
    </tableColumn>
    <tableColumn id="28" xr3:uid="{00000000-0010-0000-2700-00001C000000}" name="Half-Day Off-Reserve Routes" totalsRowFunction="sum" dataDxfId="1134" totalsRowDxfId="1133" dataCellStyle="Currency">
      <calculatedColumnFormula>ROUND(((Table12[[#This Row],[On-Reserve Kms (CAIS)]]*$AB$6)+Table12[[#This Row],[Off-Reserve Kms Prov Schools]])*Table12[[#This Row],[Half-Day Buses on Prov Routes]]*$AB$7*$X$5,0)</calculatedColumnFormula>
    </tableColumn>
    <tableColumn id="29" xr3:uid="{00000000-0010-0000-2700-00001D000000}" name="Half-Day On-Reserve Routes" totalsRowFunction="sum" dataDxfId="1132" totalsRowDxfId="1131" dataCellStyle="Currency">
      <calculatedColumnFormula>ROUND((Table12[[#This Row],[On-Reserve Kms (CAIS)]]*$AB$6)*Table12[[#This Row],[Half-Day Buses on FN Routes]]*$AB$7*$X$5,0)</calculatedColumnFormula>
    </tableColumn>
    <tableColumn id="30" xr3:uid="{00000000-0010-0000-2700-00001E000000}" name="Bus Driver Salary" totalsRowFunction="sum" dataDxfId="1130" totalsRowDxfId="1129" dataCellStyle="Currency">
      <calculatedColumnFormula>ROUND((Table12[[#This Row],[Total Buses &amp; Drivers]]*$AB$8*6*$X$6)+(Table12[[#This Row],[Total Half-Day Routes]]*$AB$8*2.5*$X$5),0)</calculatedColumnFormula>
    </tableColumn>
    <tableColumn id="31" xr3:uid="{00000000-0010-0000-2700-00001F000000}" name="Extra Curricular &amp; Field Trips" totalsRowFunction="sum" dataDxfId="1128" totalsRowDxfId="1127" dataCellStyle="Currency">
      <calculatedColumnFormula>ROUND($AF$5*$AB$7,0)</calculatedColumnFormula>
    </tableColumn>
    <tableColumn id="32" xr3:uid="{00000000-0010-0000-2700-000020000000}" name="Remoteness Applied" totalsRowFunction="sum" dataDxfId="1126" totalsRowDxfId="1125" dataCellStyle="Currency">
      <calculatedColumnFormula>ROUND((SUM(Table12[[#This Row],[Off-Reserve Routes]:[Extra Curricular &amp; Field Trips]]))*Table12[[#This Row],[Remoteness Factor]],0)</calculatedColumnFormula>
    </tableColumn>
    <tableColumn id="41" xr3:uid="{00000000-0010-0000-2700-000029000000}" name="Bus Driver Benefits " totalsRowFunction="sum" dataDxfId="1124" totalsRowDxfId="1123" dataCellStyle="Currency">
      <calculatedColumnFormula>ROUND(Table12[[#This Row],[Bus Driver Salary]]*PensionContrPercent,0)</calculatedColumnFormula>
    </tableColumn>
    <tableColumn id="33" xr3:uid="{00000000-0010-0000-2700-000021000000}" name="47-Passenger Recap" totalsRowFunction="sum" dataDxfId="1122" totalsRowDxfId="1121" dataCellStyle="Currency">
      <calculatedColumnFormula>IF(Table12[[#This Row],[Total Buses &amp; Drivers]]=1,$AF$6*2,Table12[[#This Row],[47-Passenger Buses]]*$AF$6)</calculatedColumnFormula>
    </tableColumn>
    <tableColumn id="34" xr3:uid="{00000000-0010-0000-2700-000022000000}" name="71-Passenger Recap" totalsRowFunction="sum" dataDxfId="1120" totalsRowDxfId="1119" dataCellStyle="Currency">
      <calculatedColumnFormula>Table12[[#This Row],[71-Passenger Buses]]*$AF$7</calculatedColumnFormula>
    </tableColumn>
    <tableColumn id="35" xr3:uid="{00000000-0010-0000-2700-000023000000}" name="Bus Modifications" totalsRowFunction="sum" dataDxfId="1118" totalsRowDxfId="1117">
      <calculatedColumnFormula>$AF$8</calculatedColumnFormula>
    </tableColumn>
    <tableColumn id="36" xr3:uid="{00000000-0010-0000-2700-000024000000}" name="Bus Driver Training Support" totalsRowFunction="sum" dataDxfId="1116" totalsRowDxfId="1115">
      <calculatedColumnFormula>ROUND(SUM($AL$5:$AL$7)+((Table12[[#This Row],[Total Buses &amp; Drivers]]+1)*$AL$8)+'R. Travel Expenses'!C7,0)</calculatedColumnFormula>
    </tableColumn>
    <tableColumn id="37" xr3:uid="{00000000-0010-0000-2700-000025000000}" name="TOTAL TRANSPORTATION" totalsRowFunction="sum" dataDxfId="1114" totalsRowDxfId="1113" dataCellStyle="Currency">
      <calculatedColumnFormula>ROUND(SUM(Table12[[#This Row],[Remoteness Applied]:[Bus Driver Training Support]]),0)</calculatedColumnFormula>
    </tableColumn>
  </tableColumns>
  <tableStyleInfo name="Table Style 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8000000}" name="StuAccomUnder18" displayName="StuAccomUnder18" ref="A11:O42" totalsRowCount="1" headerRowDxfId="1112" headerRowBorderDxfId="1111">
  <autoFilter ref="A11:O41" xr:uid="{00000000-0009-0000-0100-000024000000}"/>
  <tableColumns count="15">
    <tableColumn id="1" xr3:uid="{00000000-0010-0000-2800-000001000000}" name="Band Number" totalsRowLabel="Total" dataDxfId="1110">
      <calculatedColumnFormula>'B.1 Accommmodation Data'!A8</calculatedColumnFormula>
    </tableColumn>
    <tableColumn id="2" xr3:uid="{00000000-0010-0000-2800-000002000000}" name="First Nation of Residence" dataDxfId="1109">
      <calculatedColumnFormula>'B.1 Accommmodation Data'!B8</calculatedColumnFormula>
    </tableColumn>
    <tableColumn id="5" xr3:uid="{00000000-0010-0000-2800-000005000000}" name="School No." dataDxfId="1108"/>
    <tableColumn id="6" xr3:uid="{00000000-0010-0000-2800-000006000000}" name="School Name" dataDxfId="1107"/>
    <tableColumn id="7" xr3:uid="{00000000-0010-0000-2800-000007000000}" name="School Type" dataDxfId="1106"/>
    <tableColumn id="8" xr3:uid="{00000000-0010-0000-2800-000008000000}" name="FN of  Res. North/South (North of 53 parallel)" dataDxfId="1105">
      <calculatedColumnFormula>INDEX(TableAFNSchools[North/South of 53rd Parallel &amp; Fly-in = North],MATCH(StuAccomUnder18[[#This Row],[Band Number]],TableAFNSchools[Band No '#],0))</calculatedColumnFormula>
    </tableColumn>
    <tableColumn id="9" xr3:uid="{00000000-0010-0000-2800-000009000000}" name="Mandatory PHP &lt;18 Headcount" totalsRowFunction="sum" dataDxfId="1104"/>
    <tableColumn id="18" xr3:uid="{00000000-0010-0000-2800-000012000000}" name="Student Residence &lt;18 Headcount" totalsRowFunction="sum" dataDxfId="1103"/>
    <tableColumn id="20" xr3:uid="{00000000-0010-0000-2800-000014000000}" name="Boarding School &lt;18 Headcount" totalsRowFunction="sum" dataDxfId="1102">
      <calculatedColumnFormula>'B.1 Accommmodation Data'!H8</calculatedColumnFormula>
    </tableColumn>
    <tableColumn id="17" xr3:uid="{00000000-0010-0000-2800-000011000000}" name="5-Day Room &amp; Board &lt;18 Headcount" totalsRowFunction="sum" dataDxfId="1101">
      <calculatedColumnFormula>'B.1 Accommmodation Data'!J8</calculatedColumnFormula>
    </tableColumn>
    <tableColumn id="13" xr3:uid="{00000000-0010-0000-2800-00000D000000}" name="PHP &amp; Residence Set Per Student Amount" totalsRowFunction="sum" dataDxfId="1100" totalsRowDxfId="1099">
      <calculatedColumnFormula>($C$5*StuAccomUnder18[[#This Row],[Mandatory PHP &lt;18 Headcount]])+($C$6*(StuAccomUnder18[[#This Row],[Student Residence &lt;18 Headcount]]+StuAccomUnder18[[#This Row],[Boarding School &lt;18 Headcount]]))</calculatedColumnFormula>
    </tableColumn>
    <tableColumn id="14" xr3:uid="{00000000-0010-0000-2800-00000E000000}" name="PHP Seasonal Transportation" totalsRowFunction="sum" dataDxfId="1098" totalsRowDxfId="1097">
      <calculatedColumnFormula>IF(StuAccomUnder18[[#This Row],[FN of  Res. North/South (North of 53 parallel)]]="South",StuAccomUnder18[[#This Row],[Mandatory PHP &lt;18 Headcount]]*$D$7,INDEX('VTA Data'!$L$4:$L$6,MATCH(StuAccomUnder18[[#This Row],[Band Number]],'VTA Data'!$A$4:$A$6,0))*StuAccomUnder18[[#This Row],[Mandatory PHP &lt;18 Headcount]])</calculatedColumnFormula>
    </tableColumn>
    <tableColumn id="15" xr3:uid="{00000000-0010-0000-2800-00000F000000}" name="Travel Chaperones" totalsRowFunction="sum" dataDxfId="1096" totalsRowDxfId="1095" dataCellStyle="Currency">
      <calculatedColumnFormula>IF(StuAccomUnder18[[#This Row],[FN of  Res. North/South (North of 53 parallel)]]="South",StuAccomUnder18[[#This Row],[Mandatory PHP &lt;18 Headcount]]*$D$8,IF(StuAccomUnder18[[#This Row],[FN of  Res. North/South (North of 53 parallel)]]="North",StuAccomUnder18[[#This Row],[Mandatory PHP &lt;18 Headcount]]*$E$8,0))</calculatedColumnFormula>
    </tableColumn>
    <tableColumn id="19" xr3:uid="{00000000-0010-0000-2800-000013000000}" name="5-Day Room &amp; Board Rate" totalsRowFunction="sum" dataDxfId="1094" totalsRowDxfId="1093" dataCellStyle="Currency">
      <calculatedColumnFormula>$C$9*StuAccomUnder18[[#This Row],[5-Day Room &amp; Board &lt;18 Headcount]]</calculatedColumnFormula>
    </tableColumn>
    <tableColumn id="16" xr3:uid="{00000000-0010-0000-2800-000010000000}" name="TOTAL Student Accommodation &lt;18" totalsRowFunction="sum" dataDxfId="1092" totalsRowDxfId="1091">
      <calculatedColumnFormula>ROUND(SUM(K12:N12),0)</calculatedColumnFormula>
    </tableColumn>
  </tableColumns>
  <tableStyleInfo name="Table Style 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9000000}" name="StudAccom1821" displayName="StudAccom1821" ref="A11:N42" totalsRowCount="1" headerRowDxfId="1090" headerRowBorderDxfId="1089" tableBorderDxfId="1088">
  <autoFilter ref="A11:N41" xr:uid="{00000000-0009-0000-0100-00002B000000}"/>
  <tableColumns count="14">
    <tableColumn id="1" xr3:uid="{00000000-0010-0000-2900-000001000000}" name="Band No." totalsRowLabel="Total" dataDxfId="1087"/>
    <tableColumn id="2" xr3:uid="{00000000-0010-0000-2900-000002000000}" name="First Nation of Residence" dataDxfId="1086"/>
    <tableColumn id="5" xr3:uid="{00000000-0010-0000-2900-000005000000}" name="School No." dataDxfId="1085"/>
    <tableColumn id="6" xr3:uid="{00000000-0010-0000-2900-000006000000}" name="School Name" dataDxfId="1084"/>
    <tableColumn id="7" xr3:uid="{00000000-0010-0000-2900-000007000000}" name="School Type" dataDxfId="1083"/>
    <tableColumn id="8" xr3:uid="{00000000-0010-0000-2900-000008000000}" name="FN of  Res. North/South (North of 53 parallel)" dataDxfId="1082">
      <calculatedColumnFormula>INDEX(TableAFNSchools[North/South of 53rd Parallel &amp; Fly-in = North],MATCH(StudAccom1821[[#This Row],[Band No.]],TableAFNSchools[Band No '#],0))</calculatedColumnFormula>
    </tableColumn>
    <tableColumn id="9" xr3:uid="{00000000-0010-0000-2900-000009000000}" name="Mandatory PHP 18-21 Headcount" totalsRowFunction="sum" dataDxfId="1081"/>
    <tableColumn id="10" xr3:uid="{00000000-0010-0000-2900-00000A000000}" name="Student Residence 18-21 Headcount" totalsRowFunction="sum" dataDxfId="1080"/>
    <tableColumn id="11" xr3:uid="{00000000-0010-0000-2900-00000B000000}" name="Boarding School 18-21 Headcount" totalsRowFunction="sum" dataDxfId="1079">
      <calculatedColumnFormula>'B.1 Accommmodation Data'!M8</calculatedColumnFormula>
    </tableColumn>
    <tableColumn id="12" xr3:uid="{00000000-0010-0000-2900-00000C000000}" name="5-Day Room &amp; Board 18-21 Headcount" totalsRowFunction="sum" dataDxfId="1078">
      <calculatedColumnFormula>'B.1 Accommmodation Data'!O8</calculatedColumnFormula>
    </tableColumn>
    <tableColumn id="13" xr3:uid="{00000000-0010-0000-2900-00000D000000}" name="PHP &amp; Residence Set Per Student Amount" totalsRowFunction="sum" dataDxfId="1077" totalsRowDxfId="1076" dataCellStyle="Currency">
      <calculatedColumnFormula>($C$5*StudAccom1821[[#This Row],[Mandatory PHP 18-21 Headcount]])+($C$6*(StudAccom1821[[#This Row],[Student Residence 18-21 Headcount]]+StudAccom1821[[#This Row],[Boarding School 18-21 Headcount]]))</calculatedColumnFormula>
    </tableColumn>
    <tableColumn id="14" xr3:uid="{00000000-0010-0000-2900-00000E000000}" name="PHP &amp; Residence Seasonal Transportation" totalsRowFunction="sum" dataDxfId="1075" totalsRowDxfId="1074" dataCellStyle="Currency">
      <calculatedColumnFormula>IF(StudAccom1821[[#This Row],[FN of  Res. North/South (North of 53 parallel)]]="South",StudAccom1821[[#This Row],[Mandatory PHP 18-21 Headcount]]*$D$7,INDEX('VTA Data'!$L$4:$L$6,MATCH(StudAccom1821[[#This Row],[Band No.]],'VTA Data'!$A$4:$A$6,0))*StudAccom1821[[#This Row],[Mandatory PHP 18-21 Headcount]])</calculatedColumnFormula>
    </tableColumn>
    <tableColumn id="16" xr3:uid="{00000000-0010-0000-2900-000010000000}" name="5-Day Room &amp; Board Rate" totalsRowFunction="sum" dataDxfId="1073" totalsRowDxfId="1072" dataCellStyle="Currency">
      <calculatedColumnFormula>$C$8*StudAccom1821[[#This Row],[5-Day Room &amp; Board 18-21 Headcount]]</calculatedColumnFormula>
    </tableColumn>
    <tableColumn id="17" xr3:uid="{00000000-0010-0000-2900-000011000000}" name="TOTAL 18-21 PHP/Student Accommodation" totalsRowFunction="sum" dataDxfId="1071" totalsRowDxfId="1070" dataCellStyle="Currency">
      <calculatedColumnFormula>ROUND(SUM(K12:M12),0)</calculatedColumnFormula>
    </tableColumn>
  </tableColumns>
  <tableStyleInfo name="Table Style 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A000000}" name="Table1741" displayName="Table1741" ref="A38:CY49" totalsRowCount="1" headerRowDxfId="1069" dataDxfId="1068" totalsRowDxfId="1067" headerRowCellStyle="Normal">
  <autoFilter ref="A38:CY48" xr:uid="{00000000-0009-0000-0100-000028000000}"/>
  <tableColumns count="103">
    <tableColumn id="1" xr3:uid="{00000000-0010-0000-2A00-000001000000}" name="Band No." totalsRowLabel="Total" dataDxfId="1066" totalsRowDxfId="1065"/>
    <tableColumn id="2" xr3:uid="{00000000-0010-0000-2A00-000002000000}" name="Operating First Nation" dataDxfId="1064" totalsRowDxfId="1063"/>
    <tableColumn id="3" xr3:uid="{00000000-0010-0000-2A00-000003000000}" name="School No." dataDxfId="1062" totalsRowDxfId="1061"/>
    <tableColumn id="4" xr3:uid="{00000000-0010-0000-2A00-000004000000}" name="First Nation School" dataDxfId="1060" totalsRowDxfId="1059"/>
    <tableColumn id="5" xr3:uid="{00000000-0010-0000-2A00-000005000000}" name="K4" totalsRowFunction="sum" dataDxfId="1058" totalsRowDxfId="1057"/>
    <tableColumn id="6" xr3:uid="{00000000-0010-0000-2A00-000006000000}" name="K5" totalsRowFunction="sum" dataDxfId="1056" totalsRowDxfId="1055"/>
    <tableColumn id="7" xr3:uid="{00000000-0010-0000-2A00-000007000000}" name="Gr1" totalsRowFunction="sum" dataDxfId="1054" totalsRowDxfId="1053"/>
    <tableColumn id="8" xr3:uid="{00000000-0010-0000-2A00-000008000000}" name="Gr2" totalsRowFunction="sum" dataDxfId="1052" totalsRowDxfId="1051"/>
    <tableColumn id="9" xr3:uid="{00000000-0010-0000-2A00-000009000000}" name="Gr3" totalsRowFunction="sum" dataDxfId="1050" totalsRowDxfId="1049"/>
    <tableColumn id="10" xr3:uid="{00000000-0010-0000-2A00-00000A000000}" name="Gr4" totalsRowFunction="sum" dataDxfId="1048" totalsRowDxfId="1047"/>
    <tableColumn id="11" xr3:uid="{00000000-0010-0000-2A00-00000B000000}" name="Gr5" totalsRowFunction="sum" dataDxfId="1046" totalsRowDxfId="1045"/>
    <tableColumn id="12" xr3:uid="{00000000-0010-0000-2A00-00000C000000}" name="Gr6" totalsRowFunction="sum" dataDxfId="1044" totalsRowDxfId="1043"/>
    <tableColumn id="13" xr3:uid="{00000000-0010-0000-2A00-00000D000000}" name="Gr7" totalsRowFunction="sum" dataDxfId="1042" totalsRowDxfId="1041"/>
    <tableColumn id="14" xr3:uid="{00000000-0010-0000-2A00-00000E000000}" name="Gr8" totalsRowFunction="sum" dataDxfId="1040" totalsRowDxfId="1039"/>
    <tableColumn id="15" xr3:uid="{00000000-0010-0000-2A00-00000F000000}" name="Ungrd. Elem." totalsRowFunction="sum" dataDxfId="1038" totalsRowDxfId="1037"/>
    <tableColumn id="16" xr3:uid="{00000000-0010-0000-2A00-000010000000}" name="Gr9" totalsRowFunction="sum" dataDxfId="1036" totalsRowDxfId="1035"/>
    <tableColumn id="17" xr3:uid="{00000000-0010-0000-2A00-000011000000}" name="Gr10" totalsRowFunction="sum" dataDxfId="1034" totalsRowDxfId="1033"/>
    <tableColumn id="18" xr3:uid="{00000000-0010-0000-2A00-000012000000}" name="Gr11" totalsRowFunction="sum" dataDxfId="1032" totalsRowDxfId="1031"/>
    <tableColumn id="19" xr3:uid="{00000000-0010-0000-2A00-000013000000}" name="Gr12" totalsRowFunction="sum" dataDxfId="1030" totalsRowDxfId="1029"/>
    <tableColumn id="90" xr3:uid="{00000000-0010-0000-2A00-00005A000000}" name="Ungrd. Sec." totalsRowFunction="sum" dataDxfId="1028" totalsRowDxfId="1027"/>
    <tableColumn id="20" xr3:uid="{00000000-0010-0000-2A00-000014000000}" name="FTE &lt;22 Total" totalsRowFunction="sum" dataDxfId="1026" totalsRowDxfId="1025" dataCellStyle="Comma"/>
    <tableColumn id="21" xr3:uid="{00000000-0010-0000-2A00-000015000000}" name="Gr9 22+" totalsRowFunction="sum" dataDxfId="1024" totalsRowDxfId="1023"/>
    <tableColumn id="22" xr3:uid="{00000000-0010-0000-2A00-000016000000}" name="Gr10 22+" totalsRowFunction="sum" dataDxfId="1022" totalsRowDxfId="1021"/>
    <tableColumn id="23" xr3:uid="{00000000-0010-0000-2A00-000017000000}" name="Gr11 22+" totalsRowFunction="sum" dataDxfId="1020" totalsRowDxfId="1019"/>
    <tableColumn id="92" xr3:uid="{00000000-0010-0000-2A00-00005C000000}" name="Gr12 22+" totalsRowFunction="sum" dataDxfId="1018" totalsRowDxfId="1017"/>
    <tableColumn id="91" xr3:uid="{00000000-0010-0000-2A00-00005B000000}" name="Ungrd. Sec. 22+" dataDxfId="1016" totalsRowDxfId="1015"/>
    <tableColumn id="24" xr3:uid="{00000000-0010-0000-2A00-000018000000}" name="Total FTE" totalsRowFunction="sum" dataDxfId="1014" totalsRowDxfId="1013" dataCellStyle="Comma 2"/>
    <tableColumn id="25" xr3:uid="{00000000-0010-0000-2A00-000019000000}" name="K4 H" totalsRowFunction="sum" dataDxfId="1012" totalsRowDxfId="1011"/>
    <tableColumn id="26" xr3:uid="{00000000-0010-0000-2A00-00001A000000}" name="K5 H" totalsRowFunction="sum" dataDxfId="1010" totalsRowDxfId="1009"/>
    <tableColumn id="27" xr3:uid="{00000000-0010-0000-2A00-00001B000000}" name="Gr1 H" totalsRowFunction="sum" dataDxfId="1008" totalsRowDxfId="1007"/>
    <tableColumn id="28" xr3:uid="{00000000-0010-0000-2A00-00001C000000}" name="Gr2 H" totalsRowFunction="sum" dataDxfId="1006" totalsRowDxfId="1005"/>
    <tableColumn id="29" xr3:uid="{00000000-0010-0000-2A00-00001D000000}" name="Gr3 H" totalsRowFunction="sum" dataDxfId="1004" totalsRowDxfId="1003"/>
    <tableColumn id="30" xr3:uid="{00000000-0010-0000-2A00-00001E000000}" name="Gr4 H" totalsRowFunction="sum" dataDxfId="1002" totalsRowDxfId="1001"/>
    <tableColumn id="31" xr3:uid="{00000000-0010-0000-2A00-00001F000000}" name="Gr5 H" totalsRowFunction="sum" dataDxfId="1000" totalsRowDxfId="999"/>
    <tableColumn id="32" xr3:uid="{00000000-0010-0000-2A00-000020000000}" name="Gr6 H" totalsRowFunction="sum" dataDxfId="998" totalsRowDxfId="997"/>
    <tableColumn id="33" xr3:uid="{00000000-0010-0000-2A00-000021000000}" name="Gr7 H" totalsRowFunction="sum" dataDxfId="996" totalsRowDxfId="995"/>
    <tableColumn id="34" xr3:uid="{00000000-0010-0000-2A00-000022000000}" name="Gr8 H" totalsRowFunction="sum" dataDxfId="994" totalsRowDxfId="993"/>
    <tableColumn id="35" xr3:uid="{00000000-0010-0000-2A00-000023000000}" name="Ungrd. Elem. H" totalsRowFunction="sum" dataDxfId="992" totalsRowDxfId="991"/>
    <tableColumn id="36" xr3:uid="{00000000-0010-0000-2A00-000024000000}" name="Gr9 H" totalsRowFunction="sum" dataDxfId="990" totalsRowDxfId="989"/>
    <tableColumn id="37" xr3:uid="{00000000-0010-0000-2A00-000025000000}" name="Gr10 H" totalsRowFunction="sum" dataDxfId="988" totalsRowDxfId="987"/>
    <tableColumn id="38" xr3:uid="{00000000-0010-0000-2A00-000026000000}" name="Gr11 H" totalsRowFunction="sum" dataDxfId="986" totalsRowDxfId="985"/>
    <tableColumn id="39" xr3:uid="{00000000-0010-0000-2A00-000027000000}" name="Gr12 H" totalsRowFunction="sum" dataDxfId="984" totalsRowDxfId="983"/>
    <tableColumn id="93" xr3:uid="{00000000-0010-0000-2A00-00005D000000}" name="Ugrd. Sec. H" totalsRowFunction="sum" dataDxfId="982" totalsRowDxfId="981"/>
    <tableColumn id="40" xr3:uid="{00000000-0010-0000-2A00-000028000000}" name="Headcount &lt;22 Total" totalsRowFunction="sum" dataDxfId="980" totalsRowDxfId="979" dataCellStyle="Comma">
      <calculatedColumnFormula>SUM(AB39:AQ39)</calculatedColumnFormula>
    </tableColumn>
    <tableColumn id="41" xr3:uid="{00000000-0010-0000-2A00-000029000000}" name="Gr9 H 22+" totalsRowFunction="sum" dataDxfId="978" totalsRowDxfId="977"/>
    <tableColumn id="42" xr3:uid="{00000000-0010-0000-2A00-00002A000000}" name="Gr10 H 22+" totalsRowFunction="sum" dataDxfId="976" totalsRowDxfId="975"/>
    <tableColumn id="43" xr3:uid="{00000000-0010-0000-2A00-00002B000000}" name="Gr11 H 22+" totalsRowFunction="sum" dataDxfId="974" totalsRowDxfId="973"/>
    <tableColumn id="95" xr3:uid="{00000000-0010-0000-2A00-00005F000000}" name="Gr12 H 22+" totalsRowFunction="sum" dataDxfId="972" totalsRowDxfId="971"/>
    <tableColumn id="94" xr3:uid="{00000000-0010-0000-2A00-00005E000000}" name="Ungrd. Sec. H 22+" totalsRowFunction="sum" dataDxfId="970" totalsRowDxfId="969"/>
    <tableColumn id="44" xr3:uid="{00000000-0010-0000-2A00-00002C000000}" name="Total Headcount" totalsRowFunction="sum" dataDxfId="968" totalsRowDxfId="967" dataCellStyle="Comma">
      <calculatedColumnFormula>SUM(AR39:AW39)</calculatedColumnFormula>
    </tableColumn>
    <tableColumn id="45" xr3:uid="{00000000-0010-0000-2A00-00002D000000}" name="Elementary" totalsRowFunction="sum" dataDxfId="966" totalsRowDxfId="965">
      <calculatedColumnFormula>SUM(E39:O39)</calculatedColumnFormula>
    </tableColumn>
    <tableColumn id="46" xr3:uid="{00000000-0010-0000-2A00-00002E000000}" name="Secondary" totalsRowFunction="sum" dataDxfId="964" totalsRowDxfId="963">
      <calculatedColumnFormula>SUM(P39:T39,V39:Z39)</calculatedColumnFormula>
    </tableColumn>
    <tableColumn id="47" xr3:uid="{00000000-0010-0000-2A00-00002F000000}" name="Total Funded FTE" totalsRowFunction="sum" dataDxfId="962" totalsRowDxfId="961" dataCellStyle="Comma">
      <calculatedColumnFormula>SUM(AY39:AZ39)</calculatedColumnFormula>
    </tableColumn>
    <tableColumn id="89" xr3:uid="{00000000-0010-0000-2A00-000059000000}" name="Gr9 FTE Sum" totalsRowFunction="sum" dataDxfId="960" totalsRowDxfId="959" dataCellStyle="Comma">
      <calculatedColumnFormula>Table1741[[#This Row],[Gr9]]+Table1741[[#This Row],[Gr9 22+]]</calculatedColumnFormula>
    </tableColumn>
    <tableColumn id="88" xr3:uid="{00000000-0010-0000-2A00-000058000000}" name="Gr10 FTE Sum" totalsRowFunction="sum" dataDxfId="958" totalsRowDxfId="957" dataCellStyle="Comma">
      <calculatedColumnFormula>Table1741[[#This Row],[Gr10]]+Table1741[[#This Row],[Gr10 22+]]</calculatedColumnFormula>
    </tableColumn>
    <tableColumn id="48" xr3:uid="{00000000-0010-0000-2A00-000030000000}" name="Gr11 FTE Sum" totalsRowFunction="sum" dataDxfId="956" totalsRowDxfId="955">
      <calculatedColumnFormula>Table1741[[#This Row],[Gr11]]+Table1741[[#This Row],[Gr11 22+]]</calculatedColumnFormula>
    </tableColumn>
    <tableColumn id="49" xr3:uid="{00000000-0010-0000-2A00-000031000000}" name="Gr12 FTE Sum" totalsRowFunction="sum" dataDxfId="954" totalsRowDxfId="953">
      <calculatedColumnFormula>Table1741[[#This Row],[Gr12]]+Table1741[[#This Row],[Gr12 22+]]</calculatedColumnFormula>
    </tableColumn>
    <tableColumn id="50" xr3:uid="{00000000-0010-0000-2A00-000032000000}" name="No. of Elem Grades" dataDxfId="952" totalsRowDxfId="951">
      <calculatedColumnFormula>COUNTIF(Table1741[[#This Row],[K4]:[Gr8]],"&gt;0")</calculatedColumnFormula>
    </tableColumn>
    <tableColumn id="51" xr3:uid="{00000000-0010-0000-2A00-000033000000}" name="No. of Second Grades" dataDxfId="950" totalsRowDxfId="949">
      <calculatedColumnFormula>COUNTIF(Table1741[[#This Row],[Gr9 FTE Sum]:[Gr12 FTE Sum]],"&gt;0")</calculatedColumnFormula>
    </tableColumn>
    <tableColumn id="52" xr3:uid="{00000000-0010-0000-2A00-000034000000}" name="Total No. of Grades" dataDxfId="948" totalsRowDxfId="947">
      <calculatedColumnFormula>SUM(BF39:BG39)</calculatedColumnFormula>
    </tableColumn>
    <tableColumn id="53" xr3:uid="{00000000-0010-0000-2A00-000035000000}" name="Avg. Elem FTEs per Grade" dataDxfId="946" totalsRowDxfId="945" dataCellStyle="Comma">
      <calculatedColumnFormula>IFERROR(AY39/BF39,0)</calculatedColumnFormula>
    </tableColumn>
    <tableColumn id="54" xr3:uid="{00000000-0010-0000-2A00-000036000000}" name="Avg. Second FTEs per Grade" dataDxfId="944" totalsRowDxfId="943" dataCellStyle="Comma">
      <calculatedColumnFormula>IFERROR(AZ39/BG39,0)</calculatedColumnFormula>
    </tableColumn>
    <tableColumn id="55" xr3:uid="{00000000-0010-0000-2A00-000037000000}" name="Total Avg. FTEs per Grade" dataDxfId="942" totalsRowDxfId="941" dataCellStyle="Comma">
      <calculatedColumnFormula>BA39/BH39</calculatedColumnFormula>
    </tableColumn>
    <tableColumn id="56" xr3:uid="{00000000-0010-0000-2A00-000038000000}" name="Matching Provincial School Division" dataDxfId="940" totalsRowDxfId="939"/>
    <tableColumn id="57" xr3:uid="{00000000-0010-0000-2A00-000039000000}" name="First Nations Schools System" dataDxfId="938" totalsRowDxfId="937"/>
    <tableColumn id="58" xr3:uid="{00000000-0010-0000-2A00-00003A000000}" name="School/ Program Type" dataDxfId="936" totalsRowDxfId="935"/>
    <tableColumn id="70" xr3:uid="{00000000-0010-0000-2A00-000046000000}" name="K4 Program Type" dataDxfId="934" totalsRowDxfId="933"/>
    <tableColumn id="76" xr3:uid="{00000000-0010-0000-2A00-00004C000000}" name="K5 Program Type" dataDxfId="932" totalsRowDxfId="931"/>
    <tableColumn id="59" xr3:uid="{00000000-0010-0000-2A00-00003B000000}" name="North/South of 53rd Parallel &amp; Fly-in = North" dataDxfId="930" totalsRowDxfId="929"/>
    <tableColumn id="60" xr3:uid="{00000000-0010-0000-2A00-00003C000000}" name="Street Address and Number" dataDxfId="928" totalsRowDxfId="927"/>
    <tableColumn id="61" xr3:uid="{00000000-0010-0000-2A00-00003D000000}" name="City" dataDxfId="926" totalsRowDxfId="925"/>
    <tableColumn id="62" xr3:uid="{00000000-0010-0000-2A00-00003E000000}" name="Province" dataDxfId="924" totalsRowDxfId="923"/>
    <tableColumn id="63" xr3:uid="{00000000-0010-0000-2A00-00003F000000}" name="Postal Code" dataDxfId="922" totalsRowDxfId="921"/>
    <tableColumn id="64" xr3:uid="{00000000-0010-0000-2A00-000040000000}" name="Latitude" dataDxfId="920" totalsRowDxfId="919"/>
    <tableColumn id="65" xr3:uid="{00000000-0010-0000-2A00-000041000000}" name="Longitude" dataDxfId="918" totalsRowDxfId="917"/>
    <tableColumn id="66" xr3:uid="{00000000-0010-0000-2A00-000042000000}" name="Geocoding" dataDxfId="916" totalsRowDxfId="915"/>
    <tableColumn id="67" xr3:uid="{00000000-0010-0000-2A00-000043000000}" name="Obs" dataDxfId="914" totalsRowDxfId="913"/>
    <tableColumn id="68" xr3:uid="{00000000-0010-0000-2A00-000044000000}" name="CSDUID" dataDxfId="912" totalsRowDxfId="911"/>
    <tableColumn id="69" xr3:uid="{00000000-0010-0000-2A00-000045000000}" name="CSDNAME" dataDxfId="910" totalsRowDxfId="909"/>
    <tableColumn id="71" xr3:uid="{00000000-0010-0000-2A00-000047000000}" name="Connect" dataDxfId="908" totalsRowDxfId="907"/>
    <tableColumn id="72" xr3:uid="{00000000-0010-0000-2A00-000048000000}" name="X_Albers" dataDxfId="906" totalsRowDxfId="905"/>
    <tableColumn id="73" xr3:uid="{00000000-0010-0000-2A00-000049000000}" name="Y_Albers" dataDxfId="904" totalsRowDxfId="903"/>
    <tableColumn id="74" xr3:uid="{00000000-0010-0000-2A00-00004A000000}" name="ID" dataDxfId="902" totalsRowDxfId="901"/>
    <tableColumn id="75" xr3:uid="{00000000-0010-0000-2A00-00004B000000}" name="Geographic Index/Zone" dataDxfId="900" totalsRowDxfId="899"/>
    <tableColumn id="77" xr3:uid="{00000000-0010-0000-2A00-00004D000000}" name="City Centre" dataDxfId="898" totalsRowDxfId="897"/>
    <tableColumn id="78" xr3:uid="{00000000-0010-0000-2A00-00004E000000}" name="Distance to Winnipeg in km" dataDxfId="896" totalsRowDxfId="895"/>
    <tableColumn id="79" xr3:uid="{00000000-0010-0000-2A00-00004F000000}" name="Environment" dataDxfId="894" totalsRowDxfId="893"/>
    <tableColumn id="80" xr3:uid="{00000000-0010-0000-2A00-000050000000}" name="Service Centre" dataDxfId="892" totalsRowDxfId="891"/>
    <tableColumn id="87" xr3:uid="{00000000-0010-0000-2A00-000057000000}" name="Remoteness Index (according to BCM)" dataDxfId="890" totalsRowDxfId="889"/>
    <tableColumn id="81" xr3:uid="{00000000-0010-0000-2A00-000051000000}" name="School size" totalsRowFunction="sum" dataDxfId="888" totalsRowDxfId="887" dataCellStyle="Comma"/>
    <tableColumn id="82" xr3:uid="{00000000-0010-0000-2A00-000052000000}" name="Total Reserve Pop (2011 Census)" dataDxfId="886" totalsRowDxfId="885" dataCellStyle="Comma"/>
    <tableColumn id="83" xr3:uid="{00000000-0010-0000-2A00-000053000000}" name="Area of All Reserves (sq. km)" dataDxfId="884" totalsRowDxfId="883"/>
    <tableColumn id="84" xr3:uid="{00000000-0010-0000-2A00-000054000000}" name="Total Student Population" dataDxfId="882" totalsRowDxfId="881"/>
    <tableColumn id="85" xr3:uid="{00000000-0010-0000-2A00-000055000000}" name="Student Dispersion Factor" dataDxfId="880" totalsRowDxfId="879">
      <calculatedColumnFormula>CO39/CN39</calculatedColumnFormula>
    </tableColumn>
    <tableColumn id="86" xr3:uid="{00000000-0010-0000-2A00-000056000000}" name="FNSS Dispersion Factor" dataDxfId="878" totalsRowDxfId="877">
      <calculatedColumnFormula>Table1741[[#Totals],[Total Funded FTE]]/'F1. Prov School Area 1617'!$H$47</calculatedColumnFormula>
    </tableColumn>
    <tableColumn id="96" xr3:uid="{00000000-0010-0000-2A00-000060000000}" name="Mandatory room &amp; board &lt;18" totalsRowFunction="sum" dataDxfId="876" totalsRowDxfId="875"/>
    <tableColumn id="97" xr3:uid="{00000000-0010-0000-2A00-000061000000}" name="Student residence &lt;18" totalsRowFunction="sum" dataDxfId="874" totalsRowDxfId="873"/>
    <tableColumn id="98" xr3:uid="{00000000-0010-0000-2A00-000062000000}" name="Boarding school &lt;18" totalsRowFunction="sum" dataDxfId="872" totalsRowDxfId="871"/>
    <tableColumn id="99" xr3:uid="{00000000-0010-0000-2A00-000063000000}" name="Room and board (5 days) &lt;18" totalsRowFunction="sum" dataDxfId="870" totalsRowDxfId="869"/>
    <tableColumn id="100" xr3:uid="{00000000-0010-0000-2A00-000064000000}" name="Mandatory room &amp; board 18-21" totalsRowFunction="sum" dataDxfId="868" totalsRowDxfId="867"/>
    <tableColumn id="101" xr3:uid="{00000000-0010-0000-2A00-000065000000}" name="Student residence 18-21" totalsRowFunction="sum" dataDxfId="866" totalsRowDxfId="865"/>
    <tableColumn id="102" xr3:uid="{00000000-0010-0000-2A00-000066000000}" name="Boarding school 18-21" totalsRowFunction="sum" dataDxfId="864" totalsRowDxfId="863"/>
    <tableColumn id="103" xr3:uid="{00000000-0010-0000-2A00-000067000000}" name="Room and board (5 days) 18-21" totalsRowFunction="sum" dataDxfId="862" totalsRowDxfId="861"/>
  </tableColumns>
  <tableStyleInfo name="Table Style 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2B000000}" name="TableAFNSchools" displayName="TableAFNSchools" ref="A6:DJ19" totalsRowCount="1" headerRowDxfId="860" headerRowCellStyle="Normal">
  <autoFilter ref="A6:DJ18" xr:uid="{00000000-0009-0000-0100-000011000000}"/>
  <sortState xmlns:xlrd2="http://schemas.microsoft.com/office/spreadsheetml/2017/richdata2" ref="A7:DH18">
    <sortCondition ref="C6:C18"/>
  </sortState>
  <tableColumns count="114">
    <tableColumn id="1" xr3:uid="{00000000-0010-0000-2B00-000001000000}" name="Band No #" totalsRowLabel="Total" dataDxfId="859" totalsRowDxfId="858"/>
    <tableColumn id="2" xr3:uid="{00000000-0010-0000-2B00-000002000000}" name="Operating First Nation"/>
    <tableColumn id="3" xr3:uid="{00000000-0010-0000-2B00-000003000000}" name="School No." dataDxfId="857" totalsRowDxfId="856"/>
    <tableColumn id="4" xr3:uid="{00000000-0010-0000-2B00-000004000000}" name="First Nation School"/>
    <tableColumn id="5" xr3:uid="{00000000-0010-0000-2B00-000005000000}" name="K4 - Half-Day" totalsRowFunction="sum" dataDxfId="855" totalsRowDxfId="854"/>
    <tableColumn id="111" xr3:uid="{00000000-0010-0000-2B00-00006F000000}" name="K4- Full Day" totalsRowFunction="sum" dataDxfId="853" totalsRowDxfId="852"/>
    <tableColumn id="6" xr3:uid="{00000000-0010-0000-2B00-000006000000}" name="K5- Half-Day" totalsRowFunction="sum" dataDxfId="851" totalsRowDxfId="850"/>
    <tableColumn id="112" xr3:uid="{00000000-0010-0000-2B00-000070000000}" name="K5 - Full Day" totalsRowFunction="sum" dataDxfId="849" totalsRowDxfId="848"/>
    <tableColumn id="7" xr3:uid="{00000000-0010-0000-2B00-000007000000}" name="Gr1" totalsRowFunction="sum" dataDxfId="847" totalsRowDxfId="846"/>
    <tableColumn id="8" xr3:uid="{00000000-0010-0000-2B00-000008000000}" name="Gr2" totalsRowFunction="sum" dataDxfId="845" totalsRowDxfId="844"/>
    <tableColumn id="9" xr3:uid="{00000000-0010-0000-2B00-000009000000}" name="Gr3" totalsRowFunction="sum" dataDxfId="843" totalsRowDxfId="842"/>
    <tableColumn id="10" xr3:uid="{00000000-0010-0000-2B00-00000A000000}" name="Gr4" totalsRowFunction="sum" dataDxfId="841" totalsRowDxfId="840"/>
    <tableColumn id="11" xr3:uid="{00000000-0010-0000-2B00-00000B000000}" name="Gr5" totalsRowFunction="sum" dataDxfId="839" totalsRowDxfId="838"/>
    <tableColumn id="12" xr3:uid="{00000000-0010-0000-2B00-00000C000000}" name="Gr6" totalsRowFunction="sum" dataDxfId="837" totalsRowDxfId="836"/>
    <tableColumn id="13" xr3:uid="{00000000-0010-0000-2B00-00000D000000}" name="Gr7" totalsRowFunction="sum" dataDxfId="835" totalsRowDxfId="834"/>
    <tableColumn id="14" xr3:uid="{00000000-0010-0000-2B00-00000E000000}" name="Gr8" totalsRowFunction="sum" dataDxfId="833" totalsRowDxfId="832"/>
    <tableColumn id="15" xr3:uid="{00000000-0010-0000-2B00-00000F000000}" name="Ungrd. Elem." totalsRowFunction="sum" dataDxfId="831" totalsRowDxfId="830"/>
    <tableColumn id="16" xr3:uid="{00000000-0010-0000-2B00-000010000000}" name="Gr9" totalsRowFunction="sum" dataDxfId="829" totalsRowDxfId="828"/>
    <tableColumn id="17" xr3:uid="{00000000-0010-0000-2B00-000011000000}" name="Gr10" totalsRowFunction="sum" dataDxfId="827" totalsRowDxfId="826"/>
    <tableColumn id="18" xr3:uid="{00000000-0010-0000-2B00-000012000000}" name="Gr11" totalsRowFunction="sum" dataDxfId="825" totalsRowDxfId="824"/>
    <tableColumn id="19" xr3:uid="{00000000-0010-0000-2B00-000013000000}" name="Gr12" totalsRowFunction="sum" dataDxfId="823" totalsRowDxfId="822"/>
    <tableColumn id="90" xr3:uid="{00000000-0010-0000-2B00-00005A000000}" name="Ungrd. Sec." totalsRowFunction="sum" dataDxfId="821" totalsRowDxfId="820"/>
    <tableColumn id="20" xr3:uid="{00000000-0010-0000-2B00-000014000000}" name="FTE &lt;22 Total" totalsRowFunction="sum" dataDxfId="819" totalsRowDxfId="818" dataCellStyle="Comma">
      <calculatedColumnFormula>SUM(TableAFNSchools[[#This Row],[K4 - Half-Day]:[Ungrd. Sec.]])</calculatedColumnFormula>
    </tableColumn>
    <tableColumn id="21" xr3:uid="{00000000-0010-0000-2B00-000015000000}" name="Gr9 22+" totalsRowFunction="sum" dataDxfId="817" totalsRowDxfId="816"/>
    <tableColumn id="22" xr3:uid="{00000000-0010-0000-2B00-000016000000}" name="Gr10 22+" totalsRowFunction="sum" dataDxfId="815" totalsRowDxfId="814"/>
    <tableColumn id="23" xr3:uid="{00000000-0010-0000-2B00-000017000000}" name="Gr11 22+" totalsRowFunction="sum" dataDxfId="813" totalsRowDxfId="812"/>
    <tableColumn id="92" xr3:uid="{00000000-0010-0000-2B00-00005C000000}" name="Gr12 22+" totalsRowFunction="sum" dataDxfId="811" totalsRowDxfId="810"/>
    <tableColumn id="91" xr3:uid="{00000000-0010-0000-2B00-00005B000000}" name="Ungrd. Sec. 22+" dataDxfId="809"/>
    <tableColumn id="24" xr3:uid="{00000000-0010-0000-2B00-000018000000}" name="Total FTE" totalsRowFunction="sum" dataDxfId="808" totalsRowDxfId="807" dataCellStyle="Comma 2">
      <calculatedColumnFormula>SUM(TableAFNSchools[[#This Row],[FTE &lt;22 Total]:[Ungrd. Sec. 22+]])</calculatedColumnFormula>
    </tableColumn>
    <tableColumn id="25" xr3:uid="{00000000-0010-0000-2B00-000019000000}" name="K4'- Half-Day" totalsRowFunction="sum" dataDxfId="806"/>
    <tableColumn id="113" xr3:uid="{00000000-0010-0000-2B00-000071000000}" name="K4 Full Day" dataDxfId="805"/>
    <tableColumn id="26" xr3:uid="{00000000-0010-0000-2B00-00001A000000}" name="K5 Half Day" totalsRowFunction="sum" dataDxfId="804"/>
    <tableColumn id="114" xr3:uid="{00000000-0010-0000-2B00-000072000000}" name="K5' Full Day" dataDxfId="803"/>
    <tableColumn id="27" xr3:uid="{00000000-0010-0000-2B00-00001B000000}" name="Gr1 H" totalsRowFunction="sum" dataDxfId="802"/>
    <tableColumn id="28" xr3:uid="{00000000-0010-0000-2B00-00001C000000}" name="Gr2 H" totalsRowFunction="sum" dataDxfId="801"/>
    <tableColumn id="29" xr3:uid="{00000000-0010-0000-2B00-00001D000000}" name="Gr3 H" totalsRowFunction="sum" dataDxfId="800"/>
    <tableColumn id="30" xr3:uid="{00000000-0010-0000-2B00-00001E000000}" name="Gr4 H" totalsRowFunction="sum" dataDxfId="799"/>
    <tableColumn id="31" xr3:uid="{00000000-0010-0000-2B00-00001F000000}" name="Gr5 H" totalsRowFunction="sum" dataDxfId="798"/>
    <tableColumn id="32" xr3:uid="{00000000-0010-0000-2B00-000020000000}" name="Gr6 H" totalsRowFunction="sum" dataDxfId="797"/>
    <tableColumn id="33" xr3:uid="{00000000-0010-0000-2B00-000021000000}" name="Gr7 H" totalsRowFunction="sum" dataDxfId="796"/>
    <tableColumn id="34" xr3:uid="{00000000-0010-0000-2B00-000022000000}" name="Gr8 H" totalsRowFunction="sum" dataDxfId="795"/>
    <tableColumn id="35" xr3:uid="{00000000-0010-0000-2B00-000023000000}" name="Ungrd. Elem. H" totalsRowFunction="sum" dataDxfId="794"/>
    <tableColumn id="36" xr3:uid="{00000000-0010-0000-2B00-000024000000}" name="Gr9 H" totalsRowFunction="sum" dataDxfId="793"/>
    <tableColumn id="37" xr3:uid="{00000000-0010-0000-2B00-000025000000}" name="Gr10 H" totalsRowFunction="sum" dataDxfId="792"/>
    <tableColumn id="38" xr3:uid="{00000000-0010-0000-2B00-000026000000}" name="Gr11 H" totalsRowFunction="sum" dataDxfId="791"/>
    <tableColumn id="39" xr3:uid="{00000000-0010-0000-2B00-000027000000}" name="Gr12 H" totalsRowFunction="sum" dataDxfId="790"/>
    <tableColumn id="93" xr3:uid="{00000000-0010-0000-2B00-00005D000000}" name="Ugrd. Sec. H" totalsRowFunction="sum" dataDxfId="789"/>
    <tableColumn id="40" xr3:uid="{00000000-0010-0000-2B00-000028000000}" name="Headcount &lt;22 Total" totalsRowFunction="sum" dataDxfId="788" totalsRowDxfId="787" dataCellStyle="Comma">
      <calculatedColumnFormula>SUM(TableAFNSchools[[#This Row],[K4''- Half-Day]:[Ugrd. Sec. H]])</calculatedColumnFormula>
    </tableColumn>
    <tableColumn id="41" xr3:uid="{00000000-0010-0000-2B00-000029000000}" name="Gr9 H 22+" totalsRowFunction="sum" dataDxfId="786"/>
    <tableColumn id="42" xr3:uid="{00000000-0010-0000-2B00-00002A000000}" name="Gr10 H 22+" totalsRowFunction="sum" dataDxfId="785"/>
    <tableColumn id="43" xr3:uid="{00000000-0010-0000-2B00-00002B000000}" name="Gr11 H 22+" totalsRowFunction="sum" dataDxfId="784"/>
    <tableColumn id="95" xr3:uid="{00000000-0010-0000-2B00-00005F000000}" name="Gr12 H 22+" totalsRowFunction="sum" dataDxfId="783"/>
    <tableColumn id="94" xr3:uid="{00000000-0010-0000-2B00-00005E000000}" name="Ungrd. Sec. H 22+" totalsRowFunction="sum" dataDxfId="782"/>
    <tableColumn id="44" xr3:uid="{00000000-0010-0000-2B00-00002C000000}" name="Total Headcount" totalsRowFunction="sum" dataDxfId="781" totalsRowDxfId="780" dataCellStyle="Comma">
      <calculatedColumnFormula>SUM(AV7:BA7)</calculatedColumnFormula>
    </tableColumn>
    <tableColumn id="45" xr3:uid="{00000000-0010-0000-2B00-00002D000000}" name="Elementary" totalsRowFunction="sum" dataDxfId="779" totalsRowDxfId="778">
      <calculatedColumnFormula>SUM(E7:Q7)</calculatedColumnFormula>
    </tableColumn>
    <tableColumn id="46" xr3:uid="{00000000-0010-0000-2B00-00002E000000}" name="Secondary" totalsRowFunction="sum" dataDxfId="777" totalsRowDxfId="776">
      <calculatedColumnFormula>SUM(R7:V7,X7:AB7)</calculatedColumnFormula>
    </tableColumn>
    <tableColumn id="47" xr3:uid="{00000000-0010-0000-2B00-00002F000000}" name="Total Funded FTE" totalsRowFunction="sum" dataDxfId="775" totalsRowDxfId="774" dataCellStyle="Comma">
      <calculatedColumnFormula>SUM(BC7:BD7)</calculatedColumnFormula>
    </tableColumn>
    <tableColumn id="89" xr3:uid="{00000000-0010-0000-2B00-000059000000}" name="Gr9 FTE Sum" totalsRowFunction="sum" dataDxfId="773" totalsRowDxfId="772" dataCellStyle="Comma">
      <calculatedColumnFormula>TableAFNSchools[[#This Row],[Gr9]]+TableAFNSchools[[#This Row],[Gr9 22+]]</calculatedColumnFormula>
    </tableColumn>
    <tableColumn id="88" xr3:uid="{00000000-0010-0000-2B00-000058000000}" name="Gr10 FTE Sum" totalsRowFunction="sum" dataDxfId="771" totalsRowDxfId="770" dataCellStyle="Comma">
      <calculatedColumnFormula>TableAFNSchools[[#This Row],[Gr10]]+TableAFNSchools[[#This Row],[Gr10 22+]]</calculatedColumnFormula>
    </tableColumn>
    <tableColumn id="48" xr3:uid="{00000000-0010-0000-2B00-000030000000}" name="Gr11 FTE Sum" totalsRowFunction="sum" dataDxfId="769">
      <calculatedColumnFormula>TableAFNSchools[[#This Row],[Gr11]]+TableAFNSchools[[#This Row],[Gr11 22+]]</calculatedColumnFormula>
    </tableColumn>
    <tableColumn id="49" xr3:uid="{00000000-0010-0000-2B00-000031000000}" name="Gr12 FTE Sum" totalsRowFunction="sum" dataDxfId="768">
      <calculatedColumnFormula>TableAFNSchools[[#This Row],[Gr12]]+TableAFNSchools[[#This Row],[Gr12 22+]]</calculatedColumnFormula>
    </tableColumn>
    <tableColumn id="50" xr3:uid="{00000000-0010-0000-2B00-000032000000}" name="No. of Elem Grades" dataDxfId="767">
      <calculatedColumnFormula>COUNTIF(TableAFNSchools[[#This Row],[K4 - Half-Day]:[Gr8]],"&gt;0")</calculatedColumnFormula>
    </tableColumn>
    <tableColumn id="51" xr3:uid="{00000000-0010-0000-2B00-000033000000}" name="No. of Second Grades" dataDxfId="766">
      <calculatedColumnFormula>COUNTIF(TableAFNSchools[[#This Row],[Gr9 FTE Sum]:[Gr12 FTE Sum]],"&gt;0")</calculatedColumnFormula>
    </tableColumn>
    <tableColumn id="52" xr3:uid="{00000000-0010-0000-2B00-000034000000}" name="Total No. of Grades" dataDxfId="765" totalsRowDxfId="764">
      <calculatedColumnFormula>SUM(BJ7:BK7)</calculatedColumnFormula>
    </tableColumn>
    <tableColumn id="53" xr3:uid="{00000000-0010-0000-2B00-000035000000}" name="Avg. Elem FTEs per Grade" dataDxfId="763" totalsRowDxfId="762" dataCellStyle="Comma">
      <calculatedColumnFormula>IFERROR(BC7/BJ7,0)</calculatedColumnFormula>
    </tableColumn>
    <tableColumn id="54" xr3:uid="{00000000-0010-0000-2B00-000036000000}" name="Avg. Second FTEs per Grade" dataDxfId="761" totalsRowDxfId="760" dataCellStyle="Comma">
      <calculatedColumnFormula>IFERROR(BD7/BK7,0)</calculatedColumnFormula>
    </tableColumn>
    <tableColumn id="55" xr3:uid="{00000000-0010-0000-2B00-000037000000}" name="Total Avg. FTEs per Grade" dataDxfId="759" totalsRowDxfId="758" dataCellStyle="Comma">
      <calculatedColumnFormula>BE7/BL7</calculatedColumnFormula>
    </tableColumn>
    <tableColumn id="105" xr3:uid="{00000000-0010-0000-2B00-000069000000}" name="Total FTE K4-Gr.3 and Elementary Ungraded " totalsRowFunction="sum" dataDxfId="757" totalsRowDxfId="756" dataCellStyle="Comma">
      <calculatedColumnFormula>TableAFNSchools[[#This Row],[K4 - Half-Day]]+TableAFNSchools[[#This Row],[K5- Half-Day]]+TableAFNSchools[[#This Row],[Gr1]]+TableAFNSchools[[#This Row],[Gr2]]+TableAFNSchools[[#This Row],[Gr3]]+TableAFNSchools[[#This Row],[Ungrd. Elem.]]+TableAFNSchools[[#This Row],[K4- Full Day]]+TableAFNSchools[[#This Row],[K5 - Full Day]]</calculatedColumnFormula>
    </tableColumn>
    <tableColumn id="108" xr3:uid="{00000000-0010-0000-2B00-00006C000000}" name="Gr. 4-6 FTE" totalsRowFunction="sum" dataDxfId="755" totalsRowDxfId="754" dataCellStyle="Comma">
      <calculatedColumnFormula>TableAFNSchools[[#This Row],[Gr4]]+TableAFNSchools[[#This Row],[Gr5]]+TableAFNSchools[[#This Row],[Gr6]]</calculatedColumnFormula>
    </tableColumn>
    <tableColumn id="107" xr3:uid="{00000000-0010-0000-2B00-00006B000000}" name="Gr. 7-8 FTE" totalsRowFunction="sum" dataDxfId="753" totalsRowDxfId="752" dataCellStyle="Comma">
      <calculatedColumnFormula>TableAFNSchools[[#This Row],[Gr7]]+TableAFNSchools[[#This Row],[Gr8]]</calculatedColumnFormula>
    </tableColumn>
    <tableColumn id="106" xr3:uid="{00000000-0010-0000-2B00-00006A000000}" name="Gr. 9-12 FTE and Sec Ungraded" totalsRowFunction="sum" dataDxfId="751" totalsRowDxfId="750" dataCellStyle="Comma">
      <calculatedColumnFormula>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calculatedColumnFormula>
    </tableColumn>
    <tableColumn id="110" xr3:uid="{00000000-0010-0000-2B00-00006E000000}" name="Gr. 9-12 HC and Ungradeable " totalsRowFunction="sum" dataDxfId="749" totalsRowDxfId="748" dataCellStyle="Comma">
      <calculatedColumnFormula>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calculatedColumnFormula>
    </tableColumn>
    <tableColumn id="109" xr3:uid="{00000000-0010-0000-2B00-00006D000000}" name="Gr. 7-12 HC and Ungradeable" totalsRowFunction="sum" dataDxfId="747" totalsRowDxfId="746" dataCellStyle="Comma">
      <calculatedColumnFormula>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calculatedColumnFormula>
    </tableColumn>
    <tableColumn id="56" xr3:uid="{00000000-0010-0000-2B00-000038000000}" name="Proximate Provincial School Division"/>
    <tableColumn id="57" xr3:uid="{00000000-0010-0000-2B00-000039000000}" name="First Nations Schools System"/>
    <tableColumn id="58" xr3:uid="{00000000-0010-0000-2B00-00003A000000}" name="School/ Program Type"/>
    <tableColumn id="70" xr3:uid="{00000000-0010-0000-2B00-000046000000}" name="K4 Program Type" dataDxfId="745">
      <calculatedColumnFormula>IF(#REF!=#REF!,"Full-Day",IF(#REF!&lt;#REF!,"Half-Day","None"))</calculatedColumnFormula>
    </tableColumn>
    <tableColumn id="76" xr3:uid="{00000000-0010-0000-2B00-00004C000000}" name="K5 Program Type" dataDxfId="744">
      <calculatedColumnFormula>IF(#REF!=#REF!,"Full-Day",IF(#REF!=0,"None","Half-Day"))</calculatedColumnFormula>
    </tableColumn>
    <tableColumn id="59" xr3:uid="{00000000-0010-0000-2B00-00003B000000}" name="North/South of 53rd Parallel &amp; Fly-in = North"/>
    <tableColumn id="60" xr3:uid="{00000000-0010-0000-2B00-00003C000000}" name="Street Address and Number"/>
    <tableColumn id="61" xr3:uid="{00000000-0010-0000-2B00-00003D000000}" name="City"/>
    <tableColumn id="62" xr3:uid="{00000000-0010-0000-2B00-00003E000000}" name="Province"/>
    <tableColumn id="63" xr3:uid="{00000000-0010-0000-2B00-00003F000000}" name="Postal Code"/>
    <tableColumn id="64" xr3:uid="{00000000-0010-0000-2B00-000040000000}" name="Latitude"/>
    <tableColumn id="65" xr3:uid="{00000000-0010-0000-2B00-000041000000}" name="Longitude"/>
    <tableColumn id="66" xr3:uid="{00000000-0010-0000-2B00-000042000000}" name="Geocoding"/>
    <tableColumn id="67" xr3:uid="{00000000-0010-0000-2B00-000043000000}" name="Obs"/>
    <tableColumn id="68" xr3:uid="{00000000-0010-0000-2B00-000044000000}" name="CSDUID"/>
    <tableColumn id="69" xr3:uid="{00000000-0010-0000-2B00-000045000000}" name="CSDNAME"/>
    <tableColumn id="71" xr3:uid="{00000000-0010-0000-2B00-000047000000}" name="Connect"/>
    <tableColumn id="72" xr3:uid="{00000000-0010-0000-2B00-000048000000}" name="X_Albers"/>
    <tableColumn id="73" xr3:uid="{00000000-0010-0000-2B00-000049000000}" name="Y_Albers"/>
    <tableColumn id="74" xr3:uid="{00000000-0010-0000-2B00-00004A000000}" name="ID" dataDxfId="743" totalsRowDxfId="742"/>
    <tableColumn id="75" xr3:uid="{00000000-0010-0000-2B00-00004B000000}" name="Geographic Index/Zone" dataDxfId="741" totalsRowDxfId="740"/>
    <tableColumn id="77" xr3:uid="{00000000-0010-0000-2B00-00004D000000}" name="City Centre"/>
    <tableColumn id="78" xr3:uid="{00000000-0010-0000-2B00-00004E000000}" name="Distance to Winnipeg in km" dataDxfId="739" totalsRowDxfId="738"/>
    <tableColumn id="79" xr3:uid="{00000000-0010-0000-2B00-00004F000000}" name="Environment" dataDxfId="737" totalsRowDxfId="736"/>
    <tableColumn id="80" xr3:uid="{00000000-0010-0000-2B00-000050000000}" name="Service Centre"/>
    <tableColumn id="104" xr3:uid="{00000000-0010-0000-2B00-000068000000}" name="Remoteness Index (According to the BCM)"/>
    <tableColumn id="87" xr3:uid="{00000000-0010-0000-2B00-000057000000}" name="Remoteness Index (adjusted for Transportation)" dataDxfId="735"/>
    <tableColumn id="81" xr3:uid="{00000000-0010-0000-2B00-000051000000}" name="School size" totalsRowFunction="sum" dataDxfId="734" totalsRowDxfId="733" dataCellStyle="Comma"/>
    <tableColumn id="82" xr3:uid="{00000000-0010-0000-2B00-000052000000}" name="Total Reserve Pop (2011 Census)" dataDxfId="732" dataCellStyle="Comma"/>
    <tableColumn id="83" xr3:uid="{00000000-0010-0000-2B00-000053000000}" name="Area of All Reserves (sq. km)"/>
    <tableColumn id="84" xr3:uid="{00000000-0010-0000-2B00-000054000000}" name="Total Student Population"/>
    <tableColumn id="85" xr3:uid="{00000000-0010-0000-2B00-000055000000}" name="Student Dispersion Factor" dataDxfId="731">
      <calculatedColumnFormula>CZ7/CY7</calculatedColumnFormula>
    </tableColumn>
    <tableColumn id="86" xr3:uid="{00000000-0010-0000-2B00-000056000000}" name="FNSS Dispersion Factor" dataDxfId="730" totalsRowDxfId="729">
      <calculatedColumnFormula>#REF!/'F1. Prov School Area 1617'!$H$47</calculatedColumnFormula>
    </tableColumn>
    <tableColumn id="96" xr3:uid="{00000000-0010-0000-2B00-000060000000}" name="Mandatory room &amp; board &lt;18" totalsRowFunction="sum"/>
    <tableColumn id="97" xr3:uid="{00000000-0010-0000-2B00-000061000000}" name="Student residence &lt;18" totalsRowFunction="sum"/>
    <tableColumn id="98" xr3:uid="{00000000-0010-0000-2B00-000062000000}" name="Boarding school &lt;18" totalsRowFunction="sum"/>
    <tableColumn id="99" xr3:uid="{00000000-0010-0000-2B00-000063000000}" name="Room and board (5 days) &lt;18" totalsRowFunction="sum"/>
    <tableColumn id="100" xr3:uid="{00000000-0010-0000-2B00-000064000000}" name="Mandatory room &amp; board 18-21" totalsRowFunction="sum"/>
    <tableColumn id="101" xr3:uid="{00000000-0010-0000-2B00-000065000000}" name="Student residence 18-21" totalsRowFunction="sum"/>
    <tableColumn id="102" xr3:uid="{00000000-0010-0000-2B00-000066000000}" name="Boarding school 18-21" totalsRowFunction="sum"/>
    <tableColumn id="103" xr3:uid="{00000000-0010-0000-2B00-000067000000}" name="Room and board (5 days) 18-21" totalsRowFunction="sum"/>
  </tableColumns>
  <tableStyleInfo name="Table Style 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C000000}" name="TableAFNSchools49" displayName="TableAFNSchools49" ref="A23:DF36" totalsRowCount="1" headerRowDxfId="728" dataDxfId="727" totalsRowDxfId="726" headerRowCellStyle="Normal">
  <autoFilter ref="A23:DF35" xr:uid="{00000000-0009-0000-0100-000030000000}"/>
  <sortState xmlns:xlrd2="http://schemas.microsoft.com/office/spreadsheetml/2017/richdata2" ref="A24:CZ34">
    <sortCondition ref="C6:C17"/>
  </sortState>
  <tableColumns count="110">
    <tableColumn id="1" xr3:uid="{00000000-0010-0000-2C00-000001000000}" name="Band No #" totalsRowLabel="Total" dataDxfId="725" totalsRowDxfId="724"/>
    <tableColumn id="2" xr3:uid="{00000000-0010-0000-2C00-000002000000}" name="Operating First Nation" dataDxfId="723" totalsRowDxfId="722"/>
    <tableColumn id="3" xr3:uid="{00000000-0010-0000-2C00-000003000000}" name="School No." dataDxfId="721" totalsRowDxfId="720"/>
    <tableColumn id="4" xr3:uid="{00000000-0010-0000-2C00-000004000000}" name="First Nation School" dataDxfId="719" totalsRowDxfId="718"/>
    <tableColumn id="5" xr3:uid="{00000000-0010-0000-2C00-000005000000}" name="K4" totalsRowFunction="sum" dataDxfId="717" totalsRowDxfId="716"/>
    <tableColumn id="6" xr3:uid="{00000000-0010-0000-2C00-000006000000}" name="K5" totalsRowFunction="sum" dataDxfId="715" totalsRowDxfId="714"/>
    <tableColumn id="7" xr3:uid="{00000000-0010-0000-2C00-000007000000}" name="Gr1" totalsRowFunction="sum" dataDxfId="713" totalsRowDxfId="712"/>
    <tableColumn id="8" xr3:uid="{00000000-0010-0000-2C00-000008000000}" name="Gr2" totalsRowFunction="sum" dataDxfId="711" totalsRowDxfId="710"/>
    <tableColumn id="9" xr3:uid="{00000000-0010-0000-2C00-000009000000}" name="Gr3" totalsRowFunction="sum" dataDxfId="709" totalsRowDxfId="708"/>
    <tableColumn id="10" xr3:uid="{00000000-0010-0000-2C00-00000A000000}" name="Gr4" totalsRowFunction="sum" dataDxfId="707" totalsRowDxfId="706"/>
    <tableColumn id="11" xr3:uid="{00000000-0010-0000-2C00-00000B000000}" name="Gr5" totalsRowFunction="sum" dataDxfId="705" totalsRowDxfId="704"/>
    <tableColumn id="12" xr3:uid="{00000000-0010-0000-2C00-00000C000000}" name="Gr6" totalsRowFunction="sum" dataDxfId="703" totalsRowDxfId="702"/>
    <tableColumn id="13" xr3:uid="{00000000-0010-0000-2C00-00000D000000}" name="Gr7" totalsRowFunction="sum" dataDxfId="701" totalsRowDxfId="700"/>
    <tableColumn id="14" xr3:uid="{00000000-0010-0000-2C00-00000E000000}" name="Gr8" totalsRowFunction="sum" dataDxfId="699" totalsRowDxfId="698"/>
    <tableColumn id="15" xr3:uid="{00000000-0010-0000-2C00-00000F000000}" name="Ungrd. Elem." totalsRowFunction="sum" dataDxfId="697" totalsRowDxfId="696"/>
    <tableColumn id="16" xr3:uid="{00000000-0010-0000-2C00-000010000000}" name="Gr9" totalsRowFunction="sum" dataDxfId="695" totalsRowDxfId="694"/>
    <tableColumn id="17" xr3:uid="{00000000-0010-0000-2C00-000011000000}" name="Gr10" totalsRowFunction="sum" dataDxfId="693" totalsRowDxfId="692"/>
    <tableColumn id="18" xr3:uid="{00000000-0010-0000-2C00-000012000000}" name="Gr11" totalsRowFunction="sum" dataDxfId="691" totalsRowDxfId="690"/>
    <tableColumn id="19" xr3:uid="{00000000-0010-0000-2C00-000013000000}" name="Gr12" totalsRowFunction="sum" dataDxfId="689" totalsRowDxfId="688"/>
    <tableColumn id="90" xr3:uid="{00000000-0010-0000-2C00-00005A000000}" name="Ungrd. Sec." totalsRowFunction="sum" dataDxfId="687" totalsRowDxfId="686"/>
    <tableColumn id="20" xr3:uid="{00000000-0010-0000-2C00-000014000000}" name="FTE &lt;22 Total" totalsRowFunction="sum" dataDxfId="685" totalsRowDxfId="684" dataCellStyle="Comma">
      <calculatedColumnFormula>SUM(TableAFNSchools49[[#This Row],[K4]:[Ungrd. Sec.]])</calculatedColumnFormula>
    </tableColumn>
    <tableColumn id="21" xr3:uid="{00000000-0010-0000-2C00-000015000000}" name="Gr9 22+" totalsRowFunction="sum" dataDxfId="683" totalsRowDxfId="682"/>
    <tableColumn id="22" xr3:uid="{00000000-0010-0000-2C00-000016000000}" name="Gr10 22+" totalsRowFunction="sum" dataDxfId="681" totalsRowDxfId="680"/>
    <tableColumn id="23" xr3:uid="{00000000-0010-0000-2C00-000017000000}" name="Gr11 22+" totalsRowFunction="sum" dataDxfId="679" totalsRowDxfId="678"/>
    <tableColumn id="92" xr3:uid="{00000000-0010-0000-2C00-00005C000000}" name="Gr12 22+" totalsRowFunction="sum" dataDxfId="677" totalsRowDxfId="676"/>
    <tableColumn id="91" xr3:uid="{00000000-0010-0000-2C00-00005B000000}" name="Ungrd. Sec. 22+" dataDxfId="675" totalsRowDxfId="674"/>
    <tableColumn id="24" xr3:uid="{00000000-0010-0000-2C00-000018000000}" name="Total FTE" totalsRowFunction="sum" dataDxfId="673" totalsRowDxfId="672" dataCellStyle="Comma 2">
      <calculatedColumnFormula>SUM(TableAFNSchools49[[#This Row],[FTE &lt;22 Total]:[Ungrd. Sec. 22+]])</calculatedColumnFormula>
    </tableColumn>
    <tableColumn id="25" xr3:uid="{00000000-0010-0000-2C00-000019000000}" name="K4 H" totalsRowFunction="sum" dataDxfId="671" totalsRowDxfId="670"/>
    <tableColumn id="26" xr3:uid="{00000000-0010-0000-2C00-00001A000000}" name="K5 H" totalsRowFunction="sum" dataDxfId="669" totalsRowDxfId="668"/>
    <tableColumn id="27" xr3:uid="{00000000-0010-0000-2C00-00001B000000}" name="Gr1 H" totalsRowFunction="sum" dataDxfId="667" totalsRowDxfId="666"/>
    <tableColumn id="28" xr3:uid="{00000000-0010-0000-2C00-00001C000000}" name="Gr2 H" totalsRowFunction="sum" dataDxfId="665" totalsRowDxfId="664"/>
    <tableColumn id="29" xr3:uid="{00000000-0010-0000-2C00-00001D000000}" name="Gr3 H" totalsRowFunction="sum" dataDxfId="663" totalsRowDxfId="662"/>
    <tableColumn id="30" xr3:uid="{00000000-0010-0000-2C00-00001E000000}" name="Gr4 H" totalsRowFunction="sum" dataDxfId="661" totalsRowDxfId="660"/>
    <tableColumn id="31" xr3:uid="{00000000-0010-0000-2C00-00001F000000}" name="Gr5 H" totalsRowFunction="sum" dataDxfId="659" totalsRowDxfId="658"/>
    <tableColumn id="32" xr3:uid="{00000000-0010-0000-2C00-000020000000}" name="Gr6 H" totalsRowFunction="sum" dataDxfId="657" totalsRowDxfId="656"/>
    <tableColumn id="33" xr3:uid="{00000000-0010-0000-2C00-000021000000}" name="Gr7 H" totalsRowFunction="sum" dataDxfId="655" totalsRowDxfId="654"/>
    <tableColumn id="34" xr3:uid="{00000000-0010-0000-2C00-000022000000}" name="Gr8 H" totalsRowFunction="sum" dataDxfId="653" totalsRowDxfId="652"/>
    <tableColumn id="35" xr3:uid="{00000000-0010-0000-2C00-000023000000}" name="Ungrd. Elem. H" totalsRowFunction="sum" dataDxfId="651" totalsRowDxfId="650"/>
    <tableColumn id="36" xr3:uid="{00000000-0010-0000-2C00-000024000000}" name="Gr9 H" totalsRowFunction="sum" dataDxfId="649" totalsRowDxfId="648"/>
    <tableColumn id="37" xr3:uid="{00000000-0010-0000-2C00-000025000000}" name="Gr10 H" totalsRowFunction="sum" dataDxfId="647" totalsRowDxfId="646"/>
    <tableColumn id="38" xr3:uid="{00000000-0010-0000-2C00-000026000000}" name="Gr11 H" totalsRowFunction="sum" dataDxfId="645" totalsRowDxfId="644"/>
    <tableColumn id="39" xr3:uid="{00000000-0010-0000-2C00-000027000000}" name="Gr12 H" totalsRowFunction="sum" dataDxfId="643" totalsRowDxfId="642"/>
    <tableColumn id="93" xr3:uid="{00000000-0010-0000-2C00-00005D000000}" name="Ugrd. Sec. H" totalsRowFunction="sum" dataDxfId="641" totalsRowDxfId="640"/>
    <tableColumn id="40" xr3:uid="{00000000-0010-0000-2C00-000028000000}" name="Headcount &lt;22 Total" totalsRowFunction="sum" dataDxfId="639" totalsRowDxfId="638" dataCellStyle="Comma">
      <calculatedColumnFormula>SUM(TableAFNSchools49[[#This Row],[K4 H]:[Ugrd. Sec. H]])</calculatedColumnFormula>
    </tableColumn>
    <tableColumn id="41" xr3:uid="{00000000-0010-0000-2C00-000029000000}" name="Gr9 H 22+" totalsRowFunction="sum" dataDxfId="637" totalsRowDxfId="636"/>
    <tableColumn id="42" xr3:uid="{00000000-0010-0000-2C00-00002A000000}" name="Gr10 H 22+" totalsRowFunction="sum" dataDxfId="635" totalsRowDxfId="634"/>
    <tableColumn id="43" xr3:uid="{00000000-0010-0000-2C00-00002B000000}" name="Gr11 H 22+" totalsRowFunction="sum" dataDxfId="633" totalsRowDxfId="632"/>
    <tableColumn id="95" xr3:uid="{00000000-0010-0000-2C00-00005F000000}" name="Gr12 H 22+" totalsRowFunction="sum" dataDxfId="631" totalsRowDxfId="630"/>
    <tableColumn id="94" xr3:uid="{00000000-0010-0000-2C00-00005E000000}" name="Ungrd. Sec. H 22+" totalsRowFunction="sum" dataDxfId="629" totalsRowDxfId="628"/>
    <tableColumn id="44" xr3:uid="{00000000-0010-0000-2C00-00002C000000}" name="Total Headcount" totalsRowFunction="sum" dataDxfId="627" totalsRowDxfId="626" dataCellStyle="Comma">
      <calculatedColumnFormula>SUM(AR24:AW24)</calculatedColumnFormula>
    </tableColumn>
    <tableColumn id="45" xr3:uid="{00000000-0010-0000-2C00-00002D000000}" name="Elementary" totalsRowFunction="sum" dataDxfId="625" totalsRowDxfId="624">
      <calculatedColumnFormula>SUM(E24:O24)</calculatedColumnFormula>
    </tableColumn>
    <tableColumn id="46" xr3:uid="{00000000-0010-0000-2C00-00002E000000}" name="Secondary" totalsRowFunction="sum" dataDxfId="623" totalsRowDxfId="622">
      <calculatedColumnFormula>SUM(P24:T24,V24:Z24)</calculatedColumnFormula>
    </tableColumn>
    <tableColumn id="47" xr3:uid="{00000000-0010-0000-2C00-00002F000000}" name="Total Funded FTE" totalsRowFunction="sum" dataDxfId="621" totalsRowDxfId="620" dataCellStyle="Comma">
      <calculatedColumnFormula>SUM(AY24:AZ24)</calculatedColumnFormula>
    </tableColumn>
    <tableColumn id="89" xr3:uid="{00000000-0010-0000-2C00-000059000000}" name="Gr9 FTE Sum" totalsRowFunction="sum" dataDxfId="619" totalsRowDxfId="618" dataCellStyle="Comma">
      <calculatedColumnFormula>TableAFNSchools49[[#This Row],[Gr9]]+TableAFNSchools49[[#This Row],[Gr9 22+]]</calculatedColumnFormula>
    </tableColumn>
    <tableColumn id="88" xr3:uid="{00000000-0010-0000-2C00-000058000000}" name="Gr10 FTE Sum" totalsRowFunction="sum" dataDxfId="617" totalsRowDxfId="616" dataCellStyle="Comma">
      <calculatedColumnFormula>TableAFNSchools49[[#This Row],[Gr10]]+TableAFNSchools49[[#This Row],[Gr10 22+]]</calculatedColumnFormula>
    </tableColumn>
    <tableColumn id="48" xr3:uid="{00000000-0010-0000-2C00-000030000000}" name="Gr11 FTE Sum" totalsRowFunction="sum" dataDxfId="615" totalsRowDxfId="614">
      <calculatedColumnFormula>TableAFNSchools49[[#This Row],[Gr11]]+TableAFNSchools49[[#This Row],[Gr11 22+]]</calculatedColumnFormula>
    </tableColumn>
    <tableColumn id="49" xr3:uid="{00000000-0010-0000-2C00-000031000000}" name="Gr12 FTE Sum" totalsRowFunction="sum" dataDxfId="613" totalsRowDxfId="612">
      <calculatedColumnFormula>TableAFNSchools49[[#This Row],[Gr12]]+TableAFNSchools49[[#This Row],[Gr12 22+]]</calculatedColumnFormula>
    </tableColumn>
    <tableColumn id="50" xr3:uid="{00000000-0010-0000-2C00-000032000000}" name="No. of Elem Grades" dataDxfId="611" totalsRowDxfId="610">
      <calculatedColumnFormula>COUNTIF(TableAFNSchools49[[#This Row],[K4]:[Gr8]],"&gt;0")</calculatedColumnFormula>
    </tableColumn>
    <tableColumn id="51" xr3:uid="{00000000-0010-0000-2C00-000033000000}" name="No. of Second Grades" dataDxfId="609" totalsRowDxfId="608">
      <calculatedColumnFormula>COUNTIF(TableAFNSchools49[[#This Row],[Gr9 FTE Sum]:[Gr12 FTE Sum]],"&gt;0")</calculatedColumnFormula>
    </tableColumn>
    <tableColumn id="52" xr3:uid="{00000000-0010-0000-2C00-000034000000}" name="Total No. of Grades" dataDxfId="607" totalsRowDxfId="606">
      <calculatedColumnFormula>SUM(BF24:BG24)</calculatedColumnFormula>
    </tableColumn>
    <tableColumn id="53" xr3:uid="{00000000-0010-0000-2C00-000035000000}" name="Avg. Elem FTEs per Grade" dataDxfId="605" totalsRowDxfId="604" dataCellStyle="Comma">
      <calculatedColumnFormula>IFERROR(AY24/BF24,0)</calculatedColumnFormula>
    </tableColumn>
    <tableColumn id="54" xr3:uid="{00000000-0010-0000-2C00-000036000000}" name="Avg. Second FTEs per Grade" dataDxfId="603" totalsRowDxfId="602" dataCellStyle="Comma">
      <calculatedColumnFormula>IFERROR(AZ24/BG24,0)</calculatedColumnFormula>
    </tableColumn>
    <tableColumn id="55" xr3:uid="{00000000-0010-0000-2C00-000037000000}" name="Total Avg. FTEs per Grade" dataDxfId="601" totalsRowDxfId="600" dataCellStyle="Comma">
      <calculatedColumnFormula>BA24/BH24</calculatedColumnFormula>
    </tableColumn>
    <tableColumn id="105" xr3:uid="{00000000-0010-0000-2C00-000069000000}" name="Total FTE K4-Gr.3 and Elementary Ungraded " totalsRowFunction="sum" dataDxfId="599" totalsRowDxfId="598" dataCellStyle="Comma">
      <calculatedColumnFormula>TableAFNSchools49[[#This Row],[K4]]+TableAFNSchools49[[#This Row],[K5]]+TableAFNSchools49[[#This Row],[Gr1]]+TableAFNSchools49[[#This Row],[Gr2]]+TableAFNSchools49[[#This Row],[Gr3]]+TableAFNSchools49[[#This Row],[Ungrd. Elem.]]</calculatedColumnFormula>
    </tableColumn>
    <tableColumn id="108" xr3:uid="{00000000-0010-0000-2C00-00006C000000}" name="Gr. 4-6 FTE" totalsRowFunction="sum" dataDxfId="597" totalsRowDxfId="596" dataCellStyle="Comma">
      <calculatedColumnFormula>TableAFNSchools49[[#This Row],[Gr4]]+TableAFNSchools49[[#This Row],[Gr5]]+TableAFNSchools49[[#This Row],[Gr6]]</calculatedColumnFormula>
    </tableColumn>
    <tableColumn id="107" xr3:uid="{00000000-0010-0000-2C00-00006B000000}" name="Gr. 7-8 FTE" totalsRowFunction="sum" dataDxfId="595" totalsRowDxfId="594" dataCellStyle="Comma">
      <calculatedColumnFormula>TableAFNSchools49[[#This Row],[Gr7]]+TableAFNSchools49[[#This Row],[Gr8]]</calculatedColumnFormula>
    </tableColumn>
    <tableColumn id="106" xr3:uid="{00000000-0010-0000-2C00-00006A000000}" name="Gr. 9-12 FTE and Sec Ungraded" totalsRowFunction="sum" dataDxfId="593" totalsRowDxfId="592" dataCellStyle="Comma">
      <calculatedColumnFormula>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calculatedColumnFormula>
    </tableColumn>
    <tableColumn id="110" xr3:uid="{00000000-0010-0000-2C00-00006E000000}" name="Gr. 9-12 HC and Ungradeable " totalsRowFunction="sum" dataDxfId="591" totalsRowDxfId="590" dataCellStyle="Comma">
      <calculatedColumnFormula>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calculatedColumnFormula>
    </tableColumn>
    <tableColumn id="109" xr3:uid="{00000000-0010-0000-2C00-00006D000000}" name="Gr. 7-12 HC and Ungradeable" totalsRowFunction="sum" dataDxfId="589" totalsRowDxfId="588" dataCellStyle="Comma">
      <calculatedColumnFormula>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calculatedColumnFormula>
    </tableColumn>
    <tableColumn id="56" xr3:uid="{00000000-0010-0000-2C00-000038000000}" name="Matching Provincial School Division" dataDxfId="587" totalsRowDxfId="586"/>
    <tableColumn id="57" xr3:uid="{00000000-0010-0000-2C00-000039000000}" name="First Nations Schools System" dataDxfId="585" totalsRowDxfId="584"/>
    <tableColumn id="58" xr3:uid="{00000000-0010-0000-2C00-00003A000000}" name="School/ Program Type" dataDxfId="583" totalsRowDxfId="582"/>
    <tableColumn id="70" xr3:uid="{00000000-0010-0000-2C00-000046000000}" name="K4 Program Type" dataDxfId="581" totalsRowDxfId="580">
      <calculatedColumnFormula>IF(TableAFNSchools49[[#This Row],[K4]]=TableAFNSchools49[[#This Row],[K4 H]],"Full-Day",IF(TableAFNSchools49[[#This Row],[K4]]&lt;TableAFNSchools49[[#This Row],[K4 H]],"Half-Day","None"))</calculatedColumnFormula>
    </tableColumn>
    <tableColumn id="76" xr3:uid="{00000000-0010-0000-2C00-00004C000000}" name="K5 Program Type" dataDxfId="579" totalsRowDxfId="578">
      <calculatedColumnFormula>IF(TableAFNSchools49[[#This Row],[K5]]=TableAFNSchools49[[#This Row],[K5 H]],"Full-Day",IF(TableAFNSchools49[[#This Row],[K5]]=0,"None","Half-Day"))</calculatedColumnFormula>
    </tableColumn>
    <tableColumn id="59" xr3:uid="{00000000-0010-0000-2C00-00003B000000}" name="North/South of 53rd Parallel &amp; Fly-in = North" dataDxfId="577" totalsRowDxfId="576"/>
    <tableColumn id="60" xr3:uid="{00000000-0010-0000-2C00-00003C000000}" name="Street Address and Number" dataDxfId="575" totalsRowDxfId="574"/>
    <tableColumn id="61" xr3:uid="{00000000-0010-0000-2C00-00003D000000}" name="City" dataDxfId="573" totalsRowDxfId="572"/>
    <tableColumn id="62" xr3:uid="{00000000-0010-0000-2C00-00003E000000}" name="Province" dataDxfId="571" totalsRowDxfId="570"/>
    <tableColumn id="63" xr3:uid="{00000000-0010-0000-2C00-00003F000000}" name="Postal Code" dataDxfId="569" totalsRowDxfId="568"/>
    <tableColumn id="64" xr3:uid="{00000000-0010-0000-2C00-000040000000}" name="Latitude" dataDxfId="567" totalsRowDxfId="566"/>
    <tableColumn id="65" xr3:uid="{00000000-0010-0000-2C00-000041000000}" name="Longitude" dataDxfId="565" totalsRowDxfId="564"/>
    <tableColumn id="66" xr3:uid="{00000000-0010-0000-2C00-000042000000}" name="Geocoding" dataDxfId="563" totalsRowDxfId="562"/>
    <tableColumn id="67" xr3:uid="{00000000-0010-0000-2C00-000043000000}" name="Obs" dataDxfId="561" totalsRowDxfId="560"/>
    <tableColumn id="68" xr3:uid="{00000000-0010-0000-2C00-000044000000}" name="CSDUID" dataDxfId="559" totalsRowDxfId="558"/>
    <tableColumn id="69" xr3:uid="{00000000-0010-0000-2C00-000045000000}" name="CSDNAME" dataDxfId="557" totalsRowDxfId="556"/>
    <tableColumn id="71" xr3:uid="{00000000-0010-0000-2C00-000047000000}" name="Connect" dataDxfId="555" totalsRowDxfId="554"/>
    <tableColumn id="72" xr3:uid="{00000000-0010-0000-2C00-000048000000}" name="X_Albers" dataDxfId="553" totalsRowDxfId="552"/>
    <tableColumn id="73" xr3:uid="{00000000-0010-0000-2C00-000049000000}" name="Y_Albers" dataDxfId="551" totalsRowDxfId="550"/>
    <tableColumn id="74" xr3:uid="{00000000-0010-0000-2C00-00004A000000}" name="ID" dataDxfId="549" totalsRowDxfId="548"/>
    <tableColumn id="75" xr3:uid="{00000000-0010-0000-2C00-00004B000000}" name="Geographic Index/Zone" dataDxfId="547" totalsRowDxfId="546"/>
    <tableColumn id="77" xr3:uid="{00000000-0010-0000-2C00-00004D000000}" name="City Centre" dataDxfId="545" totalsRowDxfId="544"/>
    <tableColumn id="78" xr3:uid="{00000000-0010-0000-2C00-00004E000000}" name="Distance to Winnipeg in km" dataDxfId="543" totalsRowDxfId="542"/>
    <tableColumn id="79" xr3:uid="{00000000-0010-0000-2C00-00004F000000}" name="Environment" dataDxfId="541" totalsRowDxfId="540"/>
    <tableColumn id="80" xr3:uid="{00000000-0010-0000-2C00-000050000000}" name="Service Centre" dataDxfId="539" totalsRowDxfId="538"/>
    <tableColumn id="104" xr3:uid="{00000000-0010-0000-2C00-000068000000}" name="Remoteness Index (According to the BCM)" dataDxfId="537" totalsRowDxfId="536"/>
    <tableColumn id="87" xr3:uid="{00000000-0010-0000-2C00-000057000000}" name="Remoteness Index (adjusted for Transportation)" dataDxfId="535" totalsRowDxfId="534"/>
    <tableColumn id="81" xr3:uid="{00000000-0010-0000-2C00-000051000000}" name="School size" totalsRowFunction="sum" dataDxfId="533" totalsRowDxfId="532" dataCellStyle="Comma"/>
    <tableColumn id="82" xr3:uid="{00000000-0010-0000-2C00-000052000000}" name="Total Reserve Pop (2011 Census)" dataDxfId="531" totalsRowDxfId="530" dataCellStyle="Comma"/>
    <tableColumn id="83" xr3:uid="{00000000-0010-0000-2C00-000053000000}" name="Area of All Reserves (sq. km)" dataDxfId="529" totalsRowDxfId="528"/>
    <tableColumn id="84" xr3:uid="{00000000-0010-0000-2C00-000054000000}" name="Total Student Population" dataDxfId="527" totalsRowDxfId="526"/>
    <tableColumn id="85" xr3:uid="{00000000-0010-0000-2C00-000055000000}" name="Student Dispersion Factor" dataDxfId="525" totalsRowDxfId="524">
      <calculatedColumnFormula>CV24/CU24</calculatedColumnFormula>
    </tableColumn>
    <tableColumn id="86" xr3:uid="{00000000-0010-0000-2C00-000056000000}" name="FNSS Dispersion Factor" dataDxfId="523" totalsRowDxfId="522">
      <calculatedColumnFormula>#REF!/'F1. Prov School Area 1617'!$H$47</calculatedColumnFormula>
    </tableColumn>
    <tableColumn id="96" xr3:uid="{00000000-0010-0000-2C00-000060000000}" name="Mandatory room &amp; board &lt;18" totalsRowFunction="sum" dataDxfId="521" totalsRowDxfId="520"/>
    <tableColumn id="97" xr3:uid="{00000000-0010-0000-2C00-000061000000}" name="Student residence &lt;18" totalsRowFunction="sum" dataDxfId="519" totalsRowDxfId="518"/>
    <tableColumn id="98" xr3:uid="{00000000-0010-0000-2C00-000062000000}" name="Boarding school &lt;18" totalsRowFunction="sum" dataDxfId="517" totalsRowDxfId="516"/>
    <tableColumn id="99" xr3:uid="{00000000-0010-0000-2C00-000063000000}" name="Room and board (5 days) &lt;18" totalsRowFunction="sum" dataDxfId="515" totalsRowDxfId="514"/>
    <tableColumn id="100" xr3:uid="{00000000-0010-0000-2C00-000064000000}" name="Mandatory room &amp; board 18-21" totalsRowFunction="sum" dataDxfId="513" totalsRowDxfId="512"/>
    <tableColumn id="101" xr3:uid="{00000000-0010-0000-2C00-000065000000}" name="Student residence 18-21" totalsRowFunction="sum" dataDxfId="511" totalsRowDxfId="510"/>
    <tableColumn id="102" xr3:uid="{00000000-0010-0000-2C00-000066000000}" name="Boarding school 18-21" totalsRowFunction="sum" dataDxfId="509" totalsRowDxfId="508"/>
    <tableColumn id="103" xr3:uid="{00000000-0010-0000-2C00-000067000000}" name="Room and board (5 days) 18-21" totalsRowFunction="sum" dataDxfId="507" totalsRowDxfId="506"/>
  </tableColumns>
  <tableStyleInfo name="Table Style 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D000000}" name="BProvPrivEnrlmtUnder2246" displayName="BProvPrivEnrlmtUnder2246" ref="A562:BA648" totalsRowCount="1" headerRowDxfId="505" dataDxfId="504" totalsRowDxfId="503">
  <autoFilter ref="A562:BA647" xr:uid="{00000000-0009-0000-0100-00002D000000}"/>
  <tableColumns count="53">
    <tableColumn id="1" xr3:uid="{00000000-0010-0000-2D00-000001000000}" name="Band No." dataDxfId="502" totalsRowDxfId="501" dataCellStyle="Normal 11"/>
    <tableColumn id="2" xr3:uid="{00000000-0010-0000-2D00-000002000000}" name="First Nation of Residence" dataDxfId="500" totalsRowDxfId="499" dataCellStyle="Normal 11"/>
    <tableColumn id="5" xr3:uid="{00000000-0010-0000-2D00-000005000000}" name="School No." dataDxfId="498" totalsRowDxfId="497" dataCellStyle="Normal 11"/>
    <tableColumn id="6" xr3:uid="{00000000-0010-0000-2D00-000006000000}" name="School Name" dataDxfId="496" totalsRowDxfId="495" dataCellStyle="Normal 11"/>
    <tableColumn id="7" xr3:uid="{00000000-0010-0000-2D00-000007000000}" name="School Type" dataDxfId="494" totalsRowDxfId="493"/>
    <tableColumn id="8" xr3:uid="{00000000-0010-0000-2D00-000008000000}" name="K4" totalsRowFunction="sum" dataDxfId="492" totalsRowDxfId="491"/>
    <tableColumn id="9" xr3:uid="{00000000-0010-0000-2D00-000009000000}" name="K5" totalsRowFunction="sum" dataDxfId="490" totalsRowDxfId="489"/>
    <tableColumn id="10" xr3:uid="{00000000-0010-0000-2D00-00000A000000}" name="Grade 1" totalsRowFunction="sum" dataDxfId="488" totalsRowDxfId="487"/>
    <tableColumn id="11" xr3:uid="{00000000-0010-0000-2D00-00000B000000}" name="Grade 2" totalsRowFunction="sum" dataDxfId="486" totalsRowDxfId="485"/>
    <tableColumn id="12" xr3:uid="{00000000-0010-0000-2D00-00000C000000}" name="Grade 3" totalsRowFunction="sum" dataDxfId="484" totalsRowDxfId="483"/>
    <tableColumn id="13" xr3:uid="{00000000-0010-0000-2D00-00000D000000}" name="Grade 4" totalsRowFunction="sum" dataDxfId="482" totalsRowDxfId="481"/>
    <tableColumn id="14" xr3:uid="{00000000-0010-0000-2D00-00000E000000}" name="Grade 5" totalsRowFunction="sum" dataDxfId="480" totalsRowDxfId="479"/>
    <tableColumn id="16" xr3:uid="{00000000-0010-0000-2D00-000010000000}" name="Grade 6" totalsRowFunction="sum" dataDxfId="478" totalsRowDxfId="477"/>
    <tableColumn id="15" xr3:uid="{00000000-0010-0000-2D00-00000F000000}" name="Grade 7" totalsRowFunction="sum" dataDxfId="476" totalsRowDxfId="475"/>
    <tableColumn id="17" xr3:uid="{00000000-0010-0000-2D00-000011000000}" name="Grade 8" totalsRowFunction="sum" dataDxfId="474" totalsRowDxfId="473"/>
    <tableColumn id="18" xr3:uid="{00000000-0010-0000-2D00-000012000000}" name="Ungradable Elem FTE" totalsRowFunction="sum" dataDxfId="472" totalsRowDxfId="471"/>
    <tableColumn id="23" xr3:uid="{00000000-0010-0000-2D00-000017000000}" name="Grade 9" totalsRowFunction="sum" dataDxfId="470" totalsRowDxfId="469"/>
    <tableColumn id="22" xr3:uid="{00000000-0010-0000-2D00-000016000000}" name="Grade 10" totalsRowFunction="sum" dataDxfId="468" totalsRowDxfId="467"/>
    <tableColumn id="19" xr3:uid="{00000000-0010-0000-2D00-000013000000}" name="Grade 11" totalsRowFunction="sum" dataDxfId="466" totalsRowDxfId="465"/>
    <tableColumn id="20" xr3:uid="{00000000-0010-0000-2D00-000014000000}" name="Grade 12" totalsRowFunction="sum" dataDxfId="464" totalsRowDxfId="463"/>
    <tableColumn id="21" xr3:uid="{00000000-0010-0000-2D00-000015000000}" name="Ungradable Second FTE" totalsRowFunction="sum" dataDxfId="462" totalsRowDxfId="461"/>
    <tableColumn id="24" xr3:uid="{00000000-0010-0000-2D00-000018000000}" name="TOTAL &lt;22 FTE" totalsRowFunction="sum" dataDxfId="460" totalsRowDxfId="459"/>
    <tableColumn id="25" xr3:uid="{00000000-0010-0000-2D00-000019000000}" name="K4 H" totalsRowFunction="sum" dataDxfId="458" totalsRowDxfId="457"/>
    <tableColumn id="26" xr3:uid="{00000000-0010-0000-2D00-00001A000000}" name="K5 H" totalsRowFunction="sum" dataDxfId="456" totalsRowDxfId="455"/>
    <tableColumn id="27" xr3:uid="{00000000-0010-0000-2D00-00001B000000}" name="Grade 1 H" totalsRowFunction="sum" dataDxfId="454" totalsRowDxfId="453"/>
    <tableColumn id="28" xr3:uid="{00000000-0010-0000-2D00-00001C000000}" name="Grade 2 H" totalsRowFunction="sum" dataDxfId="452" totalsRowDxfId="451"/>
    <tableColumn id="29" xr3:uid="{00000000-0010-0000-2D00-00001D000000}" name="Grade 3 H" totalsRowFunction="sum" dataDxfId="450" totalsRowDxfId="449"/>
    <tableColumn id="30" xr3:uid="{00000000-0010-0000-2D00-00001E000000}" name="Grade 4 H" totalsRowFunction="sum" dataDxfId="448" totalsRowDxfId="447"/>
    <tableColumn id="31" xr3:uid="{00000000-0010-0000-2D00-00001F000000}" name="Grade 5 H" totalsRowFunction="sum" dataDxfId="446" totalsRowDxfId="445"/>
    <tableColumn id="32" xr3:uid="{00000000-0010-0000-2D00-000020000000}" name="Grade 6 H" totalsRowFunction="sum" dataDxfId="444" totalsRowDxfId="443"/>
    <tableColumn id="33" xr3:uid="{00000000-0010-0000-2D00-000021000000}" name="Grade 7 H" totalsRowFunction="sum" dataDxfId="442" totalsRowDxfId="441"/>
    <tableColumn id="34" xr3:uid="{00000000-0010-0000-2D00-000022000000}" name="Grade 8 H" totalsRowFunction="sum" dataDxfId="440" totalsRowDxfId="439"/>
    <tableColumn id="35" xr3:uid="{00000000-0010-0000-2D00-000023000000}" name="Ungradable Elem H" totalsRowFunction="sum" dataDxfId="438" totalsRowDxfId="437"/>
    <tableColumn id="36" xr3:uid="{00000000-0010-0000-2D00-000024000000}" name="Grade 9 H" totalsRowFunction="sum" dataDxfId="436" totalsRowDxfId="435"/>
    <tableColumn id="37" xr3:uid="{00000000-0010-0000-2D00-000025000000}" name="Grade 10 H" totalsRowFunction="sum" dataDxfId="434" totalsRowDxfId="433"/>
    <tableColumn id="38" xr3:uid="{00000000-0010-0000-2D00-000026000000}" name="Grade 11 H" totalsRowFunction="sum" dataDxfId="432" totalsRowDxfId="431"/>
    <tableColumn id="39" xr3:uid="{00000000-0010-0000-2D00-000027000000}" name="Grade 12 H" totalsRowFunction="sum" dataDxfId="430" totalsRowDxfId="429"/>
    <tableColumn id="40" xr3:uid="{00000000-0010-0000-2D00-000028000000}" name="Ungradable Second H" totalsRowFunction="sum" dataDxfId="428" totalsRowDxfId="427"/>
    <tableColumn id="41" xr3:uid="{00000000-0010-0000-2D00-000029000000}" name="TOTAL &lt;22 HEADCOUNT" totalsRowFunction="sum" dataDxfId="426" totalsRowDxfId="425"/>
    <tableColumn id="53" xr3:uid="{00000000-0010-0000-2D00-000035000000}" name="ADJUSTED HEADCOUNT FOR TRANSPORTATION" totalsRowFunction="sum" dataDxfId="424" totalsRowDxfId="423"/>
    <tableColumn id="42" xr3:uid="{00000000-0010-0000-2D00-00002A000000}" name="First Nation of Residence Location" dataDxfId="422" totalsRowDxfId="421"/>
    <tableColumn id="43" xr3:uid="{00000000-0010-0000-2D00-00002B000000}" name="District of the School Attended" dataDxfId="420" totalsRowDxfId="419"/>
    <tableColumn id="44" xr3:uid="{00000000-0010-0000-2D00-00002C000000}" name="Proximate Public School District to First Nation of residence" dataDxfId="418" totalsRowDxfId="417"/>
    <tableColumn id="3" xr3:uid="{00000000-0010-0000-2D00-000003000000}" name="K4 Program Type" dataDxfId="416" totalsRowDxfId="415"/>
    <tableColumn id="45" xr3:uid="{00000000-0010-0000-2D00-00002D000000}" name="K5 Program Type" dataDxfId="414" totalsRowDxfId="413"/>
    <tableColumn id="4" xr3:uid="{00000000-0010-0000-2D00-000004000000}" name="Mandatory room &amp; board &lt;18" totalsRowFunction="sum" dataDxfId="412" totalsRowDxfId="411"/>
    <tableColumn id="46" xr3:uid="{00000000-0010-0000-2D00-00002E000000}" name="Student residence &lt;18" totalsRowFunction="sum" dataDxfId="410" totalsRowDxfId="409"/>
    <tableColumn id="47" xr3:uid="{00000000-0010-0000-2D00-00002F000000}" name="Boarding school &lt;18" totalsRowFunction="sum" dataDxfId="408" totalsRowDxfId="407"/>
    <tableColumn id="48" xr3:uid="{00000000-0010-0000-2D00-000030000000}" name="Room and board (5 days) &lt;18" totalsRowFunction="sum" dataDxfId="406" totalsRowDxfId="405"/>
    <tableColumn id="49" xr3:uid="{00000000-0010-0000-2D00-000031000000}" name="Mandatory room &amp; board 18-21" totalsRowFunction="sum" dataDxfId="404" totalsRowDxfId="403"/>
    <tableColumn id="50" xr3:uid="{00000000-0010-0000-2D00-000032000000}" name="Student residence 18-21" totalsRowFunction="sum" dataDxfId="402" totalsRowDxfId="401"/>
    <tableColumn id="51" xr3:uid="{00000000-0010-0000-2D00-000033000000}" name="Boarding school 18-21" totalsRowFunction="sum" dataDxfId="400" totalsRowDxfId="399"/>
    <tableColumn id="52" xr3:uid="{00000000-0010-0000-2D00-000034000000}" name="Room and board (5 days) 18-21" totalsRowFunction="sum" dataDxfId="398" totalsRowDxfId="397"/>
  </tableColumns>
  <tableStyleInfo name="Table Style 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2E000000}" name="BProvPrivEnrlmtUnder2233" displayName="BProvPrivEnrlmtUnder2233" ref="A468:BC557" totalsRowCount="1" headerRowDxfId="396" dataDxfId="395" totalsRowDxfId="394">
  <autoFilter ref="A468:BC556" xr:uid="{00000000-0009-0000-0100-000020000000}"/>
  <tableColumns count="55">
    <tableColumn id="1" xr3:uid="{00000000-0010-0000-2E00-000001000000}" name="Band No." dataDxfId="393" totalsRowDxfId="392" dataCellStyle="Normal 11"/>
    <tableColumn id="2" xr3:uid="{00000000-0010-0000-2E00-000002000000}" name="First Nation of Residence" dataDxfId="391" totalsRowDxfId="390" dataCellStyle="Normal 11"/>
    <tableColumn id="5" xr3:uid="{00000000-0010-0000-2E00-000005000000}" name="School No." dataDxfId="389" totalsRowDxfId="388" dataCellStyle="Normal 11"/>
    <tableColumn id="6" xr3:uid="{00000000-0010-0000-2E00-000006000000}" name="School Name" dataDxfId="387" totalsRowDxfId="386" dataCellStyle="Normal 11"/>
    <tableColumn id="55" xr3:uid="{00000000-0010-0000-2E00-000037000000}" name="School District Attended" dataDxfId="385" totalsRowDxfId="384" dataCellStyle="Normal 11"/>
    <tableColumn id="7" xr3:uid="{00000000-0010-0000-2E00-000007000000}" name="School Type" dataDxfId="383" totalsRowDxfId="382"/>
    <tableColumn id="8" xr3:uid="{00000000-0010-0000-2E00-000008000000}" name="K4" totalsRowFunction="sum" dataDxfId="381" totalsRowDxfId="380"/>
    <tableColumn id="9" xr3:uid="{00000000-0010-0000-2E00-000009000000}" name="K5" totalsRowFunction="sum" dataDxfId="379" totalsRowDxfId="378"/>
    <tableColumn id="10" xr3:uid="{00000000-0010-0000-2E00-00000A000000}" name="Grade 1" totalsRowFunction="sum" dataDxfId="377" totalsRowDxfId="376"/>
    <tableColumn id="11" xr3:uid="{00000000-0010-0000-2E00-00000B000000}" name="Grade 2" totalsRowFunction="sum" dataDxfId="375" totalsRowDxfId="374"/>
    <tableColumn id="12" xr3:uid="{00000000-0010-0000-2E00-00000C000000}" name="Grade 3" totalsRowFunction="sum" dataDxfId="373" totalsRowDxfId="372"/>
    <tableColumn id="13" xr3:uid="{00000000-0010-0000-2E00-00000D000000}" name="Grade 4" totalsRowFunction="sum" dataDxfId="371" totalsRowDxfId="370"/>
    <tableColumn id="14" xr3:uid="{00000000-0010-0000-2E00-00000E000000}" name="Grade 5" totalsRowFunction="sum" dataDxfId="369" totalsRowDxfId="368"/>
    <tableColumn id="16" xr3:uid="{00000000-0010-0000-2E00-000010000000}" name="Grade 6" totalsRowFunction="sum" dataDxfId="367" totalsRowDxfId="366"/>
    <tableColumn id="15" xr3:uid="{00000000-0010-0000-2E00-00000F000000}" name="Grade 7" totalsRowFunction="sum" dataDxfId="365" totalsRowDxfId="364"/>
    <tableColumn id="17" xr3:uid="{00000000-0010-0000-2E00-000011000000}" name="Grade 8" totalsRowFunction="sum" dataDxfId="363" totalsRowDxfId="362"/>
    <tableColumn id="18" xr3:uid="{00000000-0010-0000-2E00-000012000000}" name="Ungradable Elem FTE" totalsRowFunction="sum" dataDxfId="361" totalsRowDxfId="360"/>
    <tableColumn id="23" xr3:uid="{00000000-0010-0000-2E00-000017000000}" name="Grade 9" totalsRowFunction="sum" dataDxfId="359" totalsRowDxfId="358"/>
    <tableColumn id="22" xr3:uid="{00000000-0010-0000-2E00-000016000000}" name="Grade 10" totalsRowFunction="sum" dataDxfId="357" totalsRowDxfId="356"/>
    <tableColumn id="19" xr3:uid="{00000000-0010-0000-2E00-000013000000}" name="Grade 11" totalsRowFunction="sum" dataDxfId="355" totalsRowDxfId="354"/>
    <tableColumn id="20" xr3:uid="{00000000-0010-0000-2E00-000014000000}" name="Grade 12" totalsRowFunction="sum" dataDxfId="353" totalsRowDxfId="352"/>
    <tableColumn id="21" xr3:uid="{00000000-0010-0000-2E00-000015000000}" name="Ungradable Second FTE" totalsRowFunction="sum" dataDxfId="351" totalsRowDxfId="350"/>
    <tableColumn id="24" xr3:uid="{00000000-0010-0000-2E00-000018000000}" name="TOTAL &lt;22 FTE" totalsRowFunction="sum" dataDxfId="349" totalsRowDxfId="348">
      <calculatedColumnFormula>SUM(BProvPrivEnrlmtUnder2233[[#This Row],[K4]:[Ungradable Second FTE]])</calculatedColumnFormula>
    </tableColumn>
    <tableColumn id="25" xr3:uid="{00000000-0010-0000-2E00-000019000000}" name="K4 H" totalsRowFunction="sum" dataDxfId="347" totalsRowDxfId="346"/>
    <tableColumn id="26" xr3:uid="{00000000-0010-0000-2E00-00001A000000}" name="K5 H" totalsRowFunction="sum" dataDxfId="345" totalsRowDxfId="344"/>
    <tableColumn id="27" xr3:uid="{00000000-0010-0000-2E00-00001B000000}" name="Grade 1 H" totalsRowFunction="sum" dataDxfId="343" totalsRowDxfId="342"/>
    <tableColumn id="28" xr3:uid="{00000000-0010-0000-2E00-00001C000000}" name="Grade 2 H" totalsRowFunction="sum" dataDxfId="341" totalsRowDxfId="340"/>
    <tableColumn id="29" xr3:uid="{00000000-0010-0000-2E00-00001D000000}" name="Grade 3 H" totalsRowFunction="sum" dataDxfId="339" totalsRowDxfId="338"/>
    <tableColumn id="30" xr3:uid="{00000000-0010-0000-2E00-00001E000000}" name="Grade 4 H" totalsRowFunction="sum" dataDxfId="337" totalsRowDxfId="336"/>
    <tableColumn id="31" xr3:uid="{00000000-0010-0000-2E00-00001F000000}" name="Grade 5 H" totalsRowFunction="sum" dataDxfId="335" totalsRowDxfId="334"/>
    <tableColumn id="32" xr3:uid="{00000000-0010-0000-2E00-000020000000}" name="Grade 6 H" totalsRowFunction="sum" dataDxfId="333" totalsRowDxfId="332"/>
    <tableColumn id="33" xr3:uid="{00000000-0010-0000-2E00-000021000000}" name="Grade 7 H" totalsRowFunction="sum" dataDxfId="331" totalsRowDxfId="330"/>
    <tableColumn id="34" xr3:uid="{00000000-0010-0000-2E00-000022000000}" name="Grade 8 H" totalsRowFunction="sum" dataDxfId="329" totalsRowDxfId="328"/>
    <tableColumn id="35" xr3:uid="{00000000-0010-0000-2E00-000023000000}" name="Ungradable Elem H" totalsRowFunction="sum" dataDxfId="327" totalsRowDxfId="326"/>
    <tableColumn id="36" xr3:uid="{00000000-0010-0000-2E00-000024000000}" name="Grade 9 H" totalsRowFunction="sum" dataDxfId="325" totalsRowDxfId="324"/>
    <tableColumn id="37" xr3:uid="{00000000-0010-0000-2E00-000025000000}" name="Grade 10 H" totalsRowFunction="sum" dataDxfId="323" totalsRowDxfId="322"/>
    <tableColumn id="38" xr3:uid="{00000000-0010-0000-2E00-000026000000}" name="Grade 11 H" totalsRowFunction="sum" dataDxfId="321" totalsRowDxfId="320"/>
    <tableColumn id="39" xr3:uid="{00000000-0010-0000-2E00-000027000000}" name="Grade 12 H" totalsRowFunction="sum" dataDxfId="319" totalsRowDxfId="318"/>
    <tableColumn id="40" xr3:uid="{00000000-0010-0000-2E00-000028000000}" name="Ungradable Second H" totalsRowFunction="sum" dataDxfId="317" totalsRowDxfId="316"/>
    <tableColumn id="41" xr3:uid="{00000000-0010-0000-2E00-000029000000}" name="TOTAL &lt;22 HEADCOUNT" totalsRowFunction="sum" dataDxfId="315" totalsRowDxfId="314">
      <calculatedColumnFormula>SUM(BProvPrivEnrlmtUnder2233[[#This Row],[K4 H]:[Ungradable Second H]])</calculatedColumnFormula>
    </tableColumn>
    <tableColumn id="53" xr3:uid="{00000000-0010-0000-2E00-000035000000}" name="ADJUSTED HEADCOUNT FOR TRANSPORTATION" totalsRowFunction="sum" dataDxfId="313" totalsRowDxfId="312">
      <calculatedColumnFormula>IF(BProvPrivEnrlmtUnder2233[[#This Row],[School Type]]="Adult",0,BProvPrivEnrlmtUnder2233[[#This Row],[TOTAL &lt;22 HEADCOUNT]])</calculatedColumnFormula>
    </tableColumn>
    <tableColumn id="42" xr3:uid="{00000000-0010-0000-2E00-00002A000000}" name="First Nation of Residence Location" dataDxfId="311" totalsRowDxfId="310"/>
    <tableColumn id="54" xr3:uid="{00000000-0010-0000-2E00-000036000000}" name="North/South of 53rd Parallel &amp; Fly-in = North" dataDxfId="309" totalsRowDxfId="308">
      <calculatedColumnFormula>INDEX(TableAFNSchools[North/South of 53rd Parallel &amp; Fly-in = North],MATCH(BProvPrivEnrlmtUnder2233[[#This Row],[Band No.]],TableAFNSchools[Band No '#],0))</calculatedColumnFormula>
    </tableColumn>
    <tableColumn id="43" xr3:uid="{00000000-0010-0000-2E00-00002B000000}" name="District of the School Attended" dataDxfId="307" totalsRowDxfId="306"/>
    <tableColumn id="44" xr3:uid="{00000000-0010-0000-2E00-00002C000000}" name="Proximate Public School District to First Nation of residence" dataDxfId="305" totalsRowDxfId="304"/>
    <tableColumn id="3" xr3:uid="{00000000-0010-0000-2E00-000003000000}" name="K4 Program Type" dataDxfId="303" totalsRowDxfId="302">
      <calculatedColumnFormula>IF(BProvPrivEnrlmtUnder2233[[#This Row],[K4]]="","None",IF(BProvPrivEnrlmtUnder2233[[#This Row],[K4]]&lt;BProvPrivEnrlmtUnder2233[[#This Row],[K4 H]],"Half-day",IF(AND(BProvPrivEnrlmtUnder2233[[#This Row],[K4]]&gt;0,BProvPrivEnrlmtUnder2233[[#This Row],[K4]]=BProvPrivEnrlmtUnder2233[[#This Row],[K4 H]]),"Full-day",0)))</calculatedColumnFormula>
    </tableColumn>
    <tableColumn id="45" xr3:uid="{00000000-0010-0000-2E00-00002D000000}" name="K5 Program Type" dataDxfId="301" totalsRowDxfId="300">
      <calculatedColumnFormula>IF(BProvPrivEnrlmtUnder2233[[#This Row],[K5]]="","None",IF(BProvPrivEnrlmtUnder2233[[#This Row],[K5]]&lt;BProvPrivEnrlmtUnder2233[[#This Row],[K5 H]],"Half-day",IF(AND(BProvPrivEnrlmtUnder2233[[#This Row],[K5]]&gt;0,BProvPrivEnrlmtUnder2233[[#This Row],[K5]]=BProvPrivEnrlmtUnder2233[[#This Row],[K5 H]]),"Full-day",0)))</calculatedColumnFormula>
    </tableColumn>
    <tableColumn id="4" xr3:uid="{00000000-0010-0000-2E00-000004000000}" name="Mandatory room &amp; board &lt;18" totalsRowFunction="sum" dataDxfId="299" totalsRowDxfId="298">
      <calculatedColumnFormula array="1">IFERROR(INDEX($J$755:$J$818,MATCH(BProvPrivEnrlmtUnder2233[[#This Row],[Band No.]]&amp;BProvPrivEnrlmtUnder2233[[#This Row],[School No.]],$A$755:$A$818&amp;$E$755:$E$818,0)),0)</calculatedColumnFormula>
    </tableColumn>
    <tableColumn id="46" xr3:uid="{00000000-0010-0000-2E00-00002E000000}" name="Student residence &lt;18" totalsRowFunction="sum" dataDxfId="297" totalsRowDxfId="296">
      <calculatedColumnFormula array="1">IFERROR(INDEX($M$755:$M$818,MATCH(BProvPrivEnrlmtUnder2233[[#This Row],[Band No.]]&amp;BProvPrivEnrlmtUnder2233[[#This Row],[School No.]],$A$755:$A$818&amp;$E$755:$E$818,0)),0)</calculatedColumnFormula>
    </tableColumn>
    <tableColumn id="47" xr3:uid="{00000000-0010-0000-2E00-00002F000000}" name="Boarding school &lt;18" totalsRowFunction="sum" dataDxfId="295" totalsRowDxfId="294">
      <calculatedColumnFormula array="1">IFERROR(INDEX($I$755:$I$818,MATCH(BProvPrivEnrlmtUnder2233[[#This Row],[Band No.]]&amp;BProvPrivEnrlmtUnder2233[[#This Row],[School No.]],$A$755:$A$818&amp;$E$755:$E$818,0)),0)</calculatedColumnFormula>
    </tableColumn>
    <tableColumn id="48" xr3:uid="{00000000-0010-0000-2E00-000030000000}" name="Room and board (5 days) &lt;18" totalsRowFunction="sum" dataDxfId="293" totalsRowDxfId="292">
      <calculatedColumnFormula array="1">IFERROR(INDEX($K$755:$K$818,MATCH(BProvPrivEnrlmtUnder2233[[#This Row],[Band No.]]&amp;BProvPrivEnrlmtUnder2233[[#This Row],[School No.]],$A$755:$A$818&amp;$E$755:$E$818,0)),0)</calculatedColumnFormula>
    </tableColumn>
    <tableColumn id="49" xr3:uid="{00000000-0010-0000-2E00-000031000000}" name="Mandatory room &amp; board 18-21" totalsRowFunction="sum" dataDxfId="291" totalsRowDxfId="290">
      <calculatedColumnFormula array="1">IFERROR(INDEX($O$755:$O$818,MATCH(BProvPrivEnrlmtUnder2233[[#This Row],[Band No.]]&amp;BProvPrivEnrlmtUnder2233[[#This Row],[School No.]],$A$755:$A$818&amp;$E$755:$E$818,0)),0)</calculatedColumnFormula>
    </tableColumn>
    <tableColumn id="50" xr3:uid="{00000000-0010-0000-2E00-000032000000}" name="Student residence 18-21" totalsRowFunction="sum" dataDxfId="289" totalsRowDxfId="288">
      <calculatedColumnFormula array="1">IFERROR(INDEX($R$755:$R$818,MATCH(BProvPrivEnrlmtUnder2233[[#This Row],[Band No.]]&amp;BProvPrivEnrlmtUnder2233[[#This Row],[School No.]],$A$755:$A$818&amp;$E$755:$E$818,0)),0)</calculatedColumnFormula>
    </tableColumn>
    <tableColumn id="51" xr3:uid="{00000000-0010-0000-2E00-000033000000}" name="Boarding school 18-21" totalsRowFunction="sum" dataDxfId="287" totalsRowDxfId="286">
      <calculatedColumnFormula array="1">IFERROR(INDEX($N$755:$N$818,MATCH(BProvPrivEnrlmtUnder2233[[#This Row],[Band No.]]&amp;BProvPrivEnrlmtUnder2233[[#This Row],[School No.]],$A$755:$A$818&amp;$E$755:$E$818,0)),0)</calculatedColumnFormula>
    </tableColumn>
    <tableColumn id="52" xr3:uid="{00000000-0010-0000-2E00-000034000000}" name="Room and board (5 days) 18-21" totalsRowFunction="sum" dataDxfId="285" totalsRowDxfId="284">
      <calculatedColumnFormula array="1">IFERROR(INDEX($P$755:$P$818,MATCH(BProvPrivEnrlmtUnder2233[[#This Row],[Band No.]]&amp;BProvPrivEnrlmtUnder2233[[#This Row],[School No.]],$A$755:$A$818&amp;$E$755:$E$818,0)),0)</calculatedColumnFormula>
    </tableColumn>
  </tableColumns>
  <tableStyleInfo name="Table Style 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F000000}" name="CProvPriv22Plus47" displayName="CProvPriv22Plus47" ref="A12:AK21" totalsRowCount="1" headerRowDxfId="283" dataDxfId="281" totalsRowDxfId="279" headerRowBorderDxfId="282" tableBorderDxfId="280">
  <autoFilter ref="A12:AK20" xr:uid="{00000000-0009-0000-0100-00002E000000}"/>
  <tableColumns count="37">
    <tableColumn id="1" xr3:uid="{00000000-0010-0000-2F00-000001000000}" name="Band No." totalsRowLabel="Total" dataDxfId="278" totalsRowDxfId="277"/>
    <tableColumn id="2" xr3:uid="{00000000-0010-0000-2F00-000002000000}" name="First Nation of Residence" dataDxfId="276" totalsRowDxfId="275"/>
    <tableColumn id="3" xr3:uid="{00000000-0010-0000-2F00-000003000000}" name="School No." dataDxfId="274" totalsRowDxfId="273"/>
    <tableColumn id="4" xr3:uid="{00000000-0010-0000-2F00-000004000000}" name="School Name" dataDxfId="272" totalsRowDxfId="271"/>
    <tableColumn id="5" xr3:uid="{00000000-0010-0000-2F00-000005000000}" name="School Type" dataDxfId="270" totalsRowDxfId="269"/>
    <tableColumn id="6" xr3:uid="{00000000-0010-0000-2F00-000006000000}" name="K4" dataDxfId="268" totalsRowDxfId="267"/>
    <tableColumn id="7" xr3:uid="{00000000-0010-0000-2F00-000007000000}" name="K5" dataDxfId="266" totalsRowDxfId="265"/>
    <tableColumn id="8" xr3:uid="{00000000-0010-0000-2F00-000008000000}" name="Grade 1" totalsRowFunction="sum" dataDxfId="264" totalsRowDxfId="263"/>
    <tableColumn id="14" xr3:uid="{00000000-0010-0000-2F00-00000E000000}" name="Grade 7" totalsRowFunction="sum" dataDxfId="262" totalsRowDxfId="261"/>
    <tableColumn id="15" xr3:uid="{00000000-0010-0000-2F00-00000F000000}" name="Grade 8" totalsRowFunction="sum" dataDxfId="260" totalsRowDxfId="259"/>
    <tableColumn id="16" xr3:uid="{00000000-0010-0000-2F00-000010000000}" name="Ungradable Elem FTE" totalsRowFunction="sum" dataDxfId="258" totalsRowDxfId="257"/>
    <tableColumn id="17" xr3:uid="{00000000-0010-0000-2F00-000011000000}" name="Grade 9" totalsRowFunction="sum" dataDxfId="256" totalsRowDxfId="255"/>
    <tableColumn id="18" xr3:uid="{00000000-0010-0000-2F00-000012000000}" name="Grade 10" totalsRowFunction="sum" dataDxfId="254" totalsRowDxfId="253"/>
    <tableColumn id="19" xr3:uid="{00000000-0010-0000-2F00-000013000000}" name="Grade 11" totalsRowFunction="sum" dataDxfId="252" totalsRowDxfId="251"/>
    <tableColumn id="20" xr3:uid="{00000000-0010-0000-2F00-000014000000}" name="Grade 12" totalsRowFunction="sum" dataDxfId="250" totalsRowDxfId="249"/>
    <tableColumn id="21" xr3:uid="{00000000-0010-0000-2F00-000015000000}" name="Ungradable Second FTE" totalsRowFunction="sum" dataDxfId="248" totalsRowDxfId="247"/>
    <tableColumn id="22" xr3:uid="{00000000-0010-0000-2F00-000016000000}" name="TOTAL 22+ FTE" totalsRowFunction="sum" dataDxfId="246" totalsRowDxfId="245">
      <calculatedColumnFormula>SUM(CProvPriv22Plus47[[#This Row],[K4]:[Ungradable Second FTE]])</calculatedColumnFormula>
    </tableColumn>
    <tableColumn id="23" xr3:uid="{00000000-0010-0000-2F00-000017000000}" name="K4 H" totalsRowFunction="sum" dataDxfId="244" totalsRowDxfId="243"/>
    <tableColumn id="24" xr3:uid="{00000000-0010-0000-2F00-000018000000}" name="K5 H" totalsRowFunction="sum" dataDxfId="242" totalsRowDxfId="241"/>
    <tableColumn id="25" xr3:uid="{00000000-0010-0000-2F00-000019000000}" name="Grade 1 H" totalsRowFunction="sum" dataDxfId="240" totalsRowDxfId="239"/>
    <tableColumn id="26" xr3:uid="{00000000-0010-0000-2F00-00001A000000}" name="Grade 2 H" totalsRowFunction="sum" dataDxfId="238" totalsRowDxfId="237"/>
    <tableColumn id="27" xr3:uid="{00000000-0010-0000-2F00-00001B000000}" name="Grade 3 H" totalsRowFunction="sum" dataDxfId="236" totalsRowDxfId="235"/>
    <tableColumn id="28" xr3:uid="{00000000-0010-0000-2F00-00001C000000}" name="Grade 4 H" totalsRowFunction="sum" dataDxfId="234" totalsRowDxfId="233"/>
    <tableColumn id="29" xr3:uid="{00000000-0010-0000-2F00-00001D000000}" name="Grade 5 H" totalsRowFunction="sum" dataDxfId="232" totalsRowDxfId="231"/>
    <tableColumn id="30" xr3:uid="{00000000-0010-0000-2F00-00001E000000}" name="Grade 6 H" totalsRowFunction="sum" dataDxfId="230" totalsRowDxfId="229"/>
    <tableColumn id="31" xr3:uid="{00000000-0010-0000-2F00-00001F000000}" name="Grade 7 H" totalsRowFunction="sum" dataDxfId="228" totalsRowDxfId="227"/>
    <tableColumn id="32" xr3:uid="{00000000-0010-0000-2F00-000020000000}" name="Grade 8 H" totalsRowFunction="sum" dataDxfId="226" totalsRowDxfId="225"/>
    <tableColumn id="33" xr3:uid="{00000000-0010-0000-2F00-000021000000}" name="Ungradable Elem H" totalsRowFunction="sum" dataDxfId="224" totalsRowDxfId="223"/>
    <tableColumn id="34" xr3:uid="{00000000-0010-0000-2F00-000022000000}" name="Grade 9 H" totalsRowFunction="sum" dataDxfId="222" totalsRowDxfId="221"/>
    <tableColumn id="35" xr3:uid="{00000000-0010-0000-2F00-000023000000}" name="Grade 10 H" totalsRowFunction="sum" dataDxfId="220" totalsRowDxfId="219"/>
    <tableColumn id="36" xr3:uid="{00000000-0010-0000-2F00-000024000000}" name="Grade 11 H" totalsRowFunction="sum" dataDxfId="218" totalsRowDxfId="217"/>
    <tableColumn id="37" xr3:uid="{00000000-0010-0000-2F00-000025000000}" name="Grade 12 H" totalsRowFunction="sum" dataDxfId="216" totalsRowDxfId="215"/>
    <tableColumn id="38" xr3:uid="{00000000-0010-0000-2F00-000026000000}" name="Ungradable Second H" totalsRowFunction="sum" dataDxfId="214" totalsRowDxfId="213"/>
    <tableColumn id="39" xr3:uid="{00000000-0010-0000-2F00-000027000000}" name="TOTAL 22+ HEADCOUNT" totalsRowFunction="sum" dataDxfId="212" totalsRowDxfId="211">
      <calculatedColumnFormula>SUM(CProvPriv22Plus47[[#This Row],[K4 H]:[Ungradable Second H]])</calculatedColumnFormula>
    </tableColumn>
    <tableColumn id="40" xr3:uid="{00000000-0010-0000-2F00-000028000000}" name="First Nation of Residence Location" dataDxfId="210" totalsRowDxfId="209"/>
    <tableColumn id="41" xr3:uid="{00000000-0010-0000-2F00-000029000000}" name="District of the School Attended" dataDxfId="208" totalsRowDxfId="207"/>
    <tableColumn id="42" xr3:uid="{00000000-0010-0000-2F00-00002A000000}" name="Proximate Public School District to First Nation of residence" dataDxfId="206" totalsRowDxfId="205"/>
  </tableColumns>
  <tableStyleInfo name="Table Style 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30000000}" name="D1718EnrlmentbyFN" displayName="D1718EnrlmentbyFN" ref="A6:BV18" totalsRowCount="1" headerRowDxfId="204">
  <autoFilter ref="A6:BV17" xr:uid="{00000000-0009-0000-0100-000013000000}"/>
  <tableColumns count="74">
    <tableColumn id="1" xr3:uid="{00000000-0010-0000-3000-000001000000}" name="Band #" totalsRowLabel="Total"/>
    <tableColumn id="2" xr3:uid="{00000000-0010-0000-3000-000002000000}" name="First Nation"/>
    <tableColumn id="4" xr3:uid="{00000000-0010-0000-3000-000004000000}" name="Total Funded FTE" totalsRowFunction="sum" dataDxfId="203" totalsRowDxfId="202" dataCellStyle="Comma">
      <calculatedColumnFormula>AA7+BD7</calculatedColumnFormula>
    </tableColumn>
    <tableColumn id="5" xr3:uid="{00000000-0010-0000-3000-000005000000}" name="Total Funded Headcount" totalsRowFunction="sum" dataDxfId="201" totalsRowDxfId="200" dataCellStyle="Comma">
      <calculatedColumnFormula>D1718EnrlmentbyFN[[#This Row],[Total Headcount]]+D1718EnrlmentbyFN[[#This Row],[Total Prov&amp;Priv Headcount]]</calculatedColumnFormula>
    </tableColumn>
    <tableColumn id="6" xr3:uid="{00000000-0010-0000-3000-000006000000}" name="K4" totalsRowFunction="sum" totalsRowDxfId="199">
      <calculatedColumnFormula>SUMIF('A. 20-21 FN Schools Data'!$A$7:$A$18,'D. 19-20 Enrolment by FN'!$A7,'A. 20-21 FN Schools Data'!E$7:E$18)</calculatedColumnFormula>
    </tableColumn>
    <tableColumn id="7" xr3:uid="{00000000-0010-0000-3000-000007000000}" name="K5" totalsRowFunction="sum" totalsRowDxfId="198">
      <calculatedColumnFormula>SUMIF('A. 20-21 FN Schools Data'!$A$7:$A$18,'D. 19-20 Enrolment by FN'!$A7,'A. 20-21 FN Schools Data'!G$7:G$18)</calculatedColumnFormula>
    </tableColumn>
    <tableColumn id="8" xr3:uid="{00000000-0010-0000-3000-000008000000}" name="Gr1" totalsRowFunction="sum" totalsRowDxfId="197">
      <calculatedColumnFormula>SUMIF('A. 20-21 FN Schools Data'!$A$7:$A$18,'D. 19-20 Enrolment by FN'!$A7,'A. 20-21 FN Schools Data'!I$7:I$18)</calculatedColumnFormula>
    </tableColumn>
    <tableColumn id="9" xr3:uid="{00000000-0010-0000-3000-000009000000}" name="Gr2" totalsRowFunction="sum" totalsRowDxfId="196">
      <calculatedColumnFormula>SUMIF('A. 20-21 FN Schools Data'!$A$7:$A$18,'D. 19-20 Enrolment by FN'!$A7,'A. 20-21 FN Schools Data'!J$7:J$18)</calculatedColumnFormula>
    </tableColumn>
    <tableColumn id="10" xr3:uid="{00000000-0010-0000-3000-00000A000000}" name="Gr3" totalsRowFunction="sum" totalsRowDxfId="195">
      <calculatedColumnFormula>SUMIF('A. 20-21 FN Schools Data'!$A$7:$A$18,'D. 19-20 Enrolment by FN'!$A7,'A. 20-21 FN Schools Data'!K$7:K$18)</calculatedColumnFormula>
    </tableColumn>
    <tableColumn id="11" xr3:uid="{00000000-0010-0000-3000-00000B000000}" name="Gr4" totalsRowFunction="sum" totalsRowDxfId="194">
      <calculatedColumnFormula>SUMIF('A. 20-21 FN Schools Data'!$A$7:$A$18,'D. 19-20 Enrolment by FN'!$A7,'A. 20-21 FN Schools Data'!L$7:L$18)</calculatedColumnFormula>
    </tableColumn>
    <tableColumn id="12" xr3:uid="{00000000-0010-0000-3000-00000C000000}" name="Gr5" totalsRowFunction="sum" totalsRowDxfId="193">
      <calculatedColumnFormula>SUMIF('A. 20-21 FN Schools Data'!$A$7:$A$18,'D. 19-20 Enrolment by FN'!$A7,'A. 20-21 FN Schools Data'!M$7:M$18)</calculatedColumnFormula>
    </tableColumn>
    <tableColumn id="13" xr3:uid="{00000000-0010-0000-3000-00000D000000}" name="Gr6" totalsRowFunction="sum" totalsRowDxfId="192">
      <calculatedColumnFormula>SUMIF('A. 20-21 FN Schools Data'!$A$7:$A$18,'D. 19-20 Enrolment by FN'!$A7,'A. 20-21 FN Schools Data'!N$7:N$18)</calculatedColumnFormula>
    </tableColumn>
    <tableColumn id="14" xr3:uid="{00000000-0010-0000-3000-00000E000000}" name="Gr7" totalsRowFunction="sum" totalsRowDxfId="191">
      <calculatedColumnFormula>SUMIF('A. 20-21 FN Schools Data'!$A$7:$A$18,'D. 19-20 Enrolment by FN'!$A7,'A. 20-21 FN Schools Data'!O$7:O$18)</calculatedColumnFormula>
    </tableColumn>
    <tableColumn id="15" xr3:uid="{00000000-0010-0000-3000-00000F000000}" name="Gr8" totalsRowFunction="sum" totalsRowDxfId="190">
      <calculatedColumnFormula>SUMIF('A. 20-21 FN Schools Data'!$A$7:$A$18,'D. 19-20 Enrolment by FN'!$A7,'A. 20-21 FN Schools Data'!P$7:P$18)</calculatedColumnFormula>
    </tableColumn>
    <tableColumn id="16" xr3:uid="{00000000-0010-0000-3000-000010000000}" name="Ungrd. Elem." totalsRowFunction="sum" totalsRowDxfId="189">
      <calculatedColumnFormula>SUMIF('A. 20-21 FN Schools Data'!$A$7:$A$18,'D. 19-20 Enrolment by FN'!$A7,'A. 20-21 FN Schools Data'!Q$7:Q$18)</calculatedColumnFormula>
    </tableColumn>
    <tableColumn id="17" xr3:uid="{00000000-0010-0000-3000-000011000000}" name="Gr9" totalsRowFunction="sum" totalsRowDxfId="188">
      <calculatedColumnFormula>SUMIF('A. 20-21 FN Schools Data'!$A$7:$A$18,'D. 19-20 Enrolment by FN'!$A7,'A. 20-21 FN Schools Data'!R$7:R$18)</calculatedColumnFormula>
    </tableColumn>
    <tableColumn id="18" xr3:uid="{00000000-0010-0000-3000-000012000000}" name="Gr10" totalsRowFunction="sum" totalsRowDxfId="187">
      <calculatedColumnFormula>SUMIF('A. 20-21 FN Schools Data'!$A$7:$A$18,'D. 19-20 Enrolment by FN'!$A7,'A. 20-21 FN Schools Data'!S$7:S$18)</calculatedColumnFormula>
    </tableColumn>
    <tableColumn id="19" xr3:uid="{00000000-0010-0000-3000-000013000000}" name="Gr11" totalsRowFunction="sum" totalsRowDxfId="186">
      <calculatedColumnFormula>SUMIF('A. 20-21 FN Schools Data'!$A$7:$A$18,'D. 19-20 Enrolment by FN'!$A7,'A. 20-21 FN Schools Data'!T$7:T$18)</calculatedColumnFormula>
    </tableColumn>
    <tableColumn id="20" xr3:uid="{00000000-0010-0000-3000-000014000000}" name="Gr12" totalsRowFunction="sum" totalsRowDxfId="185">
      <calculatedColumnFormula>SUMIF('A. 20-21 FN Schools Data'!$A$7:$A$18,'D. 19-20 Enrolment by FN'!$A7,'A. 20-21 FN Schools Data'!U$7:U$18)</calculatedColumnFormula>
    </tableColumn>
    <tableColumn id="3" xr3:uid="{00000000-0010-0000-3000-000003000000}" name="Ungrd. Sec." totalsRowDxfId="184"/>
    <tableColumn id="21" xr3:uid="{00000000-0010-0000-3000-000015000000}" name="FTE &lt;22 Total" totalsRowFunction="sum" totalsRowDxfId="183">
      <calculatedColumnFormula>SUMIF('A. 20-21 FN Schools Data'!$A$7:$A$18,'D. 19-20 Enrolment by FN'!$A7,'A. 20-21 FN Schools Data'!W$7:W$18)</calculatedColumnFormula>
    </tableColumn>
    <tableColumn id="22" xr3:uid="{00000000-0010-0000-3000-000016000000}" name="Gr9 22+" totalsRowFunction="sum" totalsRowDxfId="182">
      <calculatedColumnFormula>SUMIF('A. 20-21 FN Schools Data'!$A$7:$A$18,'D. 19-20 Enrolment by FN'!$A7,'A. 20-21 FN Schools Data'!X$7:X$18)</calculatedColumnFormula>
    </tableColumn>
    <tableColumn id="23" xr3:uid="{00000000-0010-0000-3000-000017000000}" name="Gr10 22+" totalsRowFunction="sum" totalsRowDxfId="181">
      <calculatedColumnFormula>SUMIF('A. 20-21 FN Schools Data'!$A$7:$A$18,'D. 19-20 Enrolment by FN'!$A7,'A. 20-21 FN Schools Data'!Y$7:Y$18)</calculatedColumnFormula>
    </tableColumn>
    <tableColumn id="26" xr3:uid="{00000000-0010-0000-3000-00001A000000}" name="Gr11 22+" totalsRowFunction="sum" totalsRowDxfId="180">
      <calculatedColumnFormula>SUMIF('A. 20-21 FN Schools Data'!$A$7:$A$18,'D. 19-20 Enrolment by FN'!$A7,'A. 20-21 FN Schools Data'!Z$7:Z$18)</calculatedColumnFormula>
    </tableColumn>
    <tableColumn id="24" xr3:uid="{00000000-0010-0000-3000-000018000000}" name="Gr12 22+" totalsRowFunction="sum" totalsRowDxfId="179">
      <calculatedColumnFormula>SUMIF('A. 20-21 FN Schools Data'!$A$7:$A$18,'D. 19-20 Enrolment by FN'!$A7,'A. 20-21 FN Schools Data'!AA$7:AA$18)</calculatedColumnFormula>
    </tableColumn>
    <tableColumn id="47" xr3:uid="{00000000-0010-0000-3000-00002F000000}" name="Ungrd. Sec. 22+" totalsRowFunction="sum" totalsRowDxfId="178">
      <calculatedColumnFormula>SUMIF('A. 20-21 FN Schools Data'!$A$7:$A$18,'D. 19-20 Enrolment by FN'!$A7,'A. 20-21 FN Schools Data'!AB$7:AB$18)</calculatedColumnFormula>
    </tableColumn>
    <tableColumn id="25" xr3:uid="{00000000-0010-0000-3000-000019000000}" name="Total FTE (&lt;22, 22+)" totalsRowFunction="sum" dataDxfId="177" totalsRowDxfId="176">
      <calculatedColumnFormula>SUMIF('A. 20-21 FN Schools Data'!$A$7:$A$18,'D. 19-20 Enrolment by FN'!$A7,'A. 20-21 FN Schools Data'!AC$7:AC$18)</calculatedColumnFormula>
    </tableColumn>
    <tableColumn id="27" xr3:uid="{00000000-0010-0000-3000-00001B000000}" name="K4 H" totalsRowFunction="sum">
      <calculatedColumnFormula>SUMIF('A. 20-21 FN Schools Data'!$A$7:$A$18,'D. 19-20 Enrolment by FN'!$A7,'A. 20-21 FN Schools Data'!AD$7:AD$18)</calculatedColumnFormula>
    </tableColumn>
    <tableColumn id="28" xr3:uid="{00000000-0010-0000-3000-00001C000000}" name="K5 H" totalsRowFunction="sum">
      <calculatedColumnFormula>SUMIF('A. 20-21 FN Schools Data'!$A$7:$A$18,'D. 19-20 Enrolment by FN'!$A7,'A. 20-21 FN Schools Data'!AF$7:AF$18)</calculatedColumnFormula>
    </tableColumn>
    <tableColumn id="29" xr3:uid="{00000000-0010-0000-3000-00001D000000}" name="Gr1 H" totalsRowFunction="sum">
      <calculatedColumnFormula>SUMIF('A. 20-21 FN Schools Data'!$A$7:$A$18,'D. 19-20 Enrolment by FN'!$A7,'A. 20-21 FN Schools Data'!AH$7:AH$18)</calculatedColumnFormula>
    </tableColumn>
    <tableColumn id="30" xr3:uid="{00000000-0010-0000-3000-00001E000000}" name="Gr2 H" totalsRowFunction="sum">
      <calculatedColumnFormula>SUMIF('A. 20-21 FN Schools Data'!$A$7:$A$18,'D. 19-20 Enrolment by FN'!$A7,'A. 20-21 FN Schools Data'!AI$7:AI$18)</calculatedColumnFormula>
    </tableColumn>
    <tableColumn id="31" xr3:uid="{00000000-0010-0000-3000-00001F000000}" name="Gr3 H" totalsRowFunction="sum">
      <calculatedColumnFormula>SUMIF('A. 20-21 FN Schools Data'!$A$7:$A$18,'D. 19-20 Enrolment by FN'!$A7,'A. 20-21 FN Schools Data'!AJ$7:AJ$18)</calculatedColumnFormula>
    </tableColumn>
    <tableColumn id="32" xr3:uid="{00000000-0010-0000-3000-000020000000}" name="Gr4 H" totalsRowFunction="sum">
      <calculatedColumnFormula>SUMIF('A. 20-21 FN Schools Data'!$A$7:$A$18,'D. 19-20 Enrolment by FN'!$A7,'A. 20-21 FN Schools Data'!AK$7:AK$18)</calculatedColumnFormula>
    </tableColumn>
    <tableColumn id="33" xr3:uid="{00000000-0010-0000-3000-000021000000}" name="Gr5 H" totalsRowFunction="sum">
      <calculatedColumnFormula>SUMIF('A. 20-21 FN Schools Data'!$A$7:$A$18,'D. 19-20 Enrolment by FN'!$A7,'A. 20-21 FN Schools Data'!AL$7:AL$18)</calculatedColumnFormula>
    </tableColumn>
    <tableColumn id="34" xr3:uid="{00000000-0010-0000-3000-000022000000}" name="Gr6 H" totalsRowFunction="sum">
      <calculatedColumnFormula>SUMIF('A. 20-21 FN Schools Data'!$A$7:$A$18,'D. 19-20 Enrolment by FN'!$A7,'A. 20-21 FN Schools Data'!AM$7:AM$18)</calculatedColumnFormula>
    </tableColumn>
    <tableColumn id="35" xr3:uid="{00000000-0010-0000-3000-000023000000}" name="Gr7 H" totalsRowFunction="sum">
      <calculatedColumnFormula>SUMIF('A. 20-21 FN Schools Data'!$A$7:$A$18,'D. 19-20 Enrolment by FN'!$A7,'A. 20-21 FN Schools Data'!AN$7:AN$18)</calculatedColumnFormula>
    </tableColumn>
    <tableColumn id="36" xr3:uid="{00000000-0010-0000-3000-000024000000}" name="Gr8 H" totalsRowFunction="sum">
      <calculatedColumnFormula>SUMIF('A. 20-21 FN Schools Data'!$A$7:$A$18,'D. 19-20 Enrolment by FN'!$A7,'A. 20-21 FN Schools Data'!AO$7:AO$18)</calculatedColumnFormula>
    </tableColumn>
    <tableColumn id="37" xr3:uid="{00000000-0010-0000-3000-000025000000}" name="Ungrd. Elem. H" totalsRowFunction="sum">
      <calculatedColumnFormula>SUMIF('A. 20-21 FN Schools Data'!$A$7:$A$18,'D. 19-20 Enrolment by FN'!$A7,'A. 20-21 FN Schools Data'!AP$7:AP$18)</calculatedColumnFormula>
    </tableColumn>
    <tableColumn id="38" xr3:uid="{00000000-0010-0000-3000-000026000000}" name="Gr9 H" totalsRowFunction="sum">
      <calculatedColumnFormula>SUMIF('A. 20-21 FN Schools Data'!$A$7:$A$18,'D. 19-20 Enrolment by FN'!$A7,'A. 20-21 FN Schools Data'!AQ$7:AQ$18)</calculatedColumnFormula>
    </tableColumn>
    <tableColumn id="39" xr3:uid="{00000000-0010-0000-3000-000027000000}" name="Gr10 H" totalsRowFunction="sum">
      <calculatedColumnFormula>SUMIF('A. 20-21 FN Schools Data'!$A$7:$A$18,'D. 19-20 Enrolment by FN'!$A7,'A. 20-21 FN Schools Data'!AR$7:AR$18)</calculatedColumnFormula>
    </tableColumn>
    <tableColumn id="40" xr3:uid="{00000000-0010-0000-3000-000028000000}" name="Gr11 H" totalsRowFunction="sum">
      <calculatedColumnFormula>SUMIF('A. 20-21 FN Schools Data'!$A$7:$A$18,'D. 19-20 Enrolment by FN'!$A7,'A. 20-21 FN Schools Data'!AS$7:AS$18)</calculatedColumnFormula>
    </tableColumn>
    <tableColumn id="41" xr3:uid="{00000000-0010-0000-3000-000029000000}" name="Gr12 H" totalsRowFunction="sum">
      <calculatedColumnFormula>SUMIF('A. 20-21 FN Schools Data'!$A$7:$A$18,'D. 19-20 Enrolment by FN'!$A7,'A. 20-21 FN Schools Data'!AT$7:AT$18)</calculatedColumnFormula>
    </tableColumn>
    <tableColumn id="54" xr3:uid="{00000000-0010-0000-3000-000036000000}" name="Ugrd. Sec. H" totalsRowFunction="sum">
      <calculatedColumnFormula>SUMIF('A. 20-21 FN Schools Data'!$A$7:$A$18,'D. 19-20 Enrolment by FN'!$A7,'A. 20-21 FN Schools Data'!AU$7:AU$18)</calculatedColumnFormula>
    </tableColumn>
    <tableColumn id="42" xr3:uid="{00000000-0010-0000-3000-00002A000000}" name="Headcount &lt;22 Total" totalsRowFunction="sum" totalsRowDxfId="175">
      <calculatedColumnFormula>SUMIF('A. 20-21 FN Schools Data'!$A$7:$A$18,'D. 19-20 Enrolment by FN'!$A7,'A. 20-21 FN Schools Data'!AV$7:AV$18)</calculatedColumnFormula>
    </tableColumn>
    <tableColumn id="43" xr3:uid="{00000000-0010-0000-3000-00002B000000}" name="Gr9 H 22+" totalsRowFunction="sum">
      <calculatedColumnFormula>SUMIF('A. 20-21 FN Schools Data'!$A$7:$A$18,'D. 19-20 Enrolment by FN'!$A7,'A. 20-21 FN Schools Data'!AW$7:AW$18)</calculatedColumnFormula>
    </tableColumn>
    <tableColumn id="44" xr3:uid="{00000000-0010-0000-3000-00002C000000}" name="Gr10 H 22+" totalsRowFunction="sum">
      <calculatedColumnFormula>SUMIF('A. 20-21 FN Schools Data'!$A$7:$A$18,'D. 19-20 Enrolment by FN'!$A7,'A. 20-21 FN Schools Data'!AX$7:AX$18)</calculatedColumnFormula>
    </tableColumn>
    <tableColumn id="45" xr3:uid="{00000000-0010-0000-3000-00002D000000}" name="Gr11 H 22+" totalsRowFunction="sum">
      <calculatedColumnFormula>SUMIF('A. 20-21 FN Schools Data'!$A$7:$A$18,'D. 19-20 Enrolment by FN'!$A7,'A. 20-21 FN Schools Data'!AY$7:AY$18)</calculatedColumnFormula>
    </tableColumn>
    <tableColumn id="75" xr3:uid="{00000000-0010-0000-3000-00004B000000}" name="Gr12 H 22+" totalsRowFunction="sum">
      <calculatedColumnFormula>SUMIF('A. 20-21 FN Schools Data'!$A$7:$A$18,'D. 19-20 Enrolment by FN'!$A7,'A. 20-21 FN Schools Data'!AZ$7:AZ$18)</calculatedColumnFormula>
    </tableColumn>
    <tableColumn id="76" xr3:uid="{00000000-0010-0000-3000-00004C000000}" name="Ungrd. Sec. H 22+" totalsRowFunction="sum">
      <calculatedColumnFormula>SUMIF('A. 20-21 FN Schools Data'!$A$7:$A$18,'D. 19-20 Enrolment by FN'!$A7,'A. 20-21 FN Schools Data'!BA$7:BA$18)</calculatedColumnFormula>
    </tableColumn>
    <tableColumn id="46" xr3:uid="{00000000-0010-0000-3000-00002E000000}" name="Total Headcount" totalsRowFunction="sum" dataDxfId="174" totalsRowDxfId="173">
      <calculatedColumnFormula>SUMIF(TableAFNSchools[Band No '#],D1718EnrlmentbyFN[[#This Row],[Band '#]],TableAFNSchools[Total Headcount])</calculatedColumnFormula>
    </tableColumn>
    <tableColumn id="68" xr3:uid="{00000000-0010-0000-3000-000044000000}" name="FN Op K4 Program Type" dataDxfId="172" totalsRowDxfId="171">
      <calculatedColumnFormula>INDEX(TableAFNSchools[K4 Program Type],MATCH(D1718EnrlmentbyFN[[#This Row],[Band '#]],TableAFNSchools[Band No '#],0))</calculatedColumnFormula>
    </tableColumn>
    <tableColumn id="67" xr3:uid="{00000000-0010-0000-3000-000043000000}" name="FN Op K5 Program Type" dataDxfId="170" totalsRowDxfId="169">
      <calculatedColumnFormula array="1">INDEX(TableAFNSchools[K5 Program Type],MATCH(D1718EnrlmentbyFN[Band '#],TableAFNSchools[Band No '#],0))</calculatedColumnFormula>
    </tableColumn>
    <tableColumn id="70" xr3:uid="{00000000-0010-0000-3000-000046000000}" name="Band-Op Boarded Students" totalsRowFunction="sum" dataDxfId="168" totalsRowDxfId="167">
      <calculatedColumnFormula>SUMIF(TableAFNSchools[Band No '#],D1718EnrlmentbyFN[[#This Row],[Band '#]],TableAFNSchools[Mandatory room &amp; board &lt;18])</calculatedColumnFormula>
    </tableColumn>
    <tableColumn id="48" xr3:uid="{00000000-0010-0000-3000-000030000000}" name="Total &lt;22 FTE" totalsRowFunction="sum" dataDxfId="166">
      <calculatedColumnFormula>SUMIF('B. 20-21 Prov&amp;Priv Enrolment&lt;22'!$A$8:$A$54,D1718EnrlmentbyFN[[#This Row],[Band '#]],'B. 20-21 Prov&amp;Priv Enrolment&lt;22'!$Y$8:$Y$54)</calculatedColumnFormula>
    </tableColumn>
    <tableColumn id="49" xr3:uid="{00000000-0010-0000-3000-000031000000}" name="22+ FTE Enrolment (including Invalid Values)" totalsRowFunction="sum" dataDxfId="165">
      <calculatedColumnFormula>SUMIF('C. 20-21 Prov&amp;Priv 22+'!$A$7:$A$7,D1718EnrlmentbyFN[[#This Row],[Band '#]],'C. 20-21 Prov&amp;Priv 22+'!$Q$7:$Q$7)</calculatedColumnFormula>
    </tableColumn>
    <tableColumn id="50" xr3:uid="{00000000-0010-0000-3000-000032000000}" name="Total Pov&amp;Priv FTE" totalsRowFunction="sum" dataDxfId="164">
      <calculatedColumnFormula>SUM(D1718EnrlmentbyFN[[#This Row],[Total &lt;22 FTE]:[22+ FTE Enrolment (including Invalid Values)]])</calculatedColumnFormula>
    </tableColumn>
    <tableColumn id="51" xr3:uid="{00000000-0010-0000-3000-000033000000}" name="Total &lt;22 Headcount" totalsRowFunction="sum" dataDxfId="163">
      <calculatedColumnFormula>SUMIF('B. 20-21 Prov&amp;Priv Enrolment&lt;22'!$A$8:$A$54,D1718EnrlmentbyFN[[#This Row],[Band '#]],'B. 20-21 Prov&amp;Priv Enrolment&lt;22'!$AR$8:$AR$54)</calculatedColumnFormula>
    </tableColumn>
    <tableColumn id="52" xr3:uid="{00000000-0010-0000-3000-000034000000}" name="22+ Headcount Enrolment (including Invalid Values)" totalsRowFunction="sum" dataDxfId="162">
      <calculatedColumnFormula>SUMIF('C. 20-21 Prov&amp;Priv 22+'!$A$7:$A$7,D1718EnrlmentbyFN[[#This Row],[Band '#]],'C. 20-21 Prov&amp;Priv 22+'!$AH$7:$AH$7)</calculatedColumnFormula>
    </tableColumn>
    <tableColumn id="53" xr3:uid="{00000000-0010-0000-3000-000035000000}" name="Total Prov&amp;Priv Headcount" totalsRowFunction="sum" dataDxfId="161">
      <calculatedColumnFormula>SUM(D1718EnrlmentbyFN[[#This Row],[Total &lt;22 Headcount]:[22+ Headcount Enrolment (including Invalid Values)]])</calculatedColumnFormula>
    </tableColumn>
    <tableColumn id="55" xr3:uid="{00000000-0010-0000-3000-000037000000}" name="Mandatory PHP &lt;18 Headcount" totalsRowFunction="sum" dataDxfId="160">
      <calculatedColumnFormula>SUMIF('B.1 Accommmodation Data'!$A$8:$A$37,D1718EnrlmentbyFN[[#This Row],[Band '#]],'B.1 Accommmodation Data'!$K$8:$K$37)</calculatedColumnFormula>
    </tableColumn>
    <tableColumn id="56" xr3:uid="{00000000-0010-0000-3000-000038000000}" name="Mandatory PHP 18-21 Headcount" totalsRowFunction="sum" dataDxfId="159">
      <calculatedColumnFormula>SUMIF('B.1 Accommmodation Data'!$A$8:$A$37,D1718EnrlmentbyFN[[#This Row],[Band '#]],'B.1 Accommmodation Data'!$P$8:$P$37)</calculatedColumnFormula>
    </tableColumn>
    <tableColumn id="57" xr3:uid="{00000000-0010-0000-3000-000039000000}" name="Student Residence &lt;18 Headcount" totalsRowFunction="sum" dataDxfId="158">
      <calculatedColumnFormula>SUMIF('B.1 Accommmodation Data'!$A$8:$A$37,D1718EnrlmentbyFN[[#This Row],[Band '#]],'B.1 Accommmodation Data'!$I$8:$I$37)</calculatedColumnFormula>
    </tableColumn>
    <tableColumn id="58" xr3:uid="{00000000-0010-0000-3000-00003A000000}" name="Student Residence 18-21 Headcount" totalsRowFunction="sum" dataDxfId="157">
      <calculatedColumnFormula>SUMIF('B.1 Accommmodation Data'!$A$8:$A$37,D1718EnrlmentbyFN[[#This Row],[Band '#]],'B.1 Accommmodation Data'!$N$8:$N$37)</calculatedColumnFormula>
    </tableColumn>
    <tableColumn id="62" xr3:uid="{00000000-0010-0000-3000-00003E000000}" name="Boarding school &lt;18 Headcount" totalsRowFunction="sum" dataDxfId="156">
      <calculatedColumnFormula>SUMIF('B.1 Accommmodation Data'!$A$8:$A$37,D1718EnrlmentbyFN[[#This Row],[Band '#]],'B.1 Accommmodation Data'!$H$8:$H$37)</calculatedColumnFormula>
    </tableColumn>
    <tableColumn id="63" xr3:uid="{00000000-0010-0000-3000-00003F000000}" name="Boarding school 18-21 Heacount" totalsRowFunction="sum" dataDxfId="155">
      <calculatedColumnFormula>SUMIF('B.1 Accommmodation Data'!$A$8:$A$37,D1718EnrlmentbyFN[[#This Row],[Band '#]],'B.1 Accommmodation Data'!$M$8:$M$37)</calculatedColumnFormula>
    </tableColumn>
    <tableColumn id="64" xr3:uid="{00000000-0010-0000-3000-000040000000}" name="Room and board (5 days) &lt;18 Headcount" totalsRowFunction="sum" dataDxfId="154">
      <calculatedColumnFormula>SUMIF('B.1 Accommmodation Data'!$A$8:$A$37,D1718EnrlmentbyFN[[#This Row],[Band '#]],'B.1 Accommmodation Data'!$J$8:$J$37)</calculatedColumnFormula>
    </tableColumn>
    <tableColumn id="65" xr3:uid="{00000000-0010-0000-3000-000041000000}" name="Room and board (5 days) 18-21 Headcount" totalsRowFunction="sum" dataDxfId="153">
      <calculatedColumnFormula>SUMIF('B.1 Accommmodation Data'!$A$8:$A$37,D1718EnrlmentbyFN[[#This Row],[Band '#]],'B.1 Accommmodation Data'!$O$8:$O$37)</calculatedColumnFormula>
    </tableColumn>
    <tableColumn id="59" xr3:uid="{00000000-0010-0000-3000-00003B000000}" name="Total Boarded Students" totalsRowFunction="sum" dataDxfId="152" totalsRowDxfId="151">
      <calculatedColumnFormula>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calculatedColumnFormula>
    </tableColumn>
    <tableColumn id="60" xr3:uid="{00000000-0010-0000-3000-00003C000000}" name="Prov K4 Headcount" totalsRowFunction="sum" dataDxfId="150">
      <calculatedColumnFormula>SUMIF('B. 20-21 Prov&amp;Priv Enrolment&lt;22'!$A$8:$A$54,D1718EnrlmentbyFN[[#This Row],[Band '#]],'B. 20-21 Prov&amp;Priv Enrolment&lt;22'!$Z$8:$Z$54)</calculatedColumnFormula>
    </tableColumn>
    <tableColumn id="69" xr3:uid="{00000000-0010-0000-3000-000045000000}" name="Prov K4 Program Type" dataDxfId="149"/>
    <tableColumn id="61" xr3:uid="{00000000-0010-0000-3000-00003D000000}" name="Prov K5 Headcount" totalsRowFunction="sum" dataDxfId="148">
      <calculatedColumnFormula>SUMIF('B. 20-21 Prov&amp;Priv Enrolment&lt;22'!$A$8:$A$54,D1718EnrlmentbyFN[[#This Row],[Band '#]],'B. 20-21 Prov&amp;Priv Enrolment&lt;22'!$AC$8:$AC$54)</calculatedColumnFormula>
    </tableColumn>
    <tableColumn id="81" xr3:uid="{00000000-0010-0000-3000-000051000000}" name="PROV K5 Program Type" dataDxfId="147"/>
    <tableColumn id="71" xr3:uid="{00000000-0010-0000-3000-000047000000}" name="Prov Gr 1-12 &lt;22 Headcount" totalsRowFunction="sum" dataDxfId="146">
      <calculatedColumnFormula>SUMIF('B. 20-21 Prov&amp;Priv Enrolment&lt;22'!$A$8:$A$54,D1718EnrlmentbyFN[[#This Row],[Band '#]],'B. 20-21 Prov&amp;Priv Enrolment&lt;22'!$AR$8:$AR$54)-D1718EnrlmentbyFN[[#This Row],[Prov K4 Headcount]]-D1718EnrlmentbyFN[[#This Row],[Prov K5 Headcount]]</calculatedColumnFormula>
    </tableColumn>
    <tableColumn id="66" xr3:uid="{00000000-0010-0000-3000-000042000000}" name="Transported Prov Gr 1-12 &lt;22 Headcount" totalsRowFunction="sum" dataDxfId="145">
      <calculatedColumnFormula>D1718EnrlmentbyFN[[#This Row],[Prov Gr 1-12 &lt;22 Headcount]]-D1718EnrlmentbyFN[[#This Row],[Total Boarded Students]]</calculatedColumnFormula>
    </tableColumn>
  </tableColumns>
  <tableStyleInfo name="Table Style 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31000000}" name="Table39" displayName="Table39" ref="A6:N43" totalsRowCount="1" headerRowDxfId="144" dataDxfId="143" dataCellStyle="Currency">
  <autoFilter ref="A6:N42" xr:uid="{00000000-0009-0000-0100-000026000000}"/>
  <tableColumns count="14">
    <tableColumn id="1" xr3:uid="{00000000-0010-0000-3100-000001000000}" name="Division Name" totalsRowLabel="Total"/>
    <tableColumn id="2" xr3:uid="{00000000-0010-0000-3100-000002000000}" name="Division Name Formatted" dataDxfId="142" totalsRowDxfId="141"/>
    <tableColumn id="3" xr3:uid="{00000000-0010-0000-3100-000003000000}" name="Eligible Enrolment Sept. 30, 2016" totalsRowFunction="sum" dataDxfId="140" totalsRowDxfId="139" dataCellStyle="Comma">
      <calculatedColumnFormula>'K. MB Funded Enrolment'!C7</calculatedColumnFormula>
    </tableColumn>
    <tableColumn id="4" xr3:uid="{00000000-0010-0000-3100-000004000000}" name="Funding of Schools Program" totalsRowFunction="sum" dataDxfId="138" totalsRowDxfId="137" dataCellStyle="Currency">
      <calculatedColumnFormula>'E. 17-18 FRAME Budget'!D10</calculatedColumnFormula>
    </tableColumn>
    <tableColumn id="5" xr3:uid="{00000000-0010-0000-3100-000005000000}" name="General Support Grant" totalsRowFunction="sum" dataDxfId="136" totalsRowDxfId="135" dataCellStyle="Currency">
      <calculatedColumnFormula>'E. 17-18 FRAME Budget'!AZ10</calculatedColumnFormula>
    </tableColumn>
    <tableColumn id="6" xr3:uid="{00000000-0010-0000-3100-000006000000}" name="Education Property Tax Credit" totalsRowFunction="sum" dataDxfId="134" totalsRowDxfId="133" dataCellStyle="Currency">
      <calculatedColumnFormula>'E. 17-18 FRAME Budget'!BA10</calculatedColumnFormula>
    </tableColumn>
    <tableColumn id="7" xr3:uid="{00000000-0010-0000-3100-000007000000}" name="Tax Incentive Grant" totalsRowFunction="sum" dataDxfId="132" totalsRowDxfId="131" dataCellStyle="Currency">
      <calculatedColumnFormula>'E. 17-18 FRAME Budget'!BB10</calculatedColumnFormula>
    </tableColumn>
    <tableColumn id="8" xr3:uid="{00000000-0010-0000-3100-000008000000}" name="Total Municipal Government" totalsRowFunction="sum" dataDxfId="130" totalsRowDxfId="129" dataCellStyle="Currency">
      <calculatedColumnFormula>'E. 17-18 FRAME Budget'!CG10</calculatedColumnFormula>
    </tableColumn>
    <tableColumn id="9" xr3:uid="{00000000-0010-0000-3100-000009000000}" name="Transportation" totalsRowFunction="sum" dataDxfId="128" totalsRowDxfId="127" dataCellStyle="Currency">
      <calculatedColumnFormula>'E. 17-18 FRAME Budget'!R10</calculatedColumnFormula>
    </tableColumn>
    <tableColumn id="10" xr3:uid="{00000000-0010-0000-3100-00000A000000}" name="Board and Room" totalsRowFunction="sum" dataDxfId="126" totalsRowDxfId="125" dataCellStyle="Currency">
      <calculatedColumnFormula>'E. 17-18 FRAME Budget'!S10</calculatedColumnFormula>
    </tableColumn>
    <tableColumn id="11" xr3:uid="{00000000-0010-0000-3100-00000B000000}" name="Special Needs Level 2" totalsRowFunction="sum" dataDxfId="124" totalsRowDxfId="123" dataCellStyle="Currency">
      <calculatedColumnFormula>'E. 17-18 FRAME Budget'!U10</calculatedColumnFormula>
    </tableColumn>
    <tableColumn id="12" xr3:uid="{00000000-0010-0000-3100-00000C000000}" name="Special Needs Level 3" totalsRowFunction="sum" dataDxfId="122" totalsRowDxfId="121" dataCellStyle="Currency">
      <calculatedColumnFormula>'E. 17-18 FRAME Budget'!V10</calculatedColumnFormula>
    </tableColumn>
    <tableColumn id="13" xr3:uid="{00000000-0010-0000-3100-00000D000000}" name="Total for Base Tuition Rates" totalsRowFunction="sum" dataDxfId="120" totalsRowDxfId="119" dataCellStyle="Currency">
      <calculatedColumnFormula>SUM(D7:H7)-SUM(I7:L7)</calculatedColumnFormula>
    </tableColumn>
    <tableColumn id="14" xr3:uid="{00000000-0010-0000-3100-00000E000000}" name="BASE TUITION RATES" totalsRowFunction="sum" dataDxfId="118" totalsRowDxfId="117" dataCellStyle="Currency">
      <calculatedColumnFormula>M7/C7</calculatedColumnFormula>
    </tableColumn>
  </tableColumns>
  <tableStyleInfo name="Table Style 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32000000}" name="Table38" displayName="Table38" ref="A4:R47" totalsRowShown="0" headerRowDxfId="116" dataDxfId="114" headerRowBorderDxfId="115" tableBorderDxfId="113" totalsRowBorderDxfId="112" headerRowCellStyle="Normal 2 3">
  <autoFilter ref="A4:R47" xr:uid="{00000000-0009-0000-0100-000025000000}"/>
  <tableColumns count="18">
    <tableColumn id="1" xr3:uid="{00000000-0010-0000-3200-000001000000}" name=" SCHOOL NAME" dataDxfId="111" totalsRowDxfId="110"/>
    <tableColumn id="2" xr3:uid="{00000000-0010-0000-3200-000002000000}" name=" COMMUNITY" dataDxfId="109" totalsRowDxfId="108"/>
    <tableColumn id="3" xr3:uid="{00000000-0010-0000-3200-000003000000}" name="SE" dataDxfId="107" totalsRowDxfId="106"/>
    <tableColumn id="4" xr3:uid="{00000000-0010-0000-3200-000004000000}" name="N" dataDxfId="105" totalsRowDxfId="104"/>
    <tableColumn id="5" xr3:uid="{00000000-0010-0000-3200-000005000000}" name="K" dataDxfId="103" totalsRowDxfId="102"/>
    <tableColumn id="6" xr3:uid="{00000000-0010-0000-3200-000006000000}" name="1" dataDxfId="101" totalsRowDxfId="100"/>
    <tableColumn id="7" xr3:uid="{00000000-0010-0000-3200-000007000000}" name="2" dataDxfId="99" totalsRowDxfId="98"/>
    <tableColumn id="8" xr3:uid="{00000000-0010-0000-3200-000008000000}" name="3" dataDxfId="97" totalsRowDxfId="96"/>
    <tableColumn id="9" xr3:uid="{00000000-0010-0000-3200-000009000000}" name="4" dataDxfId="95" totalsRowDxfId="94"/>
    <tableColumn id="10" xr3:uid="{00000000-0010-0000-3200-00000A000000}" name="5" dataDxfId="93" totalsRowDxfId="92"/>
    <tableColumn id="11" xr3:uid="{00000000-0010-0000-3200-00000B000000}" name="6" dataDxfId="91" totalsRowDxfId="90"/>
    <tableColumn id="12" xr3:uid="{00000000-0010-0000-3200-00000C000000}" name="7" dataDxfId="89" totalsRowDxfId="88"/>
    <tableColumn id="13" xr3:uid="{00000000-0010-0000-3200-00000D000000}" name="8" dataDxfId="87" totalsRowDxfId="86"/>
    <tableColumn id="14" xr3:uid="{00000000-0010-0000-3200-00000E000000}" name="9" dataDxfId="85" totalsRowDxfId="84"/>
    <tableColumn id="15" xr3:uid="{00000000-0010-0000-3200-00000F000000}" name="10" dataDxfId="83" totalsRowDxfId="82"/>
    <tableColumn id="16" xr3:uid="{00000000-0010-0000-3200-000010000000}" name="11" dataDxfId="81" totalsRowDxfId="80"/>
    <tableColumn id="17" xr3:uid="{00000000-0010-0000-3200-000011000000}" name="12" dataDxfId="79" totalsRowDxfId="78"/>
    <tableColumn id="18" xr3:uid="{00000000-0010-0000-3200-000012000000}" name="TOTAL" dataDxfId="77" totalsRowDxfId="76"/>
  </tableColumns>
  <tableStyleInfo name="Table Style 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33000000}" name="Table41" displayName="Table41" ref="A5:R38" totalsRowCount="1" headerRowDxfId="75" dataDxfId="73" headerRowBorderDxfId="74" tableBorderDxfId="72" totalsRowBorderDxfId="71" headerRowCellStyle="Normal 2 3" dataCellStyle="Normal 2 3">
  <autoFilter ref="A5:R37" xr:uid="{00000000-0009-0000-0100-000029000000}"/>
  <tableColumns count="18">
    <tableColumn id="1" xr3:uid="{00000000-0010-0000-3300-000001000000}" name=" SCHOOL NAME" dataDxfId="70" totalsRowDxfId="69" dataCellStyle="Normal 2 3"/>
    <tableColumn id="2" xr3:uid="{00000000-0010-0000-3300-000002000000}" name=" COMMUNITY" dataDxfId="68" totalsRowDxfId="67" dataCellStyle="Normal 2 3"/>
    <tableColumn id="3" xr3:uid="{00000000-0010-0000-3300-000003000000}" name="SE" totalsRowFunction="custom" dataDxfId="66" totalsRowDxfId="65" dataCellStyle="Normal 2 3">
      <totalsRowFormula>SUM(Table41[SE])</totalsRowFormula>
    </tableColumn>
    <tableColumn id="4" xr3:uid="{00000000-0010-0000-3300-000004000000}" name="N" totalsRowFunction="custom" dataDxfId="64" totalsRowDxfId="63" dataCellStyle="Normal 2 3">
      <totalsRowFormula>SUM(Table41[N])</totalsRowFormula>
    </tableColumn>
    <tableColumn id="5" xr3:uid="{00000000-0010-0000-3300-000005000000}" name="K" totalsRowFunction="custom" dataDxfId="62" totalsRowDxfId="61" dataCellStyle="Normal 2 3">
      <totalsRowFormula>SUM(Table41[K])</totalsRowFormula>
    </tableColumn>
    <tableColumn id="6" xr3:uid="{00000000-0010-0000-3300-000006000000}" name="1" totalsRowFunction="custom" dataDxfId="60" totalsRowDxfId="59" dataCellStyle="Normal 2 3">
      <totalsRowFormula>SUM(Table41[1])</totalsRowFormula>
    </tableColumn>
    <tableColumn id="7" xr3:uid="{00000000-0010-0000-3300-000007000000}" name="2" totalsRowFunction="custom" dataDxfId="58" totalsRowDxfId="57" dataCellStyle="Normal 2 3">
      <totalsRowFormula>SUM(Table41[2])</totalsRowFormula>
    </tableColumn>
    <tableColumn id="8" xr3:uid="{00000000-0010-0000-3300-000008000000}" name="3" totalsRowFunction="custom" dataDxfId="56" totalsRowDxfId="55" dataCellStyle="Normal 2 3">
      <totalsRowFormula>SUM(Table41[3])</totalsRowFormula>
    </tableColumn>
    <tableColumn id="9" xr3:uid="{00000000-0010-0000-3300-000009000000}" name="4" totalsRowFunction="custom" dataDxfId="54" totalsRowDxfId="53" dataCellStyle="Normal 2 3">
      <totalsRowFormula>SUM(Table41[4])</totalsRowFormula>
    </tableColumn>
    <tableColumn id="10" xr3:uid="{00000000-0010-0000-3300-00000A000000}" name="5" totalsRowFunction="custom" dataDxfId="52" totalsRowDxfId="51" dataCellStyle="Normal 2 3">
      <totalsRowFormula>SUM(Table41[5])</totalsRowFormula>
    </tableColumn>
    <tableColumn id="11" xr3:uid="{00000000-0010-0000-3300-00000B000000}" name="6" totalsRowFunction="custom" dataDxfId="50" totalsRowDxfId="49" dataCellStyle="Normal 2 3">
      <totalsRowFormula>SUM(Table41[6])</totalsRowFormula>
    </tableColumn>
    <tableColumn id="12" xr3:uid="{00000000-0010-0000-3300-00000C000000}" name="7" totalsRowFunction="custom" dataDxfId="48" totalsRowDxfId="47" dataCellStyle="Normal 2 3">
      <totalsRowFormula>SUM(Table41[7])</totalsRowFormula>
    </tableColumn>
    <tableColumn id="13" xr3:uid="{00000000-0010-0000-3300-00000D000000}" name="8" totalsRowFunction="custom" dataDxfId="46" totalsRowDxfId="45" dataCellStyle="Normal 2 3">
      <totalsRowFormula>SUM(Table41[8])</totalsRowFormula>
    </tableColumn>
    <tableColumn id="14" xr3:uid="{00000000-0010-0000-3300-00000E000000}" name="9" totalsRowFunction="custom" dataDxfId="44" totalsRowDxfId="43" dataCellStyle="Normal 2 3">
      <totalsRowFormula>SUM(Table41[9])</totalsRowFormula>
    </tableColumn>
    <tableColumn id="15" xr3:uid="{00000000-0010-0000-3300-00000F000000}" name="10" totalsRowFunction="custom" dataDxfId="42" totalsRowDxfId="41" dataCellStyle="Normal 2 3">
      <totalsRowFormula>SUM(Table41[10])</totalsRowFormula>
    </tableColumn>
    <tableColumn id="16" xr3:uid="{00000000-0010-0000-3300-000010000000}" name="11" totalsRowFunction="custom" dataDxfId="40" totalsRowDxfId="39" dataCellStyle="Normal 2 3">
      <totalsRowFormula>SUM(Table41[11])</totalsRowFormula>
    </tableColumn>
    <tableColumn id="17" xr3:uid="{00000000-0010-0000-3300-000011000000}" name="12" totalsRowFunction="custom" dataDxfId="38" totalsRowDxfId="37" dataCellStyle="Normal 2 3">
      <totalsRowFormula>SUM(Table41[12])</totalsRowFormula>
    </tableColumn>
    <tableColumn id="18" xr3:uid="{00000000-0010-0000-3300-000012000000}" name="TOTAL" totalsRowFunction="custom" dataDxfId="36" totalsRowDxfId="35" dataCellStyle="Normal 2 3">
      <totalsRowFormula>SUM(Table41[TOTAL])</totalsRowFormula>
    </tableColumn>
  </tableColumns>
  <tableStyleInfo name="TableStyleMedium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34000000}" name="Table534" displayName="Table534" ref="A6:I43" totalsRowCount="1" headerRowDxfId="34">
  <autoFilter ref="A6:I42" xr:uid="{00000000-0009-0000-0100-000021000000}"/>
  <tableColumns count="9">
    <tableColumn id="1" xr3:uid="{00000000-0010-0000-3400-000001000000}" name="DIVISION/DISTRICT" totalsRowLabel="Total" dataDxfId="33" totalsRowDxfId="32"/>
    <tableColumn id="2" xr3:uid="{00000000-0010-0000-3400-000002000000}" name="Special Needs LEVEL 2" totalsRowFunction="sum" dataDxfId="31" totalsRowDxfId="30" dataCellStyle="Currency">
      <calculatedColumnFormula>'E. 17-18 FRAME Budget'!U10</calculatedColumnFormula>
    </tableColumn>
    <tableColumn id="3" xr3:uid="{00000000-0010-0000-3400-000003000000}" name="Special Needs LEVEL 3" totalsRowFunction="sum" dataDxfId="29" totalsRowDxfId="28" dataCellStyle="Currency">
      <calculatedColumnFormula>'E. 17-18 FRAME Budget'!V10</calculatedColumnFormula>
    </tableColumn>
    <tableColumn id="4" xr3:uid="{00000000-0010-0000-3400-000004000000}" name="Estimated number of Level 2 FTE Students" totalsRowFunction="sum" dataDxfId="27" totalsRowDxfId="26">
      <calculatedColumnFormula>Table534[[#This Row],[Special Needs LEVEL 2]]/9500</calculatedColumnFormula>
    </tableColumn>
    <tableColumn id="5" xr3:uid="{00000000-0010-0000-3400-000005000000}" name="Estimated number of Level 3 FTE Students" totalsRowFunction="sum" dataDxfId="25" totalsRowDxfId="24">
      <calculatedColumnFormula>Table534[[#This Row],[Special Needs LEVEL 3]]/21130</calculatedColumnFormula>
    </tableColumn>
    <tableColumn id="6" xr3:uid="{00000000-0010-0000-3400-000006000000}" name="TOTAL Eligible FTE Enrolment Sept. 30 2016" totalsRowFunction="sum" dataDxfId="23" totalsRowDxfId="22" dataCellStyle="Comma">
      <calculatedColumnFormula>'K. MB Funded Enrolment'!C7</calculatedColumnFormula>
    </tableColumn>
    <tableColumn id="7" xr3:uid="{00000000-0010-0000-3400-000007000000}" name="Level 2 Incidence Rate" dataDxfId="21" totalsRowDxfId="20" dataCellStyle="Percent">
      <calculatedColumnFormula>Table534[[#This Row],[Estimated number of Level 2 FTE Students]]/Table534[[#This Row],[TOTAL Eligible FTE Enrolment Sept. 30 2016]]</calculatedColumnFormula>
    </tableColumn>
    <tableColumn id="8" xr3:uid="{00000000-0010-0000-3400-000008000000}" name="Level 3 Incidence Rate" dataDxfId="19" totalsRowDxfId="18" dataCellStyle="Percent">
      <calculatedColumnFormula>Table534[[#This Row],[Estimated number of Level 3 FTE Students]]/Table534[[#This Row],[TOTAL Eligible FTE Enrolment Sept. 30 2016]]</calculatedColumnFormula>
    </tableColumn>
    <tableColumn id="9" xr3:uid="{00000000-0010-0000-3400-000009000000}" name="Combined Level 2 &amp; 3 Incidence Rate" dataDxfId="17" totalsRowDxfId="16" dataCellStyle="Percent">
      <calculatedColumnFormula>SUM(Table534[[#This Row],[Estimated number of Level 2 FTE Students]:[Estimated number of Level 3 FTE Students]])/Table534[[#This Row],[TOTAL Eligible FTE Enrolment Sept. 30 2016]]</calculatedColumnFormula>
    </tableColumn>
  </tableColumns>
  <tableStyleInfo name="Table Style 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35000000}" name="Table135" displayName="Table135" ref="A6:C18" totalsRowCount="1" headerRowDxfId="15" dataDxfId="14" totalsRowDxfId="13">
  <autoFilter ref="A6:C17" xr:uid="{00000000-0009-0000-0100-000022000000}"/>
  <tableColumns count="3">
    <tableColumn id="1" xr3:uid="{00000000-0010-0000-3500-000001000000}" name="Recipient/Band No." totalsRowLabel="Total" dataDxfId="12" totalsRowDxfId="11" dataCellStyle="Normal 2"/>
    <tableColumn id="2" xr3:uid="{00000000-0010-0000-3500-000002000000}" name="First Nation" dataDxfId="10" totalsRowDxfId="9" dataCellStyle="Normal 2"/>
    <tableColumn id="3" xr3:uid="{00000000-0010-0000-3500-000003000000}" name="2017-18 Travel Rate" totalsRowFunction="sum" dataDxfId="8" totalsRowDxfId="7" dataCellStyle="Currency"/>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F271C"/>
      </a:dk2>
      <a:lt2>
        <a:srgbClr val="E7DEC9"/>
      </a:lt2>
      <a:accent1>
        <a:srgbClr val="3891A7"/>
      </a:accent1>
      <a:accent2>
        <a:srgbClr val="FEB80A"/>
      </a:accent2>
      <a:accent3>
        <a:srgbClr val="C32D2E"/>
      </a:accent3>
      <a:accent4>
        <a:srgbClr val="84AA33"/>
      </a:accent4>
      <a:accent5>
        <a:srgbClr val="964305"/>
      </a:accent5>
      <a:accent6>
        <a:srgbClr val="475A8D"/>
      </a:accent6>
      <a:hlink>
        <a:srgbClr val="0000FF"/>
      </a:hlink>
      <a:folHlink>
        <a:srgbClr val="0000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C61" dT="2023-06-16T19:10:33.93" personId="{A15C4E43-72E0-484F-A0DB-D5B84E4465EB}" id="{CDDF7796-6E62-8A4D-A122-65C45427201F}">
    <text xml:space="preserve">Just averaged, hard to desegregate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6.bin"/><Relationship Id="rId1" Type="http://schemas.openxmlformats.org/officeDocument/2006/relationships/hyperlink" Target="https://www.edu.gov.mb.ca/k12/finance/schfund/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7.bin"/><Relationship Id="rId1" Type="http://schemas.openxmlformats.org/officeDocument/2006/relationships/hyperlink" Target="https://www.edu.gov.mb.ca/k12/finance/schfund/index.html"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edu.gov.mb.ca/k12/finance/schfund/index.html" TargetMode="External"/><Relationship Id="rId1" Type="http://schemas.openxmlformats.org/officeDocument/2006/relationships/hyperlink" Target="http://www.edu.gov.mb.ca/k12/finance/schfund/funding_16-17.pdf"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9.bin"/><Relationship Id="rId1" Type="http://schemas.openxmlformats.org/officeDocument/2006/relationships/hyperlink" Target="https://www.edu.gov.mb.ca/k12/finance/schfund/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10.bin"/><Relationship Id="rId1" Type="http://schemas.openxmlformats.org/officeDocument/2006/relationships/hyperlink" Target="https://www.edu.gov.mb.ca/k12/finance/schfund/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1.bin"/><Relationship Id="rId1" Type="http://schemas.openxmlformats.org/officeDocument/2006/relationships/hyperlink" Target="https://www.edu.gov.mb.ca/k12/finance/schfund/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comments" Target="../comments6.xml"/><Relationship Id="rId2" Type="http://schemas.openxmlformats.org/officeDocument/2006/relationships/printerSettings" Target="../printerSettings/printerSettings12.bin"/><Relationship Id="rId1" Type="http://schemas.openxmlformats.org/officeDocument/2006/relationships/hyperlink" Target="https://www.edu.gov.mb.ca/k12/finance/frame_report/index.html" TargetMode="Externa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13.bin"/><Relationship Id="rId1" Type="http://schemas.openxmlformats.org/officeDocument/2006/relationships/hyperlink" Target="https://www.edu.gov.mb.ca/k12/finance/schfund/index.html"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edu.gov.mb.ca/k12/finance/schfund/index.html" TargetMode="External"/><Relationship Id="rId1" Type="http://schemas.openxmlformats.org/officeDocument/2006/relationships/hyperlink" Target="http://www.edu.gov.mb.ca/k12/finance/schfund/funding_16-17.pdf" TargetMode="External"/><Relationship Id="rId4"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15.bin"/><Relationship Id="rId1" Type="http://schemas.openxmlformats.org/officeDocument/2006/relationships/hyperlink" Target="https://www.edu.gov.mb.ca/k12/finance/schfund/index.html"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edu.gov.mb.ca/k12/finance/frame_report/index.html" TargetMode="External"/><Relationship Id="rId1" Type="http://schemas.openxmlformats.org/officeDocument/2006/relationships/hyperlink" Target="https://www.edu.gov.mb.ca/k12/finance/schfund/index.html" TargetMode="External"/><Relationship Id="rId4"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www.edu.gov.mb.ca/k12/finance/schfund/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9.bin"/><Relationship Id="rId1" Type="http://schemas.openxmlformats.org/officeDocument/2006/relationships/hyperlink" Target="https://www.edu.gov.mb.ca/k12/finance/frame_report/index.html" TargetMode="External"/><Relationship Id="rId5" Type="http://schemas.openxmlformats.org/officeDocument/2006/relationships/comments" Target="../comments7.xml"/><Relationship Id="rId4"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edu.gov.mb.ca/k12/finance/frame_report/index.html" TargetMode="External"/><Relationship Id="rId1" Type="http://schemas.openxmlformats.org/officeDocument/2006/relationships/hyperlink" Target="https://www.edu.gov.mb.ca/k12/finance/sch_enrol/index.html" TargetMode="External"/><Relationship Id="rId6" Type="http://schemas.openxmlformats.org/officeDocument/2006/relationships/comments" Target="../comments8.xml"/><Relationship Id="rId5" Type="http://schemas.openxmlformats.org/officeDocument/2006/relationships/table" Target="../tables/table18.xml"/><Relationship Id="rId4" Type="http://schemas.openxmlformats.org/officeDocument/2006/relationships/vmlDrawing" Target="../drawings/vmlDrawing8.v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21.bin"/><Relationship Id="rId1" Type="http://schemas.openxmlformats.org/officeDocument/2006/relationships/hyperlink" Target="https://www.edu.gov.mb.ca/k12/finance/frame_report/index.html" TargetMode="External"/><Relationship Id="rId5" Type="http://schemas.openxmlformats.org/officeDocument/2006/relationships/comments" Target="../comments9.xml"/><Relationship Id="rId4" Type="http://schemas.openxmlformats.org/officeDocument/2006/relationships/table" Target="../tables/table19.xm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www.edu.gov.mb.ca/k12/finance/frame_report/index.html" TargetMode="External"/><Relationship Id="rId1" Type="http://schemas.openxmlformats.org/officeDocument/2006/relationships/hyperlink" Target="https://www12.statcan.gc.ca/nhs-enm/2011/dp-pd/dt-td/Ap-eng.cfm?LANG=E&amp;APATH=3&amp;DETAIL=0&amp;DIM=0&amp;FL=A&amp;FREE=0&amp;GC=0&amp;GID=0&amp;GK=0&amp;GRP=0&amp;PID=107504&amp;PRID=0&amp;PTYPE=105277&amp;S=0&amp;SHOWALL=0&amp;SUB=0&amp;Temporal=2013&amp;THEME=94&amp;VID=0&amp;VNAMEE=&amp;VNAMEF=" TargetMode="External"/><Relationship Id="rId6" Type="http://schemas.openxmlformats.org/officeDocument/2006/relationships/comments" Target="../comments10.xml"/><Relationship Id="rId5" Type="http://schemas.openxmlformats.org/officeDocument/2006/relationships/table" Target="../tables/table20.xml"/><Relationship Id="rId4" Type="http://schemas.openxmlformats.org/officeDocument/2006/relationships/vmlDrawing" Target="../drawings/vmlDrawing10.v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23.bin"/><Relationship Id="rId1" Type="http://schemas.openxmlformats.org/officeDocument/2006/relationships/hyperlink" Target="https://www.edu.gov.mb.ca/k12/finance/schfund/index.html" TargetMode="External"/><Relationship Id="rId5" Type="http://schemas.openxmlformats.org/officeDocument/2006/relationships/comments" Target="../comments11.xml"/><Relationship Id="rId4" Type="http://schemas.openxmlformats.org/officeDocument/2006/relationships/table" Target="../tables/table21.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printerSettings" Target="../printerSettings/printerSettings24.bin"/><Relationship Id="rId1" Type="http://schemas.openxmlformats.org/officeDocument/2006/relationships/hyperlink" Target="https://www.edu.gov.mb.ca/k12/finance/schfund/index.html"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printerSettings" Target="../printerSettings/printerSettings25.bin"/><Relationship Id="rId1" Type="http://schemas.openxmlformats.org/officeDocument/2006/relationships/hyperlink" Target="https://www.edu.gov.mb.ca/k12/finance/schfund/index.html" TargetMode="External"/></Relationships>
</file>

<file path=xl/worksheets/_rels/sheet28.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printerSettings" Target="../printerSettings/printerSettings26.bin"/><Relationship Id="rId1" Type="http://schemas.openxmlformats.org/officeDocument/2006/relationships/hyperlink" Target="http://www.edu.gov.mb.ca/k12/finance/schfund/index.html" TargetMode="Externa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27.bin"/><Relationship Id="rId1" Type="http://schemas.openxmlformats.org/officeDocument/2006/relationships/hyperlink" Target="https://www.edu.gov.mb.ca/k12/finance/schfund/index.html" TargetMode="External"/><Relationship Id="rId5" Type="http://schemas.openxmlformats.org/officeDocument/2006/relationships/comments" Target="../comments12.xml"/><Relationship Id="rId4" Type="http://schemas.openxmlformats.org/officeDocument/2006/relationships/table" Target="../tables/table25.xml"/></Relationships>
</file>

<file path=xl/worksheets/_rels/sheet30.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printerSettings" Target="../printerSettings/printerSettings28.bin"/><Relationship Id="rId1" Type="http://schemas.openxmlformats.org/officeDocument/2006/relationships/hyperlink" Target="https://www.edu.gov.mb.ca/k12/finance/schfund/index.html"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printerSettings" Target="../printerSettings/printerSettings29.bin"/><Relationship Id="rId1" Type="http://schemas.openxmlformats.org/officeDocument/2006/relationships/hyperlink" Target="https://www.edu.gov.mb.ca/k12/finance/schfund/index.html"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hyperlink" Target="https://gcdocs.intra.pri/aanc-inac/llisapi.dll/Overview/98818395" TargetMode="External"/></Relationships>
</file>

<file path=xl/worksheets/_rels/sheet3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printerSettings" Target="../printerSettings/printerSettings30.bin"/><Relationship Id="rId1" Type="http://schemas.openxmlformats.org/officeDocument/2006/relationships/hyperlink" Target="https://www.edu.gov.mb.ca/k12/finance/schfund/index.html" TargetMode="External"/><Relationship Id="rId5" Type="http://schemas.openxmlformats.org/officeDocument/2006/relationships/comments" Target="../comments14.xml"/><Relationship Id="rId4" Type="http://schemas.openxmlformats.org/officeDocument/2006/relationships/table" Target="../tables/table32.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34.bin"/><Relationship Id="rId1" Type="http://schemas.openxmlformats.org/officeDocument/2006/relationships/hyperlink" Target="https://www.edu.gov.mb.ca/k12/finance/frame_report/index.html" TargetMode="External"/><Relationship Id="rId5" Type="http://schemas.openxmlformats.org/officeDocument/2006/relationships/comments" Target="../comments15.xml"/><Relationship Id="rId4" Type="http://schemas.openxmlformats.org/officeDocument/2006/relationships/table" Target="../tables/table35.xml"/></Relationships>
</file>

<file path=xl/worksheets/_rels/sheet42.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vmlDrawing" Target="../drawings/vmlDrawing16.vml"/><Relationship Id="rId1" Type="http://schemas.openxmlformats.org/officeDocument/2006/relationships/printerSettings" Target="../printerSettings/printerSettings35.bin"/><Relationship Id="rId4" Type="http://schemas.openxmlformats.org/officeDocument/2006/relationships/comments" Target="../comments16.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table" Target="../tables/table37.xml"/><Relationship Id="rId1" Type="http://schemas.openxmlformats.org/officeDocument/2006/relationships/vmlDrawing" Target="../drawings/vmlDrawing17.vml"/></Relationships>
</file>

<file path=xl/worksheets/_rels/sheet45.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hyperlink" Target="https://gcdocs.intra.pri/aanc-inac/llisapi.dll/Overview/99913032" TargetMode="External"/></Relationships>
</file>

<file path=xl/worksheets/_rels/sheet50.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vmlDrawing" Target="../drawings/vmlDrawing18.vml"/><Relationship Id="rId1" Type="http://schemas.openxmlformats.org/officeDocument/2006/relationships/printerSettings" Target="../printerSettings/printerSettings39.bin"/><Relationship Id="rId6" Type="http://schemas.openxmlformats.org/officeDocument/2006/relationships/comments" Target="../comments18.xml"/><Relationship Id="rId5" Type="http://schemas.openxmlformats.org/officeDocument/2006/relationships/table" Target="../tables/table44.xml"/><Relationship Id="rId4" Type="http://schemas.openxmlformats.org/officeDocument/2006/relationships/table" Target="../tables/table43.xml"/></Relationships>
</file>

<file path=xl/worksheets/_rels/sheet51.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vmlDrawing" Target="../drawings/vmlDrawing19.vml"/><Relationship Id="rId1" Type="http://schemas.openxmlformats.org/officeDocument/2006/relationships/printerSettings" Target="../printerSettings/printerSettings40.bin"/><Relationship Id="rId5" Type="http://schemas.openxmlformats.org/officeDocument/2006/relationships/comments" Target="../comments19.xml"/><Relationship Id="rId4" Type="http://schemas.openxmlformats.org/officeDocument/2006/relationships/table" Target="../tables/table46.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vmlDrawing" Target="../drawings/vmlDrawing20.vml"/><Relationship Id="rId1" Type="http://schemas.openxmlformats.org/officeDocument/2006/relationships/printerSettings" Target="../printerSettings/printerSettings43.bin"/><Relationship Id="rId4" Type="http://schemas.openxmlformats.org/officeDocument/2006/relationships/comments" Target="../comments20.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5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45.bin"/></Relationships>
</file>

<file path=xl/worksheets/_rels/sheet5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hyperlink" Target="https://www.edu.gov.mb.ca/k12/finance/frame_report/2018-19_frame_budget.pdf" TargetMode="External"/></Relationships>
</file>

<file path=xl/worksheets/_rels/sheet60.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4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edu.gov.mb.ca/k12/finance/sch_enrol/enrolment_2015.pdf"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edu.gov.mb.ca/k12/finance/sch_enrol/index.html" TargetMode="Externa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2.bin"/></Relationships>
</file>

<file path=xl/worksheets/_rels/sheet68.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printerSettings" Target="../printerSettings/printerSettings53.bin"/></Relationships>
</file>

<file path=xl/worksheets/_rels/sheet69.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drawing" Target="../drawings/drawing3.xml"/><Relationship Id="rId1" Type="http://schemas.openxmlformats.org/officeDocument/2006/relationships/printerSettings" Target="../printerSettings/printerSettings54.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71.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printerSettings" Target="../printerSettings/printerSettings56.bin"/></Relationships>
</file>

<file path=xl/worksheets/_rels/sheet72.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printerSettings" Target="../printerSettings/printerSettings57.bin"/></Relationships>
</file>

<file path=xl/worksheets/_rels/sheet73.xml.rels><?xml version="1.0" encoding="UTF-8" standalone="yes"?>
<Relationships xmlns="http://schemas.openxmlformats.org/package/2006/relationships"><Relationship Id="rId8" Type="http://schemas.openxmlformats.org/officeDocument/2006/relationships/hyperlink" Target="https://www2.nrcan.gc.ca/eneene/sources/pripri/prices_bycity_e.cfm?productID=5&amp;locationID=16&amp;locationID=15&amp;frequency=M&amp;priceYear=2020&amp;Redisplay=" TargetMode="External"/><Relationship Id="rId3" Type="http://schemas.openxmlformats.org/officeDocument/2006/relationships/hyperlink" Target="http://fairwayspecialty.ca/about-us" TargetMode="External"/><Relationship Id="rId7" Type="http://schemas.openxmlformats.org/officeDocument/2006/relationships/hyperlink" Target="http://www.vitaltransitservice.com/charters.htm" TargetMode="External"/><Relationship Id="rId2" Type="http://schemas.openxmlformats.org/officeDocument/2006/relationships/hyperlink" Target="http://fairwayspecialty.ca/about-us" TargetMode="External"/><Relationship Id="rId1" Type="http://schemas.openxmlformats.org/officeDocument/2006/relationships/hyperlink" Target="http://www.njc-cnm.gc.ca/doc.php?did=620&amp;lang=eng" TargetMode="External"/><Relationship Id="rId6" Type="http://schemas.openxmlformats.org/officeDocument/2006/relationships/hyperlink" Target="http://www.tirestewardshipmb.ca/retailers/steward-fees" TargetMode="External"/><Relationship Id="rId11" Type="http://schemas.openxmlformats.org/officeDocument/2006/relationships/printerSettings" Target="../printerSettings/printerSettings58.bin"/><Relationship Id="rId5" Type="http://schemas.openxmlformats.org/officeDocument/2006/relationships/hyperlink" Target="http://fairwayspecialty.ca/about-us" TargetMode="External"/><Relationship Id="rId10" Type="http://schemas.openxmlformats.org/officeDocument/2006/relationships/hyperlink" Target="http://www.vitaltransitservice.com/charters.htm" TargetMode="External"/><Relationship Id="rId4" Type="http://schemas.openxmlformats.org/officeDocument/2006/relationships/hyperlink" Target="http://www.centralstatesbus.com/Manuals.html" TargetMode="External"/><Relationship Id="rId9" Type="http://schemas.openxmlformats.org/officeDocument/2006/relationships/hyperlink" Target="https://www.fsdnet.ca/About/Departments/HR/JobDescriptions%26Salaries/Documents/School%20Based%20Salary%20Scales%202021-2022.pdf" TargetMode="External"/></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5.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s://gcdocs.intra.pri/aanc-inac/llisapi.dll/link/99027933" TargetMode="External"/><Relationship Id="rId1" Type="http://schemas.openxmlformats.org/officeDocument/2006/relationships/hyperlink" Target="https://gcdocs.intra.pri/aanc-inac/llisapi.dll/link/93945784" TargetMode="External"/></Relationships>
</file>

<file path=xl/worksheets/_rels/sheet76.xml.rels><?xml version="1.0" encoding="UTF-8" standalone="yes"?>
<Relationships xmlns="http://schemas.openxmlformats.org/package/2006/relationships"><Relationship Id="rId8" Type="http://schemas.openxmlformats.org/officeDocument/2006/relationships/hyperlink" Target="http://www.centralstatesbus.com/Manuals.html" TargetMode="External"/><Relationship Id="rId3" Type="http://schemas.openxmlformats.org/officeDocument/2006/relationships/hyperlink" Target="http://fairwayspecialty.ca/about-us" TargetMode="External"/><Relationship Id="rId7" Type="http://schemas.openxmlformats.org/officeDocument/2006/relationships/hyperlink" Target="http://www.vitaltransitservice.com/charters.htm" TargetMode="External"/><Relationship Id="rId12" Type="http://schemas.openxmlformats.org/officeDocument/2006/relationships/printerSettings" Target="../printerSettings/printerSettings61.bin"/><Relationship Id="rId2" Type="http://schemas.openxmlformats.org/officeDocument/2006/relationships/hyperlink" Target="http://fairwayspecialty.ca/about-us" TargetMode="External"/><Relationship Id="rId1" Type="http://schemas.openxmlformats.org/officeDocument/2006/relationships/hyperlink" Target="http://www.njc-cnm.gc.ca/doc.php?did=620&amp;lang=eng" TargetMode="External"/><Relationship Id="rId6" Type="http://schemas.openxmlformats.org/officeDocument/2006/relationships/hyperlink" Target="http://www.vitaltransitservice.com/charters.htm" TargetMode="External"/><Relationship Id="rId11" Type="http://schemas.openxmlformats.org/officeDocument/2006/relationships/hyperlink" Target="http://www.frontiersd.mb.ca/HR/SiteAssets/Pages/compensation/School%20Based%20Salary%20Scales%202017-2018.pdf" TargetMode="External"/><Relationship Id="rId5" Type="http://schemas.openxmlformats.org/officeDocument/2006/relationships/hyperlink" Target="http://www2.nrcan.gc.ca/eneene/sources/pripri/prices_bycity_e.cfm?productID=5&amp;locationID=16&amp;locationID=15&amp;frequency=M&amp;priceYear=2017&amp;Redisplay=" TargetMode="External"/><Relationship Id="rId10" Type="http://schemas.openxmlformats.org/officeDocument/2006/relationships/hyperlink" Target="http://www.tirestewardshipmb.ca/retailers/steward-fees" TargetMode="External"/><Relationship Id="rId4" Type="http://schemas.openxmlformats.org/officeDocument/2006/relationships/hyperlink" Target="http://www.tirestewardshipmb.ca/wp-content/uploads/2015_Eco-Fee-Quick-Reference-Guide_April-1-2015.pdf" TargetMode="External"/><Relationship Id="rId9" Type="http://schemas.openxmlformats.org/officeDocument/2006/relationships/hyperlink" Target="http://fairwayspecialty.ca/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P62"/>
  <sheetViews>
    <sheetView topLeftCell="A19" zoomScale="115" zoomScaleNormal="115" workbookViewId="0">
      <selection activeCell="E50" sqref="E50"/>
    </sheetView>
  </sheetViews>
  <sheetFormatPr baseColWidth="10" defaultColWidth="9.19921875" defaultRowHeight="14"/>
  <cols>
    <col min="1" max="1" width="17.796875" customWidth="1"/>
    <col min="3" max="3" width="30.19921875" customWidth="1"/>
    <col min="4" max="4" width="30.796875" customWidth="1"/>
    <col min="6" max="6" width="14.59765625" bestFit="1" customWidth="1"/>
    <col min="7" max="7" width="13.59765625" bestFit="1" customWidth="1"/>
    <col min="11" max="11" width="19.59765625" customWidth="1"/>
    <col min="12" max="12" width="12.796875" customWidth="1"/>
    <col min="13" max="13" width="15.3984375" customWidth="1"/>
    <col min="14" max="14" width="9.796875" customWidth="1"/>
    <col min="15" max="15" width="10.59765625" customWidth="1"/>
  </cols>
  <sheetData>
    <row r="3" spans="1:16">
      <c r="A3" s="533" t="s">
        <v>0</v>
      </c>
      <c r="B3" s="534"/>
      <c r="C3" s="534"/>
      <c r="D3" s="534"/>
    </row>
    <row r="4" spans="1:16">
      <c r="A4" s="534"/>
      <c r="B4" s="534"/>
      <c r="C4" s="534"/>
      <c r="D4" s="534"/>
    </row>
    <row r="5" spans="1:16">
      <c r="A5" s="534"/>
      <c r="B5" s="535" t="s">
        <v>1</v>
      </c>
      <c r="C5" s="536" t="s">
        <v>2</v>
      </c>
      <c r="D5" s="536" t="s">
        <v>3</v>
      </c>
    </row>
    <row r="6" spans="1:16">
      <c r="A6" s="534"/>
      <c r="B6" s="535"/>
      <c r="C6" s="536"/>
      <c r="D6" s="536"/>
    </row>
    <row r="7" spans="1:16">
      <c r="A7" s="537" t="s">
        <v>4</v>
      </c>
      <c r="B7" s="538" t="s">
        <v>5</v>
      </c>
      <c r="C7" s="539">
        <v>32380519</v>
      </c>
      <c r="D7" s="545">
        <v>10118384</v>
      </c>
    </row>
    <row r="8" spans="1:16">
      <c r="A8" s="537" t="s">
        <v>6</v>
      </c>
      <c r="B8" s="538" t="s">
        <v>5</v>
      </c>
      <c r="C8" s="539">
        <v>33060369</v>
      </c>
      <c r="D8" s="545">
        <v>10431491</v>
      </c>
    </row>
    <row r="9" spans="1:16">
      <c r="A9" s="537" t="s">
        <v>7</v>
      </c>
      <c r="B9" s="540" t="s">
        <v>8</v>
      </c>
      <c r="C9" s="539">
        <v>33597580</v>
      </c>
      <c r="D9" s="545">
        <v>10476723</v>
      </c>
    </row>
    <row r="10" spans="1:16">
      <c r="A10" s="537" t="s">
        <v>9</v>
      </c>
      <c r="B10" s="540" t="s">
        <v>8</v>
      </c>
      <c r="C10" s="539">
        <v>33006370</v>
      </c>
      <c r="D10" s="545" t="s">
        <v>10</v>
      </c>
    </row>
    <row r="11" spans="1:16">
      <c r="A11" s="537" t="s">
        <v>9</v>
      </c>
      <c r="B11" s="540" t="s">
        <v>8</v>
      </c>
      <c r="C11" s="539">
        <v>33593091</v>
      </c>
      <c r="D11" s="545" t="s">
        <v>11</v>
      </c>
    </row>
    <row r="12" spans="1:16">
      <c r="A12" s="537" t="s">
        <v>12</v>
      </c>
      <c r="B12" s="540" t="s">
        <v>8</v>
      </c>
      <c r="C12" s="539">
        <v>35786871.720678657</v>
      </c>
      <c r="D12" s="545">
        <v>10930598</v>
      </c>
    </row>
    <row r="13" spans="1:16">
      <c r="A13" s="537" t="s">
        <v>6</v>
      </c>
      <c r="B13" s="540" t="s">
        <v>8</v>
      </c>
      <c r="C13" s="539">
        <v>37240540.719999999</v>
      </c>
      <c r="D13" s="545">
        <v>10930598</v>
      </c>
      <c r="F13" s="19"/>
    </row>
    <row r="14" spans="1:16">
      <c r="A14" s="537" t="s">
        <v>7</v>
      </c>
      <c r="B14" s="540" t="s">
        <v>13</v>
      </c>
      <c r="C14" s="539">
        <v>36362582.810000002</v>
      </c>
      <c r="D14" s="545"/>
      <c r="I14" t="s">
        <v>14</v>
      </c>
    </row>
    <row r="15" spans="1:16" ht="16">
      <c r="A15" s="537" t="s">
        <v>15</v>
      </c>
      <c r="B15" s="540" t="s">
        <v>13</v>
      </c>
      <c r="C15" s="539">
        <v>41371526.25999219</v>
      </c>
      <c r="D15" s="545">
        <v>52631449</v>
      </c>
      <c r="H15" s="425"/>
      <c r="I15" s="936" t="s">
        <v>16</v>
      </c>
      <c r="J15" s="425"/>
      <c r="K15" s="425"/>
      <c r="L15" s="425"/>
      <c r="M15" s="425"/>
      <c r="N15" s="425"/>
      <c r="O15" s="425"/>
      <c r="P15" s="425"/>
    </row>
    <row r="16" spans="1:16" s="72" customFormat="1" ht="30">
      <c r="A16" s="537" t="s">
        <v>17</v>
      </c>
      <c r="B16" s="540" t="s">
        <v>13</v>
      </c>
      <c r="C16" s="539">
        <v>44230599</v>
      </c>
      <c r="D16" s="545">
        <v>57577726</v>
      </c>
      <c r="H16" s="937"/>
      <c r="I16" s="937"/>
      <c r="J16" s="937"/>
      <c r="K16" s="938" t="s">
        <v>18</v>
      </c>
      <c r="L16" s="938" t="s">
        <v>19</v>
      </c>
      <c r="M16" s="938" t="s">
        <v>20</v>
      </c>
      <c r="N16" s="939" t="s">
        <v>21</v>
      </c>
      <c r="O16" s="939" t="s">
        <v>22</v>
      </c>
      <c r="P16" s="939" t="s">
        <v>23</v>
      </c>
    </row>
    <row r="17" spans="1:16">
      <c r="F17" s="26"/>
      <c r="H17" s="425"/>
      <c r="I17" s="425"/>
      <c r="J17" s="940" t="s">
        <v>24</v>
      </c>
      <c r="K17" s="438">
        <v>10607544</v>
      </c>
      <c r="L17" s="438">
        <v>11895085</v>
      </c>
      <c r="M17" s="438">
        <v>1287541</v>
      </c>
      <c r="N17" s="1609">
        <v>3433442</v>
      </c>
      <c r="O17" s="425"/>
      <c r="P17" s="425"/>
    </row>
    <row r="18" spans="1:16">
      <c r="H18" s="425"/>
      <c r="I18" s="425"/>
      <c r="J18" s="941">
        <v>43647</v>
      </c>
      <c r="K18" s="438">
        <v>17679240</v>
      </c>
      <c r="L18" s="438">
        <v>19825141</v>
      </c>
      <c r="M18" s="438">
        <v>2145901</v>
      </c>
      <c r="N18" s="1610"/>
      <c r="O18" s="425"/>
      <c r="P18" s="425"/>
    </row>
    <row r="19" spans="1:16" ht="12" customHeight="1">
      <c r="A19" s="780" t="s">
        <v>25</v>
      </c>
      <c r="H19" s="425"/>
      <c r="I19" s="425"/>
      <c r="J19" s="941">
        <v>43770</v>
      </c>
      <c r="K19" s="438">
        <v>3535848</v>
      </c>
      <c r="L19" s="438">
        <v>3965028</v>
      </c>
      <c r="M19" s="438">
        <v>429180</v>
      </c>
      <c r="N19" s="425"/>
      <c r="O19" s="609">
        <v>429180</v>
      </c>
      <c r="P19" s="425"/>
    </row>
    <row r="20" spans="1:16">
      <c r="C20" s="121" t="s">
        <v>26</v>
      </c>
      <c r="H20" s="425"/>
      <c r="I20" s="425"/>
      <c r="J20" s="941">
        <v>43497</v>
      </c>
      <c r="K20" s="438">
        <v>3535848</v>
      </c>
      <c r="L20" s="438">
        <v>3965028</v>
      </c>
      <c r="M20" s="438">
        <v>429180</v>
      </c>
      <c r="N20" s="425"/>
      <c r="O20" s="425"/>
      <c r="P20" s="609">
        <v>429180</v>
      </c>
    </row>
    <row r="21" spans="1:16">
      <c r="C21" s="92" t="s">
        <v>27</v>
      </c>
      <c r="D21" s="19">
        <v>15516892</v>
      </c>
      <c r="H21" s="425"/>
      <c r="I21" s="425"/>
      <c r="J21" s="425"/>
      <c r="K21" s="1443">
        <v>35358480</v>
      </c>
      <c r="L21" s="1444">
        <v>39650282</v>
      </c>
      <c r="M21" s="1444">
        <v>4291802</v>
      </c>
      <c r="N21" s="1611">
        <v>4291802</v>
      </c>
      <c r="O21" s="1611"/>
      <c r="P21" s="1611"/>
    </row>
    <row r="22" spans="1:16">
      <c r="C22" s="92" t="s">
        <v>28</v>
      </c>
      <c r="D22" s="19">
        <v>21211507</v>
      </c>
      <c r="H22" s="425"/>
      <c r="I22" s="425"/>
      <c r="J22" s="425"/>
      <c r="K22" s="425"/>
      <c r="L22" s="942"/>
      <c r="M22" s="942"/>
      <c r="N22" s="425"/>
      <c r="O22" s="425"/>
      <c r="P22" s="425"/>
    </row>
    <row r="23" spans="1:16">
      <c r="C23" s="92" t="s">
        <v>29</v>
      </c>
      <c r="D23" s="1158">
        <v>36728399</v>
      </c>
      <c r="H23" s="425"/>
      <c r="I23" s="425"/>
      <c r="J23" s="425"/>
      <c r="K23" s="943" t="s">
        <v>30</v>
      </c>
      <c r="L23" s="425"/>
      <c r="M23" s="425"/>
      <c r="N23" s="425"/>
      <c r="O23" s="425"/>
      <c r="P23" s="425"/>
    </row>
    <row r="24" spans="1:16">
      <c r="C24" s="724" t="s">
        <v>31</v>
      </c>
      <c r="D24" s="725">
        <v>11018519.699999999</v>
      </c>
      <c r="H24" s="425"/>
      <c r="I24" s="425"/>
      <c r="J24" s="425"/>
      <c r="K24" s="425"/>
      <c r="L24" s="944" t="s">
        <v>32</v>
      </c>
      <c r="M24" s="942">
        <v>3433442</v>
      </c>
      <c r="N24" s="425"/>
      <c r="O24" s="425"/>
      <c r="P24" s="425"/>
    </row>
    <row r="25" spans="1:16">
      <c r="C25" s="726">
        <v>43647</v>
      </c>
      <c r="D25" s="725">
        <v>18364199.5</v>
      </c>
      <c r="H25" s="425"/>
      <c r="I25" s="425"/>
      <c r="J25" s="425"/>
      <c r="K25" s="425"/>
      <c r="L25" s="940" t="s">
        <v>33</v>
      </c>
      <c r="M25" s="438">
        <v>0</v>
      </c>
      <c r="N25" s="425"/>
      <c r="O25" s="425"/>
      <c r="P25" s="425"/>
    </row>
    <row r="26" spans="1:16">
      <c r="C26" s="726">
        <v>43770</v>
      </c>
      <c r="D26" s="725">
        <v>3672839.9000000004</v>
      </c>
      <c r="H26" s="425"/>
      <c r="I26" s="425"/>
      <c r="J26" s="425"/>
      <c r="K26" s="425"/>
      <c r="L26" s="940" t="s">
        <v>34</v>
      </c>
      <c r="M26" s="1445">
        <v>3433442</v>
      </c>
      <c r="N26" s="425"/>
      <c r="O26" s="425"/>
      <c r="P26" s="425"/>
    </row>
    <row r="27" spans="1:16">
      <c r="C27" s="726">
        <v>43497</v>
      </c>
      <c r="D27" s="725">
        <v>3672839.9000000004</v>
      </c>
      <c r="H27" s="425"/>
      <c r="I27" s="425"/>
      <c r="J27" s="425"/>
      <c r="K27" s="425"/>
      <c r="L27" s="940"/>
      <c r="M27" s="425"/>
      <c r="N27" s="425"/>
      <c r="O27" s="425"/>
      <c r="P27" s="425"/>
    </row>
    <row r="28" spans="1:16">
      <c r="C28" s="724"/>
      <c r="D28" s="725"/>
      <c r="H28" s="425"/>
      <c r="I28" s="425"/>
      <c r="J28" s="425"/>
      <c r="K28" s="945" t="s">
        <v>35</v>
      </c>
      <c r="L28" s="425"/>
      <c r="M28" s="425"/>
      <c r="N28" s="425"/>
      <c r="O28" s="425"/>
      <c r="P28" s="425"/>
    </row>
    <row r="29" spans="1:16">
      <c r="F29" s="121" t="s">
        <v>36</v>
      </c>
      <c r="G29" t="s">
        <v>37</v>
      </c>
      <c r="H29" s="425"/>
      <c r="I29" s="425"/>
      <c r="J29" s="425"/>
      <c r="K29" s="425"/>
      <c r="L29" s="940" t="s">
        <v>38</v>
      </c>
      <c r="M29" s="438">
        <v>55377</v>
      </c>
      <c r="N29" s="425"/>
      <c r="O29" s="425"/>
      <c r="P29" s="425"/>
    </row>
    <row r="30" spans="1:16">
      <c r="C30" s="92" t="s">
        <v>39</v>
      </c>
      <c r="H30" s="425"/>
      <c r="I30" s="425"/>
      <c r="J30" s="425"/>
      <c r="K30" s="425"/>
      <c r="L30" s="940" t="s">
        <v>40</v>
      </c>
      <c r="M30" s="438">
        <v>1004103</v>
      </c>
      <c r="N30" s="425"/>
      <c r="O30" s="425"/>
      <c r="P30" s="425"/>
    </row>
    <row r="31" spans="1:16">
      <c r="C31" s="92" t="s">
        <v>27</v>
      </c>
      <c r="D31" s="19">
        <v>15516892</v>
      </c>
      <c r="F31" s="19">
        <v>11895085</v>
      </c>
      <c r="G31" s="19">
        <v>876565</v>
      </c>
      <c r="H31" s="425"/>
      <c r="I31" s="425"/>
      <c r="J31" s="425"/>
      <c r="K31" s="425"/>
      <c r="L31" s="425"/>
      <c r="M31" s="1443">
        <v>1059480</v>
      </c>
      <c r="N31" s="425"/>
      <c r="O31" s="425"/>
      <c r="P31" s="425"/>
    </row>
    <row r="32" spans="1:16">
      <c r="C32" s="92" t="s">
        <v>41</v>
      </c>
      <c r="D32" s="19">
        <v>24133390</v>
      </c>
      <c r="F32" s="19">
        <v>19825141</v>
      </c>
      <c r="G32" s="19">
        <v>1460942</v>
      </c>
      <c r="H32" s="425"/>
      <c r="I32" s="425"/>
      <c r="J32" s="425"/>
      <c r="K32" s="425"/>
      <c r="L32" s="425"/>
      <c r="M32" s="425"/>
      <c r="N32" s="425"/>
      <c r="O32" s="425"/>
      <c r="P32" s="425"/>
    </row>
    <row r="33" spans="3:16">
      <c r="C33" s="92" t="s">
        <v>42</v>
      </c>
      <c r="D33" s="1158">
        <v>39650282</v>
      </c>
      <c r="F33" s="19">
        <v>3965028</v>
      </c>
      <c r="G33" s="19">
        <v>292188</v>
      </c>
      <c r="H33" s="425"/>
      <c r="I33" s="425"/>
      <c r="J33" s="425"/>
      <c r="K33" s="945" t="s">
        <v>43</v>
      </c>
      <c r="L33" s="425"/>
      <c r="M33" s="425"/>
      <c r="N33" s="425"/>
      <c r="O33" s="425"/>
      <c r="P33" s="425"/>
    </row>
    <row r="34" spans="3:16">
      <c r="C34" s="724" t="s">
        <v>44</v>
      </c>
      <c r="D34" s="725">
        <v>20701705.899999999</v>
      </c>
      <c r="F34" s="19">
        <v>3965028</v>
      </c>
      <c r="G34" s="19">
        <v>292188</v>
      </c>
      <c r="H34" s="425"/>
      <c r="I34" s="425"/>
      <c r="J34" s="425"/>
      <c r="K34" s="425"/>
      <c r="L34" s="940" t="s">
        <v>45</v>
      </c>
      <c r="M34" s="942">
        <v>3433442</v>
      </c>
      <c r="N34" s="425"/>
      <c r="O34" s="425"/>
      <c r="P34" s="425"/>
    </row>
    <row r="35" spans="3:16" ht="15" thickBot="1">
      <c r="C35" s="727" t="s">
        <v>46</v>
      </c>
      <c r="D35" s="728">
        <v>2337506.3999999985</v>
      </c>
      <c r="F35" s="729">
        <v>39650282</v>
      </c>
      <c r="G35" s="729">
        <v>2921883</v>
      </c>
      <c r="H35" s="425"/>
      <c r="I35" s="425"/>
      <c r="J35" s="425"/>
      <c r="K35" s="425"/>
      <c r="L35" s="940" t="s">
        <v>35</v>
      </c>
      <c r="M35" s="609">
        <v>1059480</v>
      </c>
      <c r="N35" s="425"/>
      <c r="O35" s="425"/>
      <c r="P35" s="425"/>
    </row>
    <row r="36" spans="3:16" ht="15" thickTop="1">
      <c r="H36" s="425"/>
      <c r="I36" s="425"/>
      <c r="J36" s="425"/>
      <c r="K36" s="425"/>
      <c r="L36" s="940" t="s">
        <v>47</v>
      </c>
      <c r="M36" s="1445">
        <v>2373962</v>
      </c>
      <c r="N36" s="425"/>
      <c r="O36" s="425"/>
      <c r="P36" s="425"/>
    </row>
    <row r="38" spans="3:16">
      <c r="G38" s="19">
        <v>-710962</v>
      </c>
    </row>
    <row r="40" spans="3:16">
      <c r="C40" s="92" t="s">
        <v>48</v>
      </c>
    </row>
    <row r="41" spans="3:16" ht="45">
      <c r="C41" s="92" t="s">
        <v>27</v>
      </c>
      <c r="D41" s="19">
        <v>15516892</v>
      </c>
      <c r="F41" s="19">
        <v>12395422.5</v>
      </c>
      <c r="J41" s="946" t="s">
        <v>49</v>
      </c>
      <c r="K41" s="927" t="s">
        <v>18</v>
      </c>
      <c r="L41" s="927" t="s">
        <v>50</v>
      </c>
      <c r="M41" s="927" t="s">
        <v>20</v>
      </c>
      <c r="N41" s="928" t="s">
        <v>21</v>
      </c>
      <c r="O41" s="928" t="s">
        <v>22</v>
      </c>
      <c r="P41" s="928" t="s">
        <v>23</v>
      </c>
    </row>
    <row r="42" spans="3:16">
      <c r="C42" s="92" t="s">
        <v>41</v>
      </c>
      <c r="D42" s="397">
        <v>25801183</v>
      </c>
      <c r="F42" s="19">
        <v>20659037.5</v>
      </c>
      <c r="J42" s="930">
        <v>43922</v>
      </c>
      <c r="K42" s="929">
        <v>10607544</v>
      </c>
      <c r="L42" s="929">
        <v>12395422.5</v>
      </c>
      <c r="M42" s="929">
        <v>1787878.5</v>
      </c>
      <c r="N42" s="1612">
        <v>4767676</v>
      </c>
      <c r="O42" s="128"/>
      <c r="P42" s="128"/>
    </row>
    <row r="43" spans="3:16">
      <c r="C43" s="92" t="s">
        <v>42</v>
      </c>
      <c r="D43" s="19">
        <v>41318075</v>
      </c>
      <c r="F43" s="19">
        <v>4131807.5</v>
      </c>
      <c r="J43" s="930">
        <v>43647</v>
      </c>
      <c r="K43" s="929">
        <v>17679240</v>
      </c>
      <c r="L43" s="929">
        <v>20659037.5</v>
      </c>
      <c r="M43" s="929">
        <v>2979797.5</v>
      </c>
      <c r="N43" s="1613"/>
      <c r="O43" s="128"/>
      <c r="P43" s="128"/>
    </row>
    <row r="44" spans="3:16">
      <c r="C44" s="724" t="s">
        <v>44</v>
      </c>
      <c r="F44" s="19">
        <v>4131807.5</v>
      </c>
      <c r="J44" s="930">
        <v>43770</v>
      </c>
      <c r="K44" s="929">
        <v>3535848</v>
      </c>
      <c r="L44" s="929">
        <v>4131807.5</v>
      </c>
      <c r="M44" s="929">
        <v>595959.5</v>
      </c>
      <c r="N44" s="128"/>
      <c r="O44" s="931">
        <v>595959.5</v>
      </c>
      <c r="P44" s="128"/>
    </row>
    <row r="45" spans="3:16" ht="15" thickBot="1">
      <c r="C45" s="727" t="s">
        <v>46</v>
      </c>
      <c r="F45" s="729">
        <v>41318075</v>
      </c>
      <c r="J45" s="930">
        <v>44166</v>
      </c>
      <c r="K45" s="929">
        <v>3076161</v>
      </c>
      <c r="L45" s="929"/>
      <c r="M45" s="929">
        <v>-3076161</v>
      </c>
      <c r="N45" s="128"/>
      <c r="O45" s="931">
        <v>-3076161</v>
      </c>
      <c r="P45" s="128"/>
    </row>
    <row r="46" spans="3:16" ht="15" thickTop="1">
      <c r="J46" s="930">
        <v>43497</v>
      </c>
      <c r="K46" s="929">
        <v>3535848</v>
      </c>
      <c r="L46" s="929">
        <v>4131807.5</v>
      </c>
      <c r="M46" s="929">
        <v>595959.5</v>
      </c>
      <c r="N46" s="128"/>
      <c r="O46" s="128"/>
      <c r="P46" s="931">
        <v>595959.5</v>
      </c>
    </row>
    <row r="47" spans="3:16">
      <c r="J47" s="128"/>
      <c r="K47" s="1446">
        <v>38434641</v>
      </c>
      <c r="L47" s="1447">
        <v>41318075</v>
      </c>
      <c r="M47" s="1447">
        <v>2883434</v>
      </c>
      <c r="N47" s="1614">
        <v>2883434</v>
      </c>
      <c r="O47" s="1614"/>
      <c r="P47" s="1614"/>
    </row>
    <row r="48" spans="3:16">
      <c r="J48" s="128"/>
      <c r="K48" s="128"/>
      <c r="L48" s="128"/>
      <c r="M48" s="128"/>
      <c r="N48" s="128"/>
      <c r="O48" s="128"/>
      <c r="P48" s="128"/>
    </row>
    <row r="49" spans="10:16">
      <c r="J49" s="128"/>
      <c r="K49" s="932" t="s">
        <v>51</v>
      </c>
      <c r="L49" s="128"/>
      <c r="M49" s="128"/>
      <c r="N49" s="128"/>
      <c r="O49" s="128"/>
      <c r="P49" s="128"/>
    </row>
    <row r="50" spans="10:16">
      <c r="J50" s="128"/>
      <c r="K50" s="128"/>
      <c r="L50" s="933" t="s">
        <v>52</v>
      </c>
      <c r="M50" s="934">
        <v>2883434</v>
      </c>
      <c r="N50" s="128"/>
      <c r="O50" s="934"/>
      <c r="P50" s="128"/>
    </row>
    <row r="51" spans="10:16">
      <c r="J51" s="128"/>
      <c r="K51" s="128"/>
      <c r="L51" s="935" t="s">
        <v>33</v>
      </c>
      <c r="M51" s="929">
        <v>234598</v>
      </c>
      <c r="N51" s="128"/>
      <c r="O51" s="934"/>
      <c r="P51" s="128"/>
    </row>
    <row r="52" spans="10:16">
      <c r="J52" s="128"/>
      <c r="K52" s="128"/>
      <c r="L52" s="935" t="s">
        <v>34</v>
      </c>
      <c r="M52" s="1448">
        <v>3118032</v>
      </c>
      <c r="N52" s="128"/>
      <c r="O52" s="128"/>
      <c r="P52" s="128"/>
    </row>
    <row r="53" spans="10:16">
      <c r="L53" s="92"/>
    </row>
    <row r="54" spans="10:16">
      <c r="K54" s="781"/>
    </row>
    <row r="55" spans="10:16">
      <c r="L55" s="92"/>
      <c r="M55" s="926"/>
    </row>
    <row r="56" spans="10:16">
      <c r="L56" s="92"/>
      <c r="M56" s="926"/>
    </row>
    <row r="57" spans="10:16">
      <c r="M57" s="926"/>
    </row>
    <row r="59" spans="10:16">
      <c r="K59" s="781"/>
    </row>
    <row r="60" spans="10:16">
      <c r="L60" s="92"/>
      <c r="M60" s="74"/>
    </row>
    <row r="61" spans="10:16">
      <c r="L61" s="92"/>
      <c r="M61" s="88"/>
    </row>
    <row r="62" spans="10:16">
      <c r="L62" s="92"/>
      <c r="M62" s="74"/>
    </row>
  </sheetData>
  <mergeCells count="4">
    <mergeCell ref="N17:N18"/>
    <mergeCell ref="N21:P21"/>
    <mergeCell ref="N42:N43"/>
    <mergeCell ref="N47:P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3:O66"/>
  <sheetViews>
    <sheetView topLeftCell="A40" zoomScale="115" zoomScaleNormal="115" workbookViewId="0">
      <selection activeCell="J70" sqref="J70"/>
    </sheetView>
  </sheetViews>
  <sheetFormatPr baseColWidth="10" defaultColWidth="9" defaultRowHeight="14"/>
  <cols>
    <col min="1" max="1" width="17.796875" customWidth="1"/>
    <col min="3" max="3" width="30.19921875" customWidth="1"/>
    <col min="4" max="4" width="30.796875" customWidth="1"/>
    <col min="6" max="6" width="18.3984375" customWidth="1"/>
    <col min="8" max="8" width="11.796875" customWidth="1"/>
    <col min="9" max="9" width="16.19921875" customWidth="1"/>
    <col min="10" max="10" width="16.59765625" customWidth="1"/>
    <col min="11" max="11" width="12.796875" customWidth="1"/>
    <col min="12" max="12" width="15.3984375" customWidth="1"/>
    <col min="13" max="13" width="14.19921875" customWidth="1"/>
    <col min="14" max="14" width="14.3984375" customWidth="1"/>
  </cols>
  <sheetData>
    <row r="3" spans="1:15">
      <c r="A3" s="533" t="s">
        <v>0</v>
      </c>
      <c r="B3" s="534"/>
      <c r="C3" s="534"/>
      <c r="D3" s="534"/>
    </row>
    <row r="4" spans="1:15">
      <c r="A4" s="534"/>
      <c r="B4" s="534"/>
      <c r="C4" s="534"/>
      <c r="D4" s="534"/>
    </row>
    <row r="5" spans="1:15">
      <c r="A5" s="534"/>
      <c r="B5" s="535" t="s">
        <v>1</v>
      </c>
      <c r="C5" s="536" t="s">
        <v>2</v>
      </c>
      <c r="D5" s="536" t="s">
        <v>3</v>
      </c>
    </row>
    <row r="6" spans="1:15">
      <c r="A6" s="534"/>
      <c r="B6" s="535"/>
      <c r="C6" s="536"/>
      <c r="D6" s="536"/>
    </row>
    <row r="7" spans="1:15">
      <c r="A7" s="537" t="s">
        <v>4</v>
      </c>
      <c r="B7" s="538" t="s">
        <v>5</v>
      </c>
      <c r="C7" s="539">
        <v>32380519</v>
      </c>
      <c r="D7" s="545">
        <v>10118384</v>
      </c>
    </row>
    <row r="8" spans="1:15">
      <c r="A8" s="537" t="s">
        <v>6</v>
      </c>
      <c r="B8" s="538" t="s">
        <v>5</v>
      </c>
      <c r="C8" s="539">
        <v>33060369</v>
      </c>
      <c r="D8" s="545">
        <v>10431491</v>
      </c>
    </row>
    <row r="9" spans="1:15">
      <c r="A9" s="537" t="s">
        <v>7</v>
      </c>
      <c r="B9" s="540" t="s">
        <v>8</v>
      </c>
      <c r="C9" s="539">
        <v>33597580</v>
      </c>
      <c r="D9" s="545">
        <v>10476723</v>
      </c>
    </row>
    <row r="10" spans="1:15">
      <c r="A10" s="537" t="s">
        <v>9</v>
      </c>
      <c r="B10" s="540" t="s">
        <v>8</v>
      </c>
      <c r="C10" s="539">
        <v>33006370</v>
      </c>
      <c r="D10" s="545" t="s">
        <v>10</v>
      </c>
    </row>
    <row r="11" spans="1:15">
      <c r="A11" s="537" t="s">
        <v>9</v>
      </c>
      <c r="B11" s="540" t="s">
        <v>8</v>
      </c>
      <c r="C11" s="539">
        <v>33593091</v>
      </c>
      <c r="D11" s="545" t="s">
        <v>11</v>
      </c>
    </row>
    <row r="12" spans="1:15">
      <c r="A12" s="537" t="s">
        <v>12</v>
      </c>
      <c r="B12" s="540" t="s">
        <v>8</v>
      </c>
      <c r="C12" s="539">
        <v>35786871.720678657</v>
      </c>
      <c r="D12" s="545">
        <v>10930598</v>
      </c>
    </row>
    <row r="13" spans="1:15">
      <c r="A13" s="537" t="s">
        <v>6</v>
      </c>
      <c r="B13" s="540" t="s">
        <v>8</v>
      </c>
      <c r="C13" s="539">
        <v>37240540.719999999</v>
      </c>
      <c r="D13" s="545">
        <v>10930598</v>
      </c>
      <c r="F13" s="19"/>
    </row>
    <row r="14" spans="1:15">
      <c r="A14" s="537" t="s">
        <v>7</v>
      </c>
      <c r="B14" s="540" t="s">
        <v>13</v>
      </c>
      <c r="C14" s="539">
        <v>36362582.810000002</v>
      </c>
      <c r="D14" s="545"/>
    </row>
    <row r="15" spans="1:15" ht="16">
      <c r="A15" s="537" t="s">
        <v>15</v>
      </c>
      <c r="B15" s="540" t="s">
        <v>13</v>
      </c>
      <c r="C15" s="539">
        <v>41371526.25999219</v>
      </c>
      <c r="D15" s="545">
        <v>52631449</v>
      </c>
      <c r="G15" s="425"/>
      <c r="H15" s="936"/>
      <c r="I15" s="425"/>
      <c r="J15" s="425"/>
      <c r="K15" s="425"/>
      <c r="L15" s="425"/>
      <c r="M15" s="425"/>
      <c r="N15" s="425"/>
      <c r="O15" s="425"/>
    </row>
    <row r="16" spans="1:15" s="72" customFormat="1">
      <c r="A16" s="537" t="s">
        <v>17</v>
      </c>
      <c r="B16" s="540" t="s">
        <v>13</v>
      </c>
      <c r="C16" s="539">
        <v>44185354</v>
      </c>
      <c r="D16" s="545" t="s">
        <v>53</v>
      </c>
      <c r="G16" s="937"/>
      <c r="H16" s="937"/>
      <c r="I16" s="937"/>
      <c r="J16" s="938"/>
      <c r="K16" s="938"/>
      <c r="L16" s="938"/>
      <c r="M16" s="939"/>
      <c r="N16" s="939"/>
      <c r="O16" s="939"/>
    </row>
    <row r="17" spans="1:15" s="72" customFormat="1">
      <c r="A17" s="537" t="s">
        <v>17</v>
      </c>
      <c r="B17" s="540" t="s">
        <v>13</v>
      </c>
      <c r="C17" s="539">
        <v>44230599</v>
      </c>
      <c r="D17" s="545" t="s">
        <v>54</v>
      </c>
      <c r="G17" s="937"/>
      <c r="H17" s="937"/>
      <c r="I17" s="937"/>
      <c r="J17" s="938"/>
      <c r="K17" s="938"/>
      <c r="L17" s="938"/>
      <c r="M17" s="939"/>
      <c r="N17" s="939"/>
      <c r="O17" s="939"/>
    </row>
    <row r="18" spans="1:15" s="72" customFormat="1">
      <c r="A18" s="537" t="s">
        <v>7</v>
      </c>
      <c r="B18" s="540" t="s">
        <v>55</v>
      </c>
      <c r="C18" s="539">
        <v>44185354</v>
      </c>
      <c r="D18" s="545" t="s">
        <v>53</v>
      </c>
      <c r="G18" s="937"/>
      <c r="H18" s="937"/>
      <c r="I18" s="937"/>
      <c r="J18" s="938"/>
      <c r="K18" s="938"/>
      <c r="L18" s="938"/>
      <c r="M18" s="939"/>
      <c r="N18" s="939"/>
      <c r="O18" s="939"/>
    </row>
    <row r="19" spans="1:15">
      <c r="A19" s="537" t="s">
        <v>9</v>
      </c>
      <c r="B19" s="540" t="s">
        <v>55</v>
      </c>
      <c r="C19" s="539">
        <v>44230599</v>
      </c>
      <c r="D19" s="545">
        <v>73702684</v>
      </c>
      <c r="F19" s="26"/>
      <c r="G19" s="425"/>
      <c r="H19" s="425"/>
      <c r="I19" s="940"/>
      <c r="J19" s="947"/>
      <c r="K19" s="947"/>
      <c r="L19" s="947"/>
      <c r="M19" s="1609"/>
      <c r="N19" s="425"/>
      <c r="O19" s="425"/>
    </row>
    <row r="20" spans="1:15">
      <c r="A20" s="537" t="s">
        <v>12</v>
      </c>
      <c r="B20" s="540" t="s">
        <v>55</v>
      </c>
      <c r="C20" s="539">
        <v>44435695</v>
      </c>
      <c r="D20" s="545">
        <v>87170005</v>
      </c>
      <c r="G20" s="425"/>
      <c r="H20" s="425"/>
      <c r="I20" s="941"/>
      <c r="J20" s="947"/>
      <c r="K20" s="947"/>
      <c r="L20" s="947"/>
      <c r="M20" s="1610"/>
      <c r="N20" s="425"/>
      <c r="O20" s="425"/>
    </row>
    <row r="21" spans="1:15">
      <c r="A21" s="537" t="s">
        <v>56</v>
      </c>
      <c r="B21" s="540" t="s">
        <v>55</v>
      </c>
      <c r="C21" s="539">
        <f ca="1">'FNSS SUMMARY'!G17</f>
        <v>50085791.219999999</v>
      </c>
      <c r="D21" s="545"/>
      <c r="G21" s="425"/>
      <c r="H21" s="425"/>
      <c r="I21" s="941"/>
      <c r="J21" s="947"/>
      <c r="K21" s="947"/>
      <c r="L21" s="947"/>
      <c r="M21" s="948"/>
      <c r="N21" s="425"/>
      <c r="O21" s="425"/>
    </row>
    <row r="22" spans="1:15">
      <c r="G22" s="425"/>
      <c r="H22" s="425"/>
      <c r="I22" s="941"/>
      <c r="J22" s="947"/>
      <c r="K22" s="947"/>
      <c r="L22" s="947"/>
      <c r="M22" s="948"/>
      <c r="N22" s="425"/>
      <c r="O22" s="425"/>
    </row>
    <row r="23" spans="1:15" ht="15.75" customHeight="1">
      <c r="A23" s="780" t="s">
        <v>25</v>
      </c>
      <c r="G23" s="425"/>
      <c r="H23" s="425"/>
      <c r="I23" s="941"/>
      <c r="J23" s="947"/>
      <c r="K23" s="947"/>
      <c r="L23" s="947"/>
      <c r="M23" s="425"/>
      <c r="N23" s="609"/>
      <c r="O23" s="425"/>
    </row>
    <row r="24" spans="1:15">
      <c r="C24" s="121" t="s">
        <v>26</v>
      </c>
      <c r="G24" s="425"/>
      <c r="H24" s="425"/>
      <c r="I24" s="941"/>
      <c r="J24" s="947"/>
      <c r="K24" s="947"/>
      <c r="L24" s="947"/>
      <c r="M24" s="425"/>
      <c r="N24" s="425"/>
      <c r="O24" s="609"/>
    </row>
    <row r="25" spans="1:15">
      <c r="C25" s="92" t="s">
        <v>57</v>
      </c>
      <c r="D25" s="19">
        <f>ROUND(C16*(5/12),0)</f>
        <v>18410564</v>
      </c>
      <c r="G25" s="425"/>
      <c r="H25" s="425"/>
      <c r="I25" s="425"/>
      <c r="J25" s="609"/>
      <c r="K25" s="947"/>
      <c r="L25" s="947"/>
      <c r="M25" s="1609"/>
      <c r="N25" s="1609"/>
      <c r="O25" s="1609"/>
    </row>
    <row r="26" spans="1:15">
      <c r="C26" s="92" t="s">
        <v>58</v>
      </c>
      <c r="D26" s="19">
        <f>ROUND(C18*(7/12),0)</f>
        <v>25774790</v>
      </c>
      <c r="G26" s="425"/>
      <c r="H26" s="425"/>
      <c r="I26" s="425"/>
      <c r="J26" s="425"/>
      <c r="K26" s="942"/>
      <c r="L26" s="942"/>
      <c r="M26" s="425"/>
      <c r="N26" s="425"/>
      <c r="O26" s="425"/>
    </row>
    <row r="27" spans="1:15">
      <c r="C27" s="92" t="s">
        <v>59</v>
      </c>
      <c r="D27" s="1158">
        <f>SUM(D25:D26)</f>
        <v>44185354</v>
      </c>
      <c r="G27" s="425"/>
      <c r="H27" s="425"/>
      <c r="I27" s="425"/>
      <c r="J27" s="943"/>
      <c r="K27" s="425"/>
      <c r="L27" s="425"/>
      <c r="M27" s="425"/>
      <c r="N27" s="425"/>
      <c r="O27" s="425"/>
    </row>
    <row r="28" spans="1:15">
      <c r="C28" s="724" t="s">
        <v>31</v>
      </c>
      <c r="D28" s="725">
        <f>ROUND(D27*0.3,0)</f>
        <v>13255606</v>
      </c>
      <c r="G28" s="425"/>
      <c r="H28" s="425"/>
      <c r="I28" s="425"/>
      <c r="J28" s="425"/>
      <c r="K28" s="944"/>
      <c r="L28" s="942"/>
      <c r="M28" s="425"/>
      <c r="N28" s="425"/>
      <c r="O28" s="425"/>
    </row>
    <row r="29" spans="1:15">
      <c r="C29" s="726">
        <v>43647</v>
      </c>
      <c r="D29" s="725">
        <f>ROUND(D27*0.5,0)</f>
        <v>22092677</v>
      </c>
      <c r="G29" s="425"/>
      <c r="H29" s="425"/>
      <c r="I29" s="425"/>
      <c r="L29" s="947"/>
      <c r="M29" s="425"/>
      <c r="N29" s="425"/>
      <c r="O29" s="425"/>
    </row>
    <row r="30" spans="1:15">
      <c r="C30" s="726">
        <v>43770</v>
      </c>
      <c r="D30" s="725">
        <f>ROUND(D27*0.1,0)</f>
        <v>4418535</v>
      </c>
      <c r="G30" s="425"/>
      <c r="H30" s="425"/>
      <c r="I30" s="425"/>
      <c r="L30" s="942"/>
      <c r="M30" s="425"/>
      <c r="N30" s="425"/>
      <c r="O30" s="425"/>
    </row>
    <row r="31" spans="1:15">
      <c r="C31" s="726">
        <v>43497</v>
      </c>
      <c r="D31" s="725">
        <f>ROUND(D27*0.1,0)</f>
        <v>4418535</v>
      </c>
      <c r="G31" s="425"/>
      <c r="H31" s="425"/>
      <c r="I31" s="425"/>
      <c r="L31" s="425"/>
      <c r="M31" s="425"/>
      <c r="N31" s="425"/>
      <c r="O31" s="425"/>
    </row>
    <row r="32" spans="1:15">
      <c r="C32" s="724"/>
      <c r="D32" s="725"/>
      <c r="G32" s="425"/>
      <c r="H32" s="425"/>
      <c r="I32" s="425"/>
      <c r="J32" s="945"/>
      <c r="K32" s="425"/>
      <c r="L32" s="425"/>
      <c r="M32" s="425"/>
      <c r="N32" s="425"/>
      <c r="O32" s="425"/>
    </row>
    <row r="33" spans="2:15">
      <c r="G33" s="425"/>
      <c r="H33" s="425"/>
      <c r="I33" s="425"/>
      <c r="J33" s="425"/>
      <c r="K33" s="940"/>
      <c r="L33" s="947"/>
      <c r="M33" s="425"/>
      <c r="N33" s="425"/>
      <c r="O33" s="425"/>
    </row>
    <row r="34" spans="2:15">
      <c r="C34" s="621" t="s">
        <v>39</v>
      </c>
      <c r="F34" s="121" t="s">
        <v>36</v>
      </c>
      <c r="G34" s="425"/>
      <c r="H34" s="425"/>
      <c r="I34" s="425"/>
      <c r="J34" s="950" t="s">
        <v>60</v>
      </c>
      <c r="K34" s="951">
        <f>D39</f>
        <v>30540</v>
      </c>
      <c r="L34" s="947"/>
      <c r="M34" s="425"/>
      <c r="N34" s="425"/>
      <c r="O34" s="425"/>
    </row>
    <row r="35" spans="2:15">
      <c r="C35" s="92" t="s">
        <v>57</v>
      </c>
      <c r="D35" s="19">
        <f>ROUND(C17*(5/12),0)</f>
        <v>18429416</v>
      </c>
      <c r="F35" s="19">
        <f>ROUND(D37*0.3,0)</f>
        <v>13269180</v>
      </c>
      <c r="G35" s="425"/>
      <c r="H35" s="425"/>
      <c r="I35" s="425"/>
      <c r="J35" s="950" t="s">
        <v>61</v>
      </c>
      <c r="K35" s="952">
        <f>ROUND((C17-C16)*(7/12),0)</f>
        <v>26393</v>
      </c>
      <c r="L35" s="609"/>
      <c r="M35" s="425"/>
      <c r="N35" s="425"/>
      <c r="O35" s="425"/>
    </row>
    <row r="36" spans="2:15" ht="15" thickBot="1">
      <c r="C36" s="92" t="s">
        <v>62</v>
      </c>
      <c r="D36" s="19">
        <f>ROUND(C19*(7/12),0)</f>
        <v>25801183</v>
      </c>
      <c r="F36" s="19">
        <f>ROUND(D37*0.5,0)</f>
        <v>22115300</v>
      </c>
      <c r="G36" s="425"/>
      <c r="H36" s="425"/>
      <c r="I36" s="425"/>
      <c r="J36" s="950" t="s">
        <v>63</v>
      </c>
      <c r="K36" s="962">
        <f>SUM(K34:K35)</f>
        <v>56933</v>
      </c>
      <c r="L36" s="425"/>
      <c r="M36" s="425"/>
      <c r="N36" s="425"/>
      <c r="O36" s="425"/>
    </row>
    <row r="37" spans="2:15" ht="15" thickTop="1">
      <c r="C37" s="92" t="s">
        <v>64</v>
      </c>
      <c r="D37" s="1158">
        <f>SUM(D35:D36)</f>
        <v>44230599</v>
      </c>
      <c r="F37" s="19">
        <f>ROUND(D37*0.1,0)</f>
        <v>4423060</v>
      </c>
      <c r="G37" s="425"/>
      <c r="H37" s="425"/>
      <c r="I37" s="727"/>
      <c r="J37" s="728"/>
      <c r="K37" s="425"/>
      <c r="L37" s="425"/>
      <c r="M37" s="425"/>
      <c r="N37" s="425"/>
      <c r="O37" s="425"/>
    </row>
    <row r="38" spans="2:15">
      <c r="C38" s="724" t="s">
        <v>44</v>
      </c>
      <c r="D38" s="725">
        <f>ROUND((D35+D36)*0.5+((D36*0.3)-(D26*0.3)),0)</f>
        <v>22123217</v>
      </c>
      <c r="F38" s="19">
        <f>ROUND(D37*0.1,0)</f>
        <v>4423060</v>
      </c>
      <c r="G38" s="425"/>
      <c r="H38" s="425"/>
      <c r="I38" s="425"/>
      <c r="J38" s="425"/>
      <c r="K38" s="940"/>
      <c r="L38" s="942"/>
      <c r="M38" s="425"/>
      <c r="N38" s="425"/>
      <c r="O38" s="425"/>
    </row>
    <row r="39" spans="2:15" ht="15" thickBot="1">
      <c r="C39" s="727" t="s">
        <v>46</v>
      </c>
      <c r="D39" s="728">
        <f>D38-D29</f>
        <v>30540</v>
      </c>
      <c r="F39" s="729">
        <f>SUM(F35:F38)</f>
        <v>44230600</v>
      </c>
      <c r="G39" s="425"/>
      <c r="H39" s="425"/>
      <c r="I39" s="425"/>
      <c r="J39" s="425"/>
      <c r="K39" s="940"/>
      <c r="L39" s="609"/>
      <c r="M39" s="425"/>
      <c r="N39" s="425"/>
      <c r="O39" s="425"/>
    </row>
    <row r="40" spans="2:15" ht="15" thickTop="1">
      <c r="G40" s="425"/>
      <c r="H40" s="425"/>
      <c r="I40" s="425"/>
      <c r="J40" s="425"/>
      <c r="K40" s="940"/>
      <c r="L40" s="942"/>
      <c r="M40" s="425"/>
      <c r="N40" s="425"/>
      <c r="O40" s="425"/>
    </row>
    <row r="44" spans="2:15">
      <c r="B44" s="121"/>
      <c r="C44" s="621" t="s">
        <v>65</v>
      </c>
      <c r="F44" s="121" t="s">
        <v>66</v>
      </c>
      <c r="H44" s="425"/>
      <c r="I44" s="974" t="s">
        <v>67</v>
      </c>
      <c r="J44" s="974" t="s">
        <v>68</v>
      </c>
      <c r="K44" s="974" t="s">
        <v>69</v>
      </c>
      <c r="L44" s="974" t="s">
        <v>70</v>
      </c>
      <c r="M44" s="974" t="s">
        <v>71</v>
      </c>
      <c r="N44" s="974" t="s">
        <v>72</v>
      </c>
      <c r="O44" s="425"/>
    </row>
    <row r="45" spans="2:15">
      <c r="C45" s="92" t="s">
        <v>57</v>
      </c>
      <c r="D45" s="19">
        <f>ROUND(C17*(5/12),0)</f>
        <v>18429416</v>
      </c>
      <c r="F45" s="19">
        <f>ROUND(D47*0.3,0)</f>
        <v>13305071</v>
      </c>
      <c r="H45" s="425" t="s">
        <v>73</v>
      </c>
      <c r="I45" s="975">
        <v>10909056</v>
      </c>
      <c r="J45" s="976">
        <v>18181760</v>
      </c>
      <c r="K45" s="976">
        <f>K34</f>
        <v>30540</v>
      </c>
      <c r="L45" s="976">
        <v>7418120</v>
      </c>
      <c r="M45" s="977">
        <v>7418119</v>
      </c>
      <c r="N45" s="977">
        <f>SUM(I45:M45)</f>
        <v>43957595</v>
      </c>
      <c r="O45" s="939"/>
    </row>
    <row r="46" spans="2:15">
      <c r="C46" s="92" t="s">
        <v>74</v>
      </c>
      <c r="D46" s="397">
        <f>ROUND(C20*(7/12),0)</f>
        <v>25920822</v>
      </c>
      <c r="F46" s="19">
        <f>ROUND(D47*0.5,0)</f>
        <v>22175119</v>
      </c>
      <c r="H46" s="425" t="s">
        <v>75</v>
      </c>
      <c r="I46" s="975">
        <f>F45</f>
        <v>13305071</v>
      </c>
      <c r="J46" s="975">
        <f>F46</f>
        <v>22175119</v>
      </c>
      <c r="K46" s="975"/>
      <c r="L46" s="975">
        <f>F47</f>
        <v>4435024</v>
      </c>
      <c r="M46" s="975">
        <f>F48</f>
        <v>4435024</v>
      </c>
      <c r="N46" s="975">
        <f>SUM(I46:M46)</f>
        <v>44350238</v>
      </c>
      <c r="O46" s="425"/>
    </row>
    <row r="47" spans="2:15">
      <c r="C47" s="92" t="s">
        <v>64</v>
      </c>
      <c r="D47" s="19">
        <f>SUM(D45:D46)</f>
        <v>44350238</v>
      </c>
      <c r="F47" s="19">
        <f>ROUND(D47*0.1,0)</f>
        <v>4435024</v>
      </c>
      <c r="H47" s="425" t="s">
        <v>37</v>
      </c>
      <c r="I47" s="975">
        <f t="shared" ref="I47:N47" si="0">I46-I45</f>
        <v>2396015</v>
      </c>
      <c r="J47" s="975">
        <f t="shared" si="0"/>
        <v>3993359</v>
      </c>
      <c r="K47" s="975">
        <f t="shared" si="0"/>
        <v>-30540</v>
      </c>
      <c r="L47" s="975">
        <f t="shared" si="0"/>
        <v>-2983096</v>
      </c>
      <c r="M47" s="975">
        <f t="shared" si="0"/>
        <v>-2983095</v>
      </c>
      <c r="N47" s="975">
        <f t="shared" si="0"/>
        <v>392643</v>
      </c>
      <c r="O47" s="425"/>
    </row>
    <row r="48" spans="2:15">
      <c r="C48" s="724" t="s">
        <v>76</v>
      </c>
      <c r="D48" s="19">
        <f>((D45+D46)*0.1)+((D46*0.8)-(D36*0.8))</f>
        <v>4530734.9999999991</v>
      </c>
      <c r="F48" s="19">
        <f>ROUND(D47*0.1,0)</f>
        <v>4435024</v>
      </c>
      <c r="H48" s="425"/>
      <c r="I48" s="941"/>
      <c r="J48" s="949"/>
      <c r="K48" s="949"/>
      <c r="L48" s="949"/>
      <c r="M48" s="425"/>
      <c r="N48" s="609"/>
      <c r="O48" s="425"/>
    </row>
    <row r="49" spans="2:15" ht="15" thickBot="1">
      <c r="C49" s="727" t="s">
        <v>46</v>
      </c>
      <c r="F49" s="729">
        <f>SUM(F45:F48)</f>
        <v>44350238</v>
      </c>
      <c r="H49" s="425"/>
      <c r="I49" s="941"/>
      <c r="J49" s="949"/>
      <c r="K49" s="949"/>
      <c r="L49" s="949"/>
      <c r="M49" s="425"/>
      <c r="N49" s="609"/>
      <c r="O49" s="425"/>
    </row>
    <row r="50" spans="2:15" ht="51.75" customHeight="1" thickTop="1">
      <c r="H50" s="1615" t="s">
        <v>77</v>
      </c>
      <c r="I50" s="1615"/>
      <c r="J50" s="1615"/>
      <c r="K50" s="1615"/>
      <c r="L50" s="1615"/>
      <c r="M50" s="1615"/>
      <c r="N50" s="1615"/>
      <c r="O50" s="609"/>
    </row>
    <row r="51" spans="2:15">
      <c r="H51" s="425"/>
      <c r="I51" s="425"/>
      <c r="J51" s="978" t="s">
        <v>78</v>
      </c>
      <c r="K51" s="979">
        <f>N47</f>
        <v>392643</v>
      </c>
      <c r="L51" s="949"/>
      <c r="M51" s="1609"/>
      <c r="N51" s="1609"/>
      <c r="O51" s="1609"/>
    </row>
    <row r="52" spans="2:15">
      <c r="B52" s="121"/>
      <c r="C52" s="621" t="s">
        <v>79</v>
      </c>
      <c r="F52" s="121" t="s">
        <v>80</v>
      </c>
      <c r="H52" s="164"/>
      <c r="I52" s="164"/>
      <c r="J52" s="164"/>
      <c r="K52" s="425"/>
      <c r="L52" s="425"/>
      <c r="M52" s="425"/>
      <c r="N52" s="425"/>
      <c r="O52" s="425"/>
    </row>
    <row r="53" spans="2:15">
      <c r="C53" s="92" t="s">
        <v>57</v>
      </c>
      <c r="D53" s="19">
        <f>D45</f>
        <v>18429416</v>
      </c>
      <c r="F53" s="981">
        <f ca="1">ROUND(D55*0.3,0)</f>
        <v>14293838</v>
      </c>
      <c r="H53" s="164"/>
      <c r="I53" s="980" t="s">
        <v>67</v>
      </c>
      <c r="J53" s="980" t="s">
        <v>68</v>
      </c>
      <c r="K53" s="980" t="s">
        <v>69</v>
      </c>
      <c r="L53" s="980" t="s">
        <v>70</v>
      </c>
      <c r="M53" s="980" t="s">
        <v>71</v>
      </c>
      <c r="N53" s="980" t="s">
        <v>72</v>
      </c>
      <c r="O53" s="425"/>
    </row>
    <row r="54" spans="2:15">
      <c r="C54" s="92" t="s">
        <v>81</v>
      </c>
      <c r="D54" s="397">
        <f ca="1">C21*(7/12)</f>
        <v>29216711.545000002</v>
      </c>
      <c r="F54" s="981">
        <f ca="1">ROUND(D55*0.5,0)</f>
        <v>23823064</v>
      </c>
      <c r="H54" s="164" t="s">
        <v>73</v>
      </c>
      <c r="I54" s="956">
        <v>10909056</v>
      </c>
      <c r="J54" s="957">
        <v>18181760</v>
      </c>
      <c r="K54" s="957">
        <f>K45</f>
        <v>30540</v>
      </c>
      <c r="L54" s="957">
        <v>7418120</v>
      </c>
      <c r="M54" s="958">
        <f>7418119+K51</f>
        <v>7810762</v>
      </c>
      <c r="N54" s="958">
        <f>SUM(I54:M54)</f>
        <v>44350238</v>
      </c>
      <c r="O54" s="425"/>
    </row>
    <row r="55" spans="2:15">
      <c r="C55" s="92" t="s">
        <v>82</v>
      </c>
      <c r="D55" s="19">
        <f ca="1">D54+D53</f>
        <v>47646127.545000002</v>
      </c>
      <c r="F55" s="981">
        <f ca="1">ROUND(D55*0.1,0)</f>
        <v>4764613</v>
      </c>
      <c r="H55" t="s">
        <v>83</v>
      </c>
      <c r="I55" s="956">
        <f ca="1">F53</f>
        <v>14293838</v>
      </c>
      <c r="J55" s="956">
        <f ca="1">F54</f>
        <v>23823064</v>
      </c>
      <c r="K55" s="956"/>
      <c r="L55" s="956">
        <f ca="1">F55</f>
        <v>4764613</v>
      </c>
      <c r="M55" s="956">
        <f ca="1">F56</f>
        <v>4764613</v>
      </c>
      <c r="N55" s="956">
        <f ca="1">SUM(I55:M55)</f>
        <v>47646128</v>
      </c>
      <c r="O55" s="164"/>
    </row>
    <row r="56" spans="2:15">
      <c r="C56" s="724" t="s">
        <v>84</v>
      </c>
      <c r="F56" s="981">
        <f ca="1">ROUND(D55*0.1,0)</f>
        <v>4764613</v>
      </c>
      <c r="H56" t="s">
        <v>37</v>
      </c>
      <c r="I56" s="956">
        <f t="shared" ref="I56:N56" ca="1" si="1">I55-I54</f>
        <v>3384782</v>
      </c>
      <c r="J56" s="956">
        <f t="shared" ca="1" si="1"/>
        <v>5641304</v>
      </c>
      <c r="K56" s="956">
        <f t="shared" si="1"/>
        <v>-30540</v>
      </c>
      <c r="L56" s="956">
        <f t="shared" ca="1" si="1"/>
        <v>-2653507</v>
      </c>
      <c r="M56" s="956">
        <f t="shared" ca="1" si="1"/>
        <v>-3046149</v>
      </c>
      <c r="N56" s="956">
        <f t="shared" ca="1" si="1"/>
        <v>3295890</v>
      </c>
      <c r="O56" s="164"/>
    </row>
    <row r="57" spans="2:15" ht="15" thickBot="1">
      <c r="C57" s="727" t="s">
        <v>46</v>
      </c>
      <c r="F57" s="982">
        <f ca="1">SUM(F53:F56)</f>
        <v>47646128</v>
      </c>
      <c r="I57" s="425"/>
      <c r="J57" s="425"/>
      <c r="K57" s="940"/>
      <c r="L57" s="425"/>
      <c r="M57" s="425"/>
      <c r="N57" s="425"/>
      <c r="O57" s="425"/>
    </row>
    <row r="58" spans="2:15" ht="15" thickTop="1">
      <c r="J58" s="781"/>
    </row>
    <row r="59" spans="2:15">
      <c r="I59" s="383"/>
      <c r="J59" s="987" t="s">
        <v>85</v>
      </c>
      <c r="K59" s="988">
        <f ca="1">N56</f>
        <v>3295890</v>
      </c>
      <c r="L59" s="926"/>
    </row>
    <row r="60" spans="2:15">
      <c r="K60" s="92"/>
      <c r="L60" s="926"/>
    </row>
    <row r="61" spans="2:15">
      <c r="I61" t="s">
        <v>86</v>
      </c>
      <c r="L61" s="926"/>
    </row>
    <row r="63" spans="2:15">
      <c r="J63" s="781"/>
    </row>
    <row r="64" spans="2:15">
      <c r="K64" s="92"/>
      <c r="L64" s="74"/>
    </row>
    <row r="65" spans="11:12">
      <c r="K65" s="92"/>
      <c r="L65" s="88"/>
    </row>
    <row r="66" spans="11:12">
      <c r="K66" s="92"/>
      <c r="L66" s="74"/>
    </row>
  </sheetData>
  <mergeCells count="4">
    <mergeCell ref="M19:M20"/>
    <mergeCell ref="M25:O25"/>
    <mergeCell ref="M51:O51"/>
    <mergeCell ref="H50:N50"/>
  </mergeCells>
  <pageMargins left="0.7" right="0.7" top="0.75" bottom="0.75" header="0.3" footer="0.3"/>
  <pageSetup orientation="portrait" r:id="rId1"/>
  <headerFooter>
    <oddFooter>&amp;LGCDOCS # 73702684_x000D_
GCDOCS # 87170005_x000D_
GCDOCS # 91286556</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2:Z156"/>
  <sheetViews>
    <sheetView topLeftCell="J109" zoomScale="70" zoomScaleNormal="70" workbookViewId="0">
      <selection activeCell="R113" sqref="R113"/>
    </sheetView>
  </sheetViews>
  <sheetFormatPr baseColWidth="10" defaultColWidth="9.19921875" defaultRowHeight="14"/>
  <cols>
    <col min="1" max="1" width="68" customWidth="1"/>
    <col min="2" max="2" width="20.19921875" customWidth="1"/>
    <col min="3" max="3" width="23.19921875" customWidth="1"/>
    <col min="4" max="4" width="56.796875" customWidth="1"/>
    <col min="5" max="5" width="52" customWidth="1"/>
    <col min="6" max="6" width="38.796875" customWidth="1"/>
    <col min="7" max="8" width="17.796875" customWidth="1"/>
    <col min="9" max="9" width="66" customWidth="1"/>
    <col min="10" max="11" width="17.796875" customWidth="1"/>
    <col min="12" max="12" width="33.796875" customWidth="1"/>
    <col min="13" max="13" width="62.796875" customWidth="1"/>
    <col min="14" max="16" width="17.796875" customWidth="1"/>
    <col min="17" max="17" width="64.3984375" customWidth="1"/>
    <col min="18" max="20" width="17.796875" customWidth="1"/>
    <col min="21" max="21" width="22.19921875" customWidth="1"/>
  </cols>
  <sheetData>
    <row r="2" spans="1:26" ht="19">
      <c r="A2" s="33" t="s">
        <v>87</v>
      </c>
    </row>
    <row r="3" spans="1:26" ht="19">
      <c r="A3" s="418" t="s">
        <v>88</v>
      </c>
      <c r="D3" s="1159" t="s">
        <v>89</v>
      </c>
      <c r="E3" s="1160"/>
      <c r="I3" s="1623" t="s">
        <v>90</v>
      </c>
      <c r="J3" s="1623"/>
      <c r="K3" s="1623"/>
      <c r="L3" s="1623"/>
      <c r="M3" s="1623"/>
      <c r="N3" s="1623"/>
      <c r="O3" s="1623"/>
      <c r="P3" s="1623"/>
      <c r="Q3" s="1623"/>
      <c r="R3" s="1623"/>
      <c r="S3" s="1623"/>
      <c r="T3" s="1623"/>
      <c r="U3" s="1623"/>
      <c r="V3" s="1623"/>
      <c r="W3" s="1623"/>
      <c r="X3" s="509"/>
    </row>
    <row r="4" spans="1:26">
      <c r="D4" s="389" t="s">
        <v>91</v>
      </c>
      <c r="E4" t="s">
        <v>92</v>
      </c>
      <c r="I4" s="517" t="s">
        <v>93</v>
      </c>
      <c r="J4" s="518">
        <v>43207</v>
      </c>
      <c r="K4" s="519">
        <v>43237</v>
      </c>
      <c r="L4" s="519">
        <v>43268</v>
      </c>
      <c r="M4" s="519">
        <v>43298</v>
      </c>
      <c r="N4" s="519"/>
      <c r="O4" s="1624">
        <v>43329</v>
      </c>
      <c r="P4" s="1624"/>
      <c r="Q4" s="519">
        <v>43360</v>
      </c>
      <c r="R4" s="519">
        <v>43390</v>
      </c>
      <c r="S4" s="519">
        <v>43421</v>
      </c>
      <c r="T4" s="519">
        <v>43451</v>
      </c>
      <c r="U4" s="518">
        <v>43118</v>
      </c>
      <c r="V4" s="519">
        <v>43149</v>
      </c>
      <c r="W4" s="519">
        <v>43177</v>
      </c>
      <c r="X4" s="519" t="s">
        <v>94</v>
      </c>
      <c r="Y4" s="520" t="s">
        <v>95</v>
      </c>
      <c r="Z4" s="520" t="s">
        <v>96</v>
      </c>
    </row>
    <row r="5" spans="1:26" ht="16">
      <c r="A5" s="1449" t="s">
        <v>97</v>
      </c>
      <c r="B5" s="1450"/>
      <c r="D5" s="389" t="s">
        <v>98</v>
      </c>
      <c r="E5" t="s">
        <v>99</v>
      </c>
      <c r="I5" s="521" t="s">
        <v>100</v>
      </c>
      <c r="J5" s="1625" t="s">
        <v>101</v>
      </c>
      <c r="K5" s="1625"/>
      <c r="L5" s="1625"/>
      <c r="M5" s="1625"/>
      <c r="N5" s="1625"/>
      <c r="O5" s="1625"/>
      <c r="P5" s="1625"/>
      <c r="Q5" s="522"/>
      <c r="R5" s="522"/>
      <c r="S5" s="522"/>
      <c r="T5" s="522"/>
      <c r="U5" s="522"/>
      <c r="V5" s="522"/>
      <c r="W5" s="523"/>
      <c r="X5" s="514"/>
      <c r="Y5" s="511"/>
      <c r="Z5" s="511"/>
    </row>
    <row r="6" spans="1:26" ht="15">
      <c r="A6" s="1161" t="s">
        <v>102</v>
      </c>
      <c r="B6" s="1162">
        <f>ROUND(32605219*(2/12),0)</f>
        <v>5434203</v>
      </c>
      <c r="D6" s="389" t="s">
        <v>103</v>
      </c>
      <c r="E6" t="s">
        <v>104</v>
      </c>
      <c r="I6" s="1626" t="s">
        <v>105</v>
      </c>
      <c r="J6" s="1627"/>
      <c r="K6" s="1627"/>
      <c r="L6" s="1627"/>
      <c r="M6" s="1628" t="s">
        <v>106</v>
      </c>
      <c r="N6" s="1628"/>
      <c r="O6" s="1628"/>
      <c r="P6" s="1628"/>
      <c r="Q6" s="1628"/>
      <c r="R6" s="1628"/>
      <c r="S6" s="1628"/>
      <c r="T6" s="1628"/>
      <c r="U6" s="1628"/>
      <c r="V6" s="1628"/>
      <c r="W6" s="1628"/>
      <c r="X6" s="512"/>
      <c r="Y6" s="513">
        <v>5434203</v>
      </c>
      <c r="Z6" s="511"/>
    </row>
    <row r="7" spans="1:26" ht="15">
      <c r="A7" s="1161" t="s">
        <v>107</v>
      </c>
      <c r="B7" s="1162">
        <v>18741310</v>
      </c>
      <c r="D7" s="389" t="s">
        <v>108</v>
      </c>
      <c r="E7" t="s">
        <v>109</v>
      </c>
      <c r="I7" s="1626"/>
      <c r="J7" s="1627"/>
      <c r="K7" s="1627"/>
      <c r="L7" s="1627"/>
      <c r="M7" s="1628" t="s">
        <v>110</v>
      </c>
      <c r="N7" s="1628"/>
      <c r="O7" s="1628"/>
      <c r="P7" s="1628"/>
      <c r="Q7" s="1628"/>
      <c r="R7" s="1628"/>
      <c r="S7" s="1628"/>
      <c r="T7" s="1628"/>
      <c r="U7" s="1628"/>
      <c r="V7" s="1628"/>
      <c r="W7" s="1628"/>
      <c r="X7" s="524"/>
      <c r="Y7" s="513"/>
      <c r="Z7" s="511"/>
    </row>
    <row r="8" spans="1:26" ht="15">
      <c r="A8" s="417" t="s">
        <v>111</v>
      </c>
      <c r="B8" s="106">
        <f>SUM(B6:B7)</f>
        <v>24175513</v>
      </c>
      <c r="I8" s="1626"/>
      <c r="J8" s="1627"/>
      <c r="K8" s="1627"/>
      <c r="L8" s="1627"/>
      <c r="M8" s="1628" t="s">
        <v>112</v>
      </c>
      <c r="N8" s="1628"/>
      <c r="O8" s="1628"/>
      <c r="P8" s="1628"/>
      <c r="Q8" s="1628"/>
      <c r="R8" s="1628"/>
      <c r="S8" s="1628"/>
      <c r="T8" s="1628"/>
      <c r="U8" s="1628"/>
      <c r="V8" s="1628"/>
      <c r="W8" s="1628"/>
      <c r="X8" s="512"/>
      <c r="Y8" s="513">
        <v>18741310</v>
      </c>
      <c r="Z8" s="511"/>
    </row>
    <row r="9" spans="1:26" ht="45">
      <c r="A9" s="1163" t="s">
        <v>113</v>
      </c>
      <c r="B9" s="1164">
        <f>B8*0.8</f>
        <v>19340410.400000002</v>
      </c>
      <c r="D9" s="418" t="s">
        <v>114</v>
      </c>
      <c r="I9" s="1619" t="s">
        <v>115</v>
      </c>
      <c r="J9" s="522"/>
      <c r="K9" s="522"/>
      <c r="L9" s="522"/>
      <c r="M9" s="1620" t="s">
        <v>116</v>
      </c>
      <c r="N9" s="1620"/>
      <c r="O9" s="1620"/>
      <c r="P9" s="523"/>
      <c r="Q9" s="523"/>
      <c r="R9" s="523"/>
      <c r="S9" s="525" t="s">
        <v>117</v>
      </c>
      <c r="T9" s="523"/>
      <c r="U9" s="523"/>
      <c r="V9" s="525" t="s">
        <v>118</v>
      </c>
      <c r="W9" s="523"/>
      <c r="X9" s="514"/>
      <c r="Y9" s="513"/>
      <c r="Z9" s="511"/>
    </row>
    <row r="10" spans="1:26" ht="15">
      <c r="A10" s="388"/>
      <c r="B10" s="105"/>
      <c r="I10" s="1619"/>
      <c r="J10" s="526"/>
      <c r="K10" s="526"/>
      <c r="L10" s="526"/>
      <c r="M10" s="527">
        <v>19340410.400000002</v>
      </c>
      <c r="N10" s="526"/>
      <c r="O10" s="526"/>
      <c r="P10" s="526"/>
      <c r="Q10" s="526"/>
      <c r="R10" s="526"/>
      <c r="S10" s="527">
        <v>2417551.3000000003</v>
      </c>
      <c r="T10" s="526"/>
      <c r="U10" s="526"/>
      <c r="V10" s="527">
        <v>2417551.3000000003</v>
      </c>
      <c r="W10" s="526"/>
      <c r="X10" s="511"/>
      <c r="Y10" s="528">
        <v>24175513</v>
      </c>
      <c r="Z10" s="511"/>
    </row>
    <row r="11" spans="1:26" ht="15.75" customHeight="1">
      <c r="A11" s="384"/>
      <c r="B11" s="105"/>
      <c r="D11" s="1449" t="s">
        <v>119</v>
      </c>
      <c r="E11" s="1450"/>
      <c r="I11" s="529" t="s">
        <v>120</v>
      </c>
      <c r="J11" s="526"/>
      <c r="K11" s="526"/>
      <c r="L11" s="526"/>
      <c r="M11" s="526"/>
      <c r="N11" s="526"/>
      <c r="O11" s="526"/>
      <c r="P11" s="526"/>
      <c r="Q11" s="526"/>
      <c r="R11" s="526"/>
      <c r="S11" s="526"/>
      <c r="T11" s="526"/>
      <c r="U11" s="526"/>
      <c r="V11" s="526"/>
      <c r="W11" s="526"/>
      <c r="X11" s="511"/>
      <c r="Y11" s="511"/>
      <c r="Z11" s="511"/>
    </row>
    <row r="12" spans="1:26" ht="15">
      <c r="D12" s="1161" t="s">
        <v>121</v>
      </c>
      <c r="E12" s="1162">
        <f>C101*(5/12)</f>
        <v>14911196.550282774</v>
      </c>
      <c r="I12" s="526" t="s">
        <v>122</v>
      </c>
      <c r="J12" s="526"/>
      <c r="K12" s="526"/>
      <c r="L12" s="526"/>
      <c r="M12" s="526"/>
      <c r="N12" s="526"/>
      <c r="O12" s="526"/>
      <c r="P12" s="526"/>
      <c r="Q12" s="526"/>
      <c r="R12" s="526"/>
      <c r="S12" s="527">
        <v>129968.1</v>
      </c>
      <c r="T12" s="526"/>
      <c r="U12" s="526"/>
      <c r="V12" s="526"/>
      <c r="W12" s="526"/>
      <c r="X12" s="511"/>
      <c r="Y12" s="513">
        <v>24319922</v>
      </c>
      <c r="Z12" s="511"/>
    </row>
    <row r="13" spans="1:26" ht="16">
      <c r="A13" s="1449" t="s">
        <v>123</v>
      </c>
      <c r="B13" s="1450"/>
      <c r="D13" s="1161" t="s">
        <v>124</v>
      </c>
      <c r="E13" s="1162">
        <f>C102*(7/12)</f>
        <v>21211506.639166668</v>
      </c>
      <c r="I13" s="526" t="s">
        <v>125</v>
      </c>
      <c r="J13" s="526"/>
      <c r="K13" s="526"/>
      <c r="L13" s="526"/>
      <c r="M13" s="526"/>
      <c r="N13" s="526"/>
      <c r="O13" s="526"/>
      <c r="P13" s="526"/>
      <c r="Q13" s="526"/>
      <c r="R13" s="526"/>
      <c r="S13" s="526"/>
      <c r="T13" s="526"/>
      <c r="U13" s="526"/>
      <c r="V13" s="530">
        <v>147325</v>
      </c>
      <c r="W13" s="526"/>
      <c r="X13" s="511"/>
      <c r="Y13" s="513">
        <v>24322839</v>
      </c>
      <c r="Z13" s="511"/>
    </row>
    <row r="14" spans="1:26" ht="15">
      <c r="A14" s="1161"/>
      <c r="D14" s="417" t="s">
        <v>126</v>
      </c>
      <c r="E14" s="106">
        <f>SUM(E12:E13)</f>
        <v>36122703.189449444</v>
      </c>
      <c r="I14" s="526" t="s">
        <v>127</v>
      </c>
      <c r="J14" s="526"/>
      <c r="K14" s="526"/>
      <c r="L14" s="526"/>
      <c r="M14" s="526"/>
      <c r="N14" s="526"/>
      <c r="O14" s="526"/>
      <c r="P14" s="526"/>
      <c r="Q14" s="526"/>
      <c r="R14" s="526"/>
      <c r="S14" s="526"/>
      <c r="T14" s="526"/>
      <c r="U14" s="526"/>
      <c r="V14" s="526"/>
      <c r="W14" s="526"/>
      <c r="X14" s="511"/>
      <c r="Y14" s="531">
        <v>24452806.100000005</v>
      </c>
      <c r="Z14" s="511"/>
    </row>
    <row r="15" spans="1:26" ht="15">
      <c r="A15" s="1165" t="s">
        <v>128</v>
      </c>
      <c r="B15" s="1166">
        <f>B8*0.1</f>
        <v>2417551.3000000003</v>
      </c>
      <c r="D15" s="1163" t="s">
        <v>129</v>
      </c>
      <c r="E15" s="1164">
        <f>E14*0.3</f>
        <v>10836810.956834832</v>
      </c>
      <c r="I15" s="526"/>
      <c r="J15" s="526"/>
      <c r="K15" s="526"/>
      <c r="L15" s="526"/>
      <c r="M15" s="526"/>
      <c r="N15" s="526"/>
      <c r="O15" s="526"/>
      <c r="P15" s="526"/>
      <c r="Q15" s="526"/>
      <c r="R15" s="526"/>
      <c r="S15" s="526"/>
      <c r="T15" s="526"/>
      <c r="U15" s="526"/>
      <c r="V15" s="526"/>
      <c r="W15" s="526"/>
      <c r="X15" s="511"/>
      <c r="Y15" s="511"/>
      <c r="Z15" s="511"/>
    </row>
    <row r="16" spans="1:26" ht="15">
      <c r="A16" s="1161"/>
      <c r="B16" s="1162"/>
      <c r="I16" s="526" t="s">
        <v>130</v>
      </c>
      <c r="J16" s="526"/>
      <c r="K16" s="526"/>
      <c r="L16" s="526"/>
      <c r="M16" s="526"/>
      <c r="N16" s="526"/>
      <c r="O16" s="526"/>
      <c r="P16" s="526"/>
      <c r="Q16" s="526"/>
      <c r="R16" s="526"/>
      <c r="S16" s="526"/>
      <c r="T16" s="526"/>
      <c r="U16" s="526"/>
      <c r="V16" s="526"/>
      <c r="W16" s="526"/>
      <c r="X16" s="532">
        <v>235112.73333332688</v>
      </c>
      <c r="Y16" s="513">
        <v>24687918.833333332</v>
      </c>
      <c r="Z16" s="511" t="s">
        <v>131</v>
      </c>
    </row>
    <row r="17" spans="1:26" ht="15">
      <c r="A17" s="2" t="s">
        <v>132</v>
      </c>
      <c r="B17" s="89">
        <v>24319922</v>
      </c>
      <c r="D17" s="2" t="s">
        <v>133</v>
      </c>
      <c r="E17" s="105">
        <f ca="1">$C$103</f>
        <v>50085791.219999999</v>
      </c>
      <c r="I17" s="526" t="s">
        <v>134</v>
      </c>
      <c r="J17" s="526"/>
      <c r="K17" s="526"/>
      <c r="L17" s="526"/>
      <c r="M17" s="526"/>
      <c r="N17" s="526"/>
      <c r="O17" s="526"/>
      <c r="P17" s="526"/>
      <c r="Q17" s="526"/>
      <c r="R17" s="526"/>
      <c r="S17" s="526"/>
      <c r="T17" s="526"/>
      <c r="U17" s="526"/>
      <c r="V17" s="526"/>
      <c r="W17" s="526"/>
      <c r="X17" s="532">
        <v>31499.416666667908</v>
      </c>
      <c r="Y17" s="513">
        <v>24719418.25</v>
      </c>
      <c r="Z17" s="511" t="s">
        <v>135</v>
      </c>
    </row>
    <row r="18" spans="1:26" ht="16" thickBot="1">
      <c r="A18" s="1167" t="s">
        <v>136</v>
      </c>
      <c r="B18" s="1168">
        <f>(B17*0.8)-B9+(B17*0.1)</f>
        <v>2547519.3999999994</v>
      </c>
      <c r="D18" s="1167" t="s">
        <v>137</v>
      </c>
      <c r="E18" s="1168">
        <f ca="1">E17*0.3</f>
        <v>15025737.365999999</v>
      </c>
      <c r="I18" s="526"/>
      <c r="J18" s="526"/>
      <c r="K18" s="526"/>
      <c r="L18" s="526"/>
      <c r="M18" s="526"/>
      <c r="N18" s="526"/>
      <c r="O18" s="526"/>
      <c r="P18" s="526"/>
      <c r="Q18" s="526"/>
      <c r="R18" s="526"/>
      <c r="S18" s="526"/>
      <c r="T18" s="526"/>
      <c r="U18" s="526"/>
      <c r="V18" s="526"/>
      <c r="W18" s="526"/>
      <c r="X18" s="511"/>
      <c r="Y18" s="511"/>
      <c r="Z18" s="511"/>
    </row>
    <row r="19" spans="1:26" ht="16" thickTop="1">
      <c r="A19" s="419" t="s">
        <v>138</v>
      </c>
      <c r="B19" s="420">
        <f>B18-B15</f>
        <v>129968.09999999916</v>
      </c>
      <c r="D19" s="419" t="s">
        <v>138</v>
      </c>
      <c r="E19" s="420">
        <f ca="1">E18-E15</f>
        <v>4188926.4091651663</v>
      </c>
      <c r="I19" s="529" t="s">
        <v>139</v>
      </c>
      <c r="J19" s="526"/>
      <c r="K19" s="526"/>
      <c r="L19" s="526"/>
      <c r="M19" s="526"/>
      <c r="N19" s="526"/>
      <c r="O19" s="526"/>
      <c r="P19" s="526"/>
      <c r="Q19" s="526"/>
      <c r="R19" s="526"/>
      <c r="S19" s="526"/>
      <c r="T19" s="526"/>
      <c r="U19" s="526"/>
      <c r="V19" s="526"/>
      <c r="W19" s="526"/>
      <c r="X19" s="511"/>
      <c r="Y19" s="531">
        <v>24719418.25</v>
      </c>
      <c r="Z19" s="511"/>
    </row>
    <row r="20" spans="1:26">
      <c r="I20" s="72"/>
      <c r="J20" s="72"/>
      <c r="K20" s="72"/>
      <c r="L20" s="72"/>
      <c r="M20" s="72"/>
      <c r="N20" s="72"/>
      <c r="O20" s="72"/>
      <c r="P20" s="72"/>
      <c r="Q20" s="72"/>
      <c r="R20" s="72"/>
      <c r="S20" s="72"/>
      <c r="T20" s="72"/>
      <c r="U20" s="72"/>
      <c r="V20" s="72"/>
      <c r="W20" s="72"/>
    </row>
    <row r="21" spans="1:26">
      <c r="E21" s="74"/>
      <c r="I21" s="72"/>
      <c r="J21" s="72"/>
      <c r="K21" s="72"/>
      <c r="L21" s="72"/>
      <c r="M21" s="72"/>
      <c r="N21" s="72"/>
      <c r="O21" s="72"/>
      <c r="P21" s="72"/>
      <c r="Q21" s="72"/>
      <c r="R21" s="72"/>
      <c r="S21" s="72"/>
      <c r="T21" s="72"/>
      <c r="U21" s="72"/>
      <c r="V21" s="72"/>
      <c r="W21" s="72"/>
    </row>
    <row r="22" spans="1:26" ht="16">
      <c r="A22" s="386"/>
      <c r="B22" s="387"/>
      <c r="D22" s="1449" t="s">
        <v>140</v>
      </c>
      <c r="E22" s="1450"/>
      <c r="I22" s="1621" t="s">
        <v>141</v>
      </c>
      <c r="J22" s="1621"/>
      <c r="K22" s="1621"/>
      <c r="L22" s="1621"/>
      <c r="M22" s="1621"/>
      <c r="N22" s="1621"/>
      <c r="O22" s="1621"/>
      <c r="P22" s="1621"/>
      <c r="Q22" s="1621"/>
      <c r="R22" s="1621"/>
      <c r="S22" s="1621"/>
      <c r="T22" s="1621"/>
      <c r="U22" s="1621"/>
      <c r="V22" s="1621"/>
      <c r="W22" s="1621"/>
      <c r="X22" s="509"/>
    </row>
    <row r="23" spans="1:26" ht="15">
      <c r="B23" s="416"/>
      <c r="D23" s="1161"/>
      <c r="I23" s="1169" t="s">
        <v>93</v>
      </c>
      <c r="J23" s="1170">
        <v>43208</v>
      </c>
      <c r="K23" s="1170">
        <v>43238</v>
      </c>
      <c r="L23" s="1170">
        <v>43269</v>
      </c>
      <c r="M23" s="1170">
        <v>43299</v>
      </c>
      <c r="N23" s="1622">
        <v>43330</v>
      </c>
      <c r="O23" s="1622"/>
      <c r="P23" s="1170">
        <v>43361</v>
      </c>
      <c r="Q23" s="1170">
        <v>43391</v>
      </c>
      <c r="R23" s="1170">
        <v>43422</v>
      </c>
      <c r="S23" s="1170">
        <v>43452</v>
      </c>
      <c r="T23" s="1622">
        <v>43119</v>
      </c>
      <c r="U23" s="1622"/>
      <c r="V23" s="1170">
        <v>43150</v>
      </c>
      <c r="W23" s="1171">
        <v>43178</v>
      </c>
      <c r="X23" s="510"/>
      <c r="Y23" s="520" t="s">
        <v>95</v>
      </c>
      <c r="Z23" s="520" t="s">
        <v>96</v>
      </c>
    </row>
    <row r="24" spans="1:26" ht="16">
      <c r="A24" s="1449" t="s">
        <v>142</v>
      </c>
      <c r="B24" s="1450"/>
      <c r="D24" s="1165" t="s">
        <v>143</v>
      </c>
      <c r="E24" s="1166">
        <f>E14*0.5</f>
        <v>18061351.594724722</v>
      </c>
      <c r="I24" s="1629" t="s">
        <v>105</v>
      </c>
      <c r="J24" s="1630" t="s">
        <v>144</v>
      </c>
      <c r="K24" s="1630"/>
      <c r="L24" s="1630"/>
      <c r="M24" s="1630"/>
      <c r="N24" s="1630"/>
      <c r="O24" s="1630"/>
      <c r="P24" s="1630"/>
      <c r="Q24" s="1630"/>
      <c r="R24" s="1630"/>
      <c r="S24" s="1630"/>
      <c r="T24" s="1630"/>
      <c r="U24" s="1630"/>
      <c r="V24" s="1630"/>
      <c r="W24" s="1631"/>
      <c r="X24" s="512"/>
      <c r="Y24" s="1162">
        <f>$C$96*(5/12)</f>
        <v>13775153.75</v>
      </c>
      <c r="Z24" s="511"/>
    </row>
    <row r="25" spans="1:26" ht="15">
      <c r="A25" s="1161"/>
      <c r="B25" s="385"/>
      <c r="D25" s="1161"/>
      <c r="E25" s="1162"/>
      <c r="I25" s="1629"/>
      <c r="J25" s="1630" t="s">
        <v>145</v>
      </c>
      <c r="K25" s="1630"/>
      <c r="L25" s="1630"/>
      <c r="M25" s="1630"/>
      <c r="N25" s="1630"/>
      <c r="O25" s="1630"/>
      <c r="P25" s="1630"/>
      <c r="Q25" s="1630"/>
      <c r="R25" s="1630"/>
      <c r="S25" s="1630"/>
      <c r="T25" s="1630"/>
      <c r="U25" s="1630"/>
      <c r="V25" s="1630"/>
      <c r="W25" s="1631"/>
      <c r="X25" s="512"/>
      <c r="Y25" s="1162">
        <f>$C$97*(7/12)</f>
        <v>19598588.333333336</v>
      </c>
      <c r="Z25" s="511"/>
    </row>
    <row r="26" spans="1:26" ht="45">
      <c r="A26" s="1165" t="s">
        <v>146</v>
      </c>
      <c r="B26" s="1166">
        <f>B8*0.1</f>
        <v>2417551.3000000003</v>
      </c>
      <c r="D26" s="2" t="s">
        <v>147</v>
      </c>
      <c r="E26" s="89">
        <f>$C$99</f>
        <v>33593091</v>
      </c>
      <c r="I26" s="1632" t="s">
        <v>115</v>
      </c>
      <c r="J26" s="1172" t="s">
        <v>148</v>
      </c>
      <c r="K26" s="1173"/>
      <c r="L26" s="1173"/>
      <c r="M26" s="1633" t="s">
        <v>149</v>
      </c>
      <c r="N26" s="1633"/>
      <c r="O26" s="1174"/>
      <c r="P26" s="1174"/>
      <c r="Q26" s="1174"/>
      <c r="R26" s="1172" t="s">
        <v>117</v>
      </c>
      <c r="S26" s="1618"/>
      <c r="T26" s="1618"/>
      <c r="U26" s="1174"/>
      <c r="V26" s="1172" t="s">
        <v>118</v>
      </c>
      <c r="W26" s="1175"/>
      <c r="X26" s="514"/>
      <c r="Y26" s="511"/>
      <c r="Z26" s="511"/>
    </row>
    <row r="27" spans="1:26" ht="16" thickBot="1">
      <c r="A27" s="1161"/>
      <c r="B27" s="1162"/>
      <c r="D27" s="1167" t="s">
        <v>150</v>
      </c>
      <c r="E27" s="1168">
        <f>(E26*0.8)-(E14*0.8)+E26*0.5</f>
        <v>14772855.748440444</v>
      </c>
      <c r="I27" s="1632"/>
      <c r="J27" s="1176">
        <f>$Y$27*0.3</f>
        <v>10012122.625</v>
      </c>
      <c r="K27" s="1177"/>
      <c r="L27" s="1177"/>
      <c r="M27" s="1178">
        <f>$Y$27*0.5</f>
        <v>16686871.041666668</v>
      </c>
      <c r="N27" s="1177"/>
      <c r="O27" s="1177"/>
      <c r="P27" s="1177"/>
      <c r="Q27" s="1177"/>
      <c r="R27" s="1178">
        <f>$Y$27*0.1</f>
        <v>3337374.208333334</v>
      </c>
      <c r="S27" s="1177"/>
      <c r="T27" s="1177"/>
      <c r="U27" s="1177"/>
      <c r="V27" s="1178">
        <f>$Y$27*0.1</f>
        <v>3337374.208333334</v>
      </c>
      <c r="W27" s="1179"/>
      <c r="X27" s="511"/>
      <c r="Y27" s="515">
        <f>SUM(Y24:Y25)</f>
        <v>33373742.083333336</v>
      </c>
      <c r="Z27" s="511"/>
    </row>
    <row r="28" spans="1:26" ht="16" thickTop="1">
      <c r="A28" s="2" t="s">
        <v>151</v>
      </c>
      <c r="B28" s="89">
        <v>24322839</v>
      </c>
      <c r="D28" s="419" t="s">
        <v>138</v>
      </c>
      <c r="E28" s="420">
        <f>E27-E24</f>
        <v>-3288495.8462842777</v>
      </c>
      <c r="I28" s="1177" t="s">
        <v>120</v>
      </c>
      <c r="J28" s="1180"/>
      <c r="K28" s="1180"/>
      <c r="L28" s="1180"/>
      <c r="M28" s="1180"/>
      <c r="N28" s="1180"/>
      <c r="O28" s="1180"/>
      <c r="P28" s="1180"/>
      <c r="Q28" s="1180"/>
      <c r="R28" s="1180"/>
      <c r="S28" s="1180"/>
      <c r="T28" s="1180"/>
      <c r="U28" s="1180"/>
      <c r="V28" s="1180"/>
      <c r="W28" s="1181"/>
      <c r="X28" s="511"/>
      <c r="Y28" s="511"/>
      <c r="Z28" s="511"/>
    </row>
    <row r="29" spans="1:26" ht="16" thickBot="1">
      <c r="A29" s="1167" t="s">
        <v>152</v>
      </c>
      <c r="B29" s="1168">
        <f>B28*0.9-B17*0.9+B28*0.1</f>
        <v>2434909.2000000007</v>
      </c>
      <c r="I29" s="1180" t="s">
        <v>130</v>
      </c>
      <c r="J29" s="1180"/>
      <c r="K29" s="1180"/>
      <c r="L29" s="1180"/>
      <c r="M29" s="1180"/>
      <c r="N29" s="1180"/>
      <c r="O29" s="1180"/>
      <c r="P29" s="1180"/>
      <c r="Q29" s="1180"/>
      <c r="R29" s="1180"/>
      <c r="S29" s="1180"/>
      <c r="T29" s="1180"/>
      <c r="U29" s="1180"/>
      <c r="V29" s="1180"/>
      <c r="W29" s="1181"/>
      <c r="X29" s="511"/>
      <c r="Y29" s="516">
        <v>33006370.000000004</v>
      </c>
      <c r="Z29" s="511" t="s">
        <v>153</v>
      </c>
    </row>
    <row r="30" spans="1:26" ht="16" thickTop="1">
      <c r="A30" s="419" t="s">
        <v>154</v>
      </c>
      <c r="B30" s="420">
        <f>B29-B26</f>
        <v>17357.900000000373</v>
      </c>
      <c r="I30" s="1180" t="s">
        <v>155</v>
      </c>
      <c r="J30" s="1180"/>
      <c r="K30" s="1180"/>
      <c r="L30" s="1182">
        <v>187755.3</v>
      </c>
      <c r="M30" s="1180"/>
      <c r="N30" s="1180"/>
      <c r="O30" s="1182">
        <v>312925.5</v>
      </c>
      <c r="P30" s="1182"/>
      <c r="Q30" s="1182"/>
      <c r="R30" s="1182">
        <v>62585.100000000006</v>
      </c>
      <c r="S30" s="1182"/>
      <c r="T30" s="1182"/>
      <c r="U30" s="1182"/>
      <c r="V30" s="1182">
        <v>62585.100000000006</v>
      </c>
      <c r="W30" s="1181"/>
      <c r="X30" s="511"/>
      <c r="Y30" s="511"/>
      <c r="Z30" s="511"/>
    </row>
    <row r="31" spans="1:26" ht="15">
      <c r="A31" s="421" t="s">
        <v>156</v>
      </c>
      <c r="B31" s="422">
        <v>147325</v>
      </c>
      <c r="I31" s="1180" t="s">
        <v>134</v>
      </c>
      <c r="J31" s="1180"/>
      <c r="K31" s="1180"/>
      <c r="L31" s="1182"/>
      <c r="M31" s="1182"/>
      <c r="N31" s="1182"/>
      <c r="O31" s="1182">
        <v>290095.19999999704</v>
      </c>
      <c r="P31" s="1182"/>
      <c r="Q31" s="1182"/>
      <c r="R31" s="1182">
        <v>36261.89999999963</v>
      </c>
      <c r="S31" s="1182"/>
      <c r="T31" s="1182"/>
      <c r="U31" s="1182"/>
      <c r="V31" s="1182">
        <v>36261.89999999963</v>
      </c>
      <c r="W31" s="1181"/>
      <c r="X31" s="511"/>
      <c r="Y31" s="516">
        <v>33368989</v>
      </c>
      <c r="Z31" s="511"/>
    </row>
    <row r="32" spans="1:26" ht="16">
      <c r="D32" s="1449" t="s">
        <v>157</v>
      </c>
      <c r="E32" s="1450"/>
      <c r="I32" s="1180"/>
      <c r="J32" s="1180"/>
      <c r="K32" s="1180"/>
      <c r="L32" s="1180"/>
      <c r="M32" s="1180"/>
      <c r="N32" s="1180"/>
      <c r="O32" s="1180"/>
      <c r="P32" s="1180"/>
      <c r="Q32" s="1180"/>
      <c r="R32" s="1182"/>
      <c r="S32" s="1180"/>
      <c r="T32" s="1180"/>
      <c r="U32" s="1180"/>
      <c r="V32" s="1183"/>
      <c r="W32" s="1181"/>
      <c r="X32" s="511"/>
      <c r="Y32" s="511"/>
      <c r="Z32" s="511"/>
    </row>
    <row r="33" spans="1:26" ht="33" customHeight="1">
      <c r="A33" s="1617" t="s">
        <v>158</v>
      </c>
      <c r="B33" s="1617"/>
      <c r="D33" s="1161"/>
      <c r="I33" s="1180" t="s">
        <v>159</v>
      </c>
      <c r="J33" s="1180"/>
      <c r="K33" s="1180"/>
      <c r="L33" s="1180"/>
      <c r="M33" s="1180"/>
      <c r="N33" s="1184"/>
      <c r="O33" s="1180"/>
      <c r="P33" s="1180"/>
      <c r="Q33" s="1180"/>
      <c r="R33" s="1180"/>
      <c r="S33" s="1180"/>
      <c r="T33" s="1180"/>
      <c r="U33" s="1180"/>
      <c r="V33" s="1180"/>
      <c r="W33" s="1181"/>
      <c r="X33" s="511"/>
      <c r="Y33" s="511"/>
      <c r="Z33" s="511"/>
    </row>
    <row r="34" spans="1:26" ht="15">
      <c r="D34" s="1165" t="s">
        <v>160</v>
      </c>
      <c r="E34" s="1166">
        <f>$B$55*0.1</f>
        <v>3337374.208333334</v>
      </c>
    </row>
    <row r="35" spans="1:26" ht="15">
      <c r="D35" s="1161"/>
      <c r="E35" s="1162"/>
    </row>
    <row r="36" spans="1:26" ht="15">
      <c r="D36" s="2" t="s">
        <v>132</v>
      </c>
      <c r="E36" s="89">
        <f ca="1">'FNSS SUMMARY'!$G$17</f>
        <v>50085791.219999999</v>
      </c>
    </row>
    <row r="37" spans="1:26" ht="20" thickBot="1">
      <c r="A37" s="418" t="s">
        <v>161</v>
      </c>
      <c r="D37" s="1167" t="s">
        <v>162</v>
      </c>
      <c r="E37" s="1168">
        <f ca="1">(E36*0.9)-(E26*0.9)+(E36*0.1)</f>
        <v>19852009.319999997</v>
      </c>
    </row>
    <row r="38" spans="1:26" ht="16" thickTop="1">
      <c r="D38" s="419" t="s">
        <v>138</v>
      </c>
      <c r="E38" s="420">
        <f ca="1">E37-E34</f>
        <v>16514635.111666663</v>
      </c>
    </row>
    <row r="39" spans="1:26" ht="16">
      <c r="A39" s="1449" t="s">
        <v>163</v>
      </c>
      <c r="B39" s="1450"/>
      <c r="D39" s="386"/>
      <c r="E39" s="387"/>
    </row>
    <row r="41" spans="1:26" ht="15.75" customHeight="1">
      <c r="A41" s="1185" t="s">
        <v>164</v>
      </c>
      <c r="B41" s="106">
        <f>B8+B19+B31</f>
        <v>24452806.099999998</v>
      </c>
      <c r="D41" s="1617"/>
      <c r="E41" s="1617"/>
    </row>
    <row r="43" spans="1:26" ht="15">
      <c r="A43" s="2" t="s">
        <v>165</v>
      </c>
      <c r="B43" s="1186">
        <f ca="1">B6+('FNSS SUMMARY'!G17*7/12)</f>
        <v>34650914.545000002</v>
      </c>
    </row>
    <row r="44" spans="1:26" ht="15">
      <c r="A44" s="419" t="s">
        <v>166</v>
      </c>
      <c r="B44" s="420">
        <f ca="1">B43-B41</f>
        <v>10198108.445000004</v>
      </c>
    </row>
    <row r="45" spans="1:26" ht="19">
      <c r="D45" s="418"/>
    </row>
    <row r="47" spans="1:26" ht="16">
      <c r="D47" s="10"/>
    </row>
    <row r="48" spans="1:26">
      <c r="A48" s="508"/>
      <c r="B48" s="508"/>
    </row>
    <row r="49" spans="1:5" ht="15">
      <c r="D49" s="1187"/>
      <c r="E49" s="105"/>
    </row>
    <row r="50" spans="1:5" ht="19">
      <c r="A50" s="418" t="s">
        <v>167</v>
      </c>
      <c r="D50" s="418" t="s">
        <v>114</v>
      </c>
    </row>
    <row r="52" spans="1:5" ht="16">
      <c r="A52" s="1449" t="s">
        <v>168</v>
      </c>
      <c r="B52" s="1450"/>
      <c r="D52" s="1449" t="s">
        <v>168</v>
      </c>
      <c r="E52" s="1450"/>
    </row>
    <row r="53" spans="1:5" ht="15">
      <c r="A53" s="1161" t="s">
        <v>169</v>
      </c>
      <c r="B53" s="1162">
        <f>$C$96*(5/12)</f>
        <v>13775153.75</v>
      </c>
      <c r="D53" s="1161" t="s">
        <v>121</v>
      </c>
      <c r="E53" s="1162">
        <f>$C$101*(5/12)</f>
        <v>14911196.550282774</v>
      </c>
    </row>
    <row r="54" spans="1:5" ht="15">
      <c r="A54" s="1161" t="s">
        <v>170</v>
      </c>
      <c r="B54" s="1162">
        <f>$C$97*(7/12)</f>
        <v>19598588.333333336</v>
      </c>
      <c r="D54" s="1161" t="s">
        <v>124</v>
      </c>
      <c r="E54" s="1162">
        <f>$C$102*(7/12)</f>
        <v>21211506.639166668</v>
      </c>
    </row>
    <row r="55" spans="1:5" ht="15">
      <c r="A55" s="417" t="s">
        <v>126</v>
      </c>
      <c r="B55" s="106">
        <f>SUM(B53:B54)</f>
        <v>33373742.083333336</v>
      </c>
      <c r="D55" s="417" t="s">
        <v>126</v>
      </c>
      <c r="E55" s="106">
        <f>SUM(E53:E54)</f>
        <v>36122703.189449444</v>
      </c>
    </row>
    <row r="56" spans="1:5" ht="15">
      <c r="A56" s="1163" t="s">
        <v>129</v>
      </c>
      <c r="B56" s="1164">
        <f>B55*0.3</f>
        <v>10012122.625</v>
      </c>
      <c r="D56" s="1163" t="s">
        <v>129</v>
      </c>
      <c r="E56" s="1164">
        <f>E55*0.3</f>
        <v>10836810.956834832</v>
      </c>
    </row>
    <row r="58" spans="1:5" ht="15">
      <c r="A58" s="2" t="s">
        <v>133</v>
      </c>
      <c r="B58" s="105">
        <f>$C$99</f>
        <v>33593091</v>
      </c>
      <c r="D58" s="2"/>
      <c r="E58" s="105"/>
    </row>
    <row r="59" spans="1:5" ht="16" thickBot="1">
      <c r="A59" s="1167" t="s">
        <v>137</v>
      </c>
      <c r="B59" s="1168">
        <f>B58*0.3</f>
        <v>10077927.299999999</v>
      </c>
      <c r="D59" s="1161"/>
      <c r="E59" s="1186"/>
    </row>
    <row r="60" spans="1:5" ht="16" thickTop="1">
      <c r="A60" s="419" t="s">
        <v>138</v>
      </c>
      <c r="B60" s="420">
        <f>B59-B56</f>
        <v>65804.674999998882</v>
      </c>
      <c r="D60" s="386"/>
      <c r="E60" s="387"/>
    </row>
    <row r="62" spans="1:5">
      <c r="B62" s="74"/>
      <c r="E62" s="74"/>
    </row>
    <row r="63" spans="1:5" ht="16">
      <c r="A63" s="1449" t="s">
        <v>140</v>
      </c>
      <c r="B63" s="1450"/>
      <c r="D63" s="1449" t="s">
        <v>140</v>
      </c>
      <c r="E63" s="1450"/>
    </row>
    <row r="64" spans="1:5" ht="15">
      <c r="A64" s="1161"/>
      <c r="D64" s="1161"/>
    </row>
    <row r="65" spans="1:5" ht="15">
      <c r="A65" s="1165" t="s">
        <v>143</v>
      </c>
      <c r="B65" s="1166">
        <f>$B$55*0.5</f>
        <v>16686871.041666668</v>
      </c>
      <c r="D65" s="1165" t="s">
        <v>143</v>
      </c>
      <c r="E65" s="1166">
        <f>$E$55*0.5</f>
        <v>18061351.594724722</v>
      </c>
    </row>
    <row r="66" spans="1:5" ht="15">
      <c r="A66" s="1161"/>
      <c r="B66" s="1162"/>
      <c r="D66" s="1161"/>
      <c r="E66" s="1162"/>
    </row>
    <row r="67" spans="1:5" ht="15">
      <c r="A67" s="2" t="s">
        <v>147</v>
      </c>
      <c r="B67" s="89">
        <f>$C$99</f>
        <v>33593091</v>
      </c>
      <c r="D67" s="2" t="s">
        <v>147</v>
      </c>
      <c r="E67" s="89">
        <f ca="1">$C$103</f>
        <v>50085791.219999999</v>
      </c>
    </row>
    <row r="68" spans="1:5" ht="16" thickBot="1">
      <c r="A68" s="1167" t="s">
        <v>150</v>
      </c>
      <c r="B68" s="1168">
        <f>(B67*0.8)-(B55*0.8)+B67*0.5</f>
        <v>16972024.633333329</v>
      </c>
      <c r="D68" s="1167" t="s">
        <v>150</v>
      </c>
      <c r="E68" s="1168">
        <f ca="1">(E67*0.3)-(E55*0.3)+(E67*0.5)</f>
        <v>29231822.019165166</v>
      </c>
    </row>
    <row r="69" spans="1:5" ht="16" thickTop="1">
      <c r="A69" s="419" t="s">
        <v>138</v>
      </c>
      <c r="B69" s="420">
        <f>B68-B65</f>
        <v>285153.5916666612</v>
      </c>
      <c r="D69" s="419" t="s">
        <v>138</v>
      </c>
      <c r="E69" s="420">
        <f ca="1">E68-E65</f>
        <v>11170470.424440444</v>
      </c>
    </row>
    <row r="73" spans="1:5" ht="16">
      <c r="A73" s="1449" t="s">
        <v>157</v>
      </c>
      <c r="B73" s="1450"/>
      <c r="D73" s="1449" t="s">
        <v>171</v>
      </c>
      <c r="E73" s="1450"/>
    </row>
    <row r="74" spans="1:5" ht="15">
      <c r="A74" s="1161"/>
      <c r="D74" s="1161"/>
    </row>
    <row r="75" spans="1:5" ht="15">
      <c r="A75" s="1165" t="s">
        <v>160</v>
      </c>
      <c r="B75" s="1166">
        <f>$B$55*0.1</f>
        <v>3337374.208333334</v>
      </c>
      <c r="D75" s="1165" t="s">
        <v>160</v>
      </c>
      <c r="E75" s="1166">
        <f>$B$55*0.1</f>
        <v>3337374.208333334</v>
      </c>
    </row>
    <row r="76" spans="1:5" ht="15">
      <c r="A76" s="1161"/>
      <c r="B76" s="1162"/>
      <c r="D76" s="1161"/>
      <c r="E76" s="1162"/>
    </row>
    <row r="77" spans="1:5" ht="15">
      <c r="A77" s="2" t="s">
        <v>132</v>
      </c>
      <c r="B77" s="89">
        <f ca="1">'FNSS SUMMARY'!$G$17</f>
        <v>50085791.219999999</v>
      </c>
      <c r="D77" s="2" t="s">
        <v>132</v>
      </c>
      <c r="E77" s="89">
        <f ca="1">'FNSS SUMMARY'!$G$17</f>
        <v>50085791.219999999</v>
      </c>
    </row>
    <row r="78" spans="1:5" ht="16" thickBot="1">
      <c r="A78" s="1167" t="s">
        <v>162</v>
      </c>
      <c r="B78" s="1168">
        <f ca="1">(B77*0.9)-(B67*0.9)+(B77*0.1)</f>
        <v>19852009.319999997</v>
      </c>
      <c r="D78" s="1167" t="s">
        <v>162</v>
      </c>
      <c r="E78" s="1168">
        <f ca="1">(E77*0.9)-(E67*0.9)+(E77*0.1)</f>
        <v>5008579.1220000004</v>
      </c>
    </row>
    <row r="79" spans="1:5" ht="16" thickTop="1">
      <c r="A79" s="419" t="s">
        <v>138</v>
      </c>
      <c r="B79" s="420">
        <f ca="1">B78-B75</f>
        <v>16514635.111666663</v>
      </c>
      <c r="D79" s="419" t="s">
        <v>138</v>
      </c>
      <c r="E79" s="420">
        <f ca="1">E78-E75</f>
        <v>1671204.9136666665</v>
      </c>
    </row>
    <row r="91" spans="1:5">
      <c r="A91" s="533" t="s">
        <v>0</v>
      </c>
      <c r="B91" s="534"/>
      <c r="C91" s="534"/>
      <c r="D91" s="534"/>
      <c r="E91" s="534"/>
    </row>
    <row r="92" spans="1:5">
      <c r="A92" s="534"/>
      <c r="B92" s="534"/>
      <c r="C92" s="534"/>
      <c r="D92" s="534"/>
      <c r="E92" s="534"/>
    </row>
    <row r="93" spans="1:5">
      <c r="A93" s="534"/>
      <c r="B93" s="535" t="s">
        <v>1</v>
      </c>
      <c r="C93" s="536" t="s">
        <v>2</v>
      </c>
      <c r="D93" s="536" t="s">
        <v>3</v>
      </c>
      <c r="E93" s="534"/>
    </row>
    <row r="94" spans="1:5">
      <c r="A94" s="534"/>
      <c r="B94" s="535"/>
      <c r="C94" s="536"/>
      <c r="D94" s="536"/>
      <c r="E94" s="534"/>
    </row>
    <row r="95" spans="1:5">
      <c r="A95" s="537" t="s">
        <v>4</v>
      </c>
      <c r="B95" s="538" t="s">
        <v>5</v>
      </c>
      <c r="C95" s="539">
        <v>32380519</v>
      </c>
      <c r="D95" s="545">
        <v>10118384</v>
      </c>
      <c r="E95" s="534"/>
    </row>
    <row r="96" spans="1:5">
      <c r="A96" s="537" t="s">
        <v>6</v>
      </c>
      <c r="B96" s="538" t="s">
        <v>5</v>
      </c>
      <c r="C96" s="539">
        <v>33060369</v>
      </c>
      <c r="D96" s="545">
        <v>10431491</v>
      </c>
      <c r="E96" s="534" t="s">
        <v>172</v>
      </c>
    </row>
    <row r="97" spans="1:18">
      <c r="A97" s="537" t="s">
        <v>7</v>
      </c>
      <c r="B97" s="540" t="s">
        <v>8</v>
      </c>
      <c r="C97" s="539">
        <v>33597580</v>
      </c>
      <c r="D97" s="545">
        <v>10476723</v>
      </c>
      <c r="E97" s="534"/>
    </row>
    <row r="98" spans="1:18">
      <c r="A98" s="537" t="s">
        <v>9</v>
      </c>
      <c r="B98" s="540" t="s">
        <v>8</v>
      </c>
      <c r="C98" s="539">
        <v>33006370</v>
      </c>
      <c r="D98" s="545" t="s">
        <v>10</v>
      </c>
      <c r="E98" s="534"/>
    </row>
    <row r="99" spans="1:18">
      <c r="A99" s="537" t="s">
        <v>9</v>
      </c>
      <c r="B99" s="540" t="s">
        <v>8</v>
      </c>
      <c r="C99" s="539">
        <v>33593091</v>
      </c>
      <c r="D99" s="545" t="s">
        <v>11</v>
      </c>
      <c r="E99" s="534"/>
    </row>
    <row r="100" spans="1:18">
      <c r="A100" s="537" t="s">
        <v>12</v>
      </c>
      <c r="B100" s="540" t="s">
        <v>8</v>
      </c>
      <c r="C100" s="539">
        <v>35786871.720678657</v>
      </c>
      <c r="D100" s="545">
        <v>10930598</v>
      </c>
      <c r="E100" s="534"/>
    </row>
    <row r="101" spans="1:18">
      <c r="A101" s="537" t="s">
        <v>6</v>
      </c>
      <c r="B101" s="540" t="s">
        <v>8</v>
      </c>
      <c r="C101" s="539">
        <v>35786871.720678657</v>
      </c>
      <c r="D101" s="545">
        <v>10930598</v>
      </c>
      <c r="E101" s="534"/>
    </row>
    <row r="102" spans="1:18">
      <c r="A102" s="537" t="s">
        <v>7</v>
      </c>
      <c r="B102" s="540" t="s">
        <v>13</v>
      </c>
      <c r="C102" s="539">
        <v>36362582.810000002</v>
      </c>
    </row>
    <row r="103" spans="1:18">
      <c r="A103" s="537" t="s">
        <v>15</v>
      </c>
      <c r="B103" s="540" t="s">
        <v>13</v>
      </c>
      <c r="C103" s="539">
        <f ca="1">'FNSS SUMMARY'!G17</f>
        <v>50085791.219999999</v>
      </c>
    </row>
    <row r="106" spans="1:18" ht="25.5" customHeight="1">
      <c r="A106" s="1616" t="s">
        <v>173</v>
      </c>
      <c r="B106" s="1616"/>
      <c r="C106" s="549"/>
      <c r="E106" s="1616" t="s">
        <v>174</v>
      </c>
      <c r="F106" s="1616"/>
      <c r="I106" s="1616" t="s">
        <v>175</v>
      </c>
      <c r="J106" s="1616"/>
      <c r="M106" s="1616" t="s">
        <v>176</v>
      </c>
      <c r="N106" s="1616"/>
      <c r="Q106" s="1616" t="s">
        <v>177</v>
      </c>
      <c r="R106" s="1616"/>
    </row>
    <row r="107" spans="1:18" ht="19">
      <c r="A107" s="418" t="s">
        <v>167</v>
      </c>
      <c r="E107" s="418" t="s">
        <v>167</v>
      </c>
      <c r="I107" s="418" t="s">
        <v>167</v>
      </c>
      <c r="M107" s="418" t="s">
        <v>167</v>
      </c>
      <c r="Q107" s="418" t="s">
        <v>114</v>
      </c>
    </row>
    <row r="109" spans="1:18" ht="16">
      <c r="A109" s="1449" t="s">
        <v>168</v>
      </c>
      <c r="B109" s="1450"/>
      <c r="E109" s="1449" t="s">
        <v>168</v>
      </c>
      <c r="F109" s="1450"/>
      <c r="I109" s="1449" t="s">
        <v>168</v>
      </c>
      <c r="J109" s="1450"/>
      <c r="M109" s="1449" t="s">
        <v>168</v>
      </c>
      <c r="N109" s="1450"/>
      <c r="Q109" s="1449" t="s">
        <v>168</v>
      </c>
      <c r="R109" s="1450"/>
    </row>
    <row r="110" spans="1:18" ht="15">
      <c r="A110" s="1161" t="s">
        <v>178</v>
      </c>
      <c r="B110" s="1162">
        <f>$C$96*(5/12)</f>
        <v>13775153.75</v>
      </c>
      <c r="C110" s="1162"/>
      <c r="E110" s="1161" t="s">
        <v>178</v>
      </c>
      <c r="F110" s="1162">
        <f>$C$96*(5/12)</f>
        <v>13775153.75</v>
      </c>
      <c r="G110" s="19">
        <f>F113-G111</f>
        <v>13752654.166666664</v>
      </c>
      <c r="I110" s="1161" t="s">
        <v>178</v>
      </c>
      <c r="J110" s="1162">
        <f>$C$96*(5/12)</f>
        <v>13775153.75</v>
      </c>
      <c r="M110" s="1161" t="s">
        <v>178</v>
      </c>
      <c r="N110" s="1162">
        <f>$C$96*(5/12)</f>
        <v>13775153.75</v>
      </c>
      <c r="Q110" s="1161" t="s">
        <v>179</v>
      </c>
      <c r="R110" s="1162">
        <f>$C$101*(5/12)</f>
        <v>14911196.550282774</v>
      </c>
    </row>
    <row r="111" spans="1:18" ht="15">
      <c r="A111" s="1161" t="s">
        <v>180</v>
      </c>
      <c r="B111" s="1162">
        <f>$C$97*(7/12)</f>
        <v>19598588.333333336</v>
      </c>
      <c r="C111" s="1162">
        <f>B113*(7/12)</f>
        <v>18888636.083333336</v>
      </c>
      <c r="E111" s="1161" t="s">
        <v>181</v>
      </c>
      <c r="F111" s="1162">
        <f>$C$98*(7/12)</f>
        <v>19253715.833333336</v>
      </c>
      <c r="G111" s="26">
        <f>F113*(7/12)</f>
        <v>19253715.833333336</v>
      </c>
      <c r="I111" s="1161" t="s">
        <v>181</v>
      </c>
      <c r="J111" s="1162">
        <f>$C$98*(7/12)</f>
        <v>19253715.833333336</v>
      </c>
      <c r="M111" s="1161" t="s">
        <v>182</v>
      </c>
      <c r="N111" s="1162">
        <f>$C$100*(7/12)</f>
        <v>20875675.170395885</v>
      </c>
      <c r="Q111" s="1161" t="s">
        <v>183</v>
      </c>
      <c r="R111" s="1162">
        <f ca="1">$C$103*(7/12)</f>
        <v>29216711.545000002</v>
      </c>
    </row>
    <row r="112" spans="1:18" ht="15">
      <c r="A112" s="417" t="s">
        <v>126</v>
      </c>
      <c r="B112" s="106">
        <f>SUM(B110:B111)</f>
        <v>33373742.083333336</v>
      </c>
      <c r="C112" s="106"/>
      <c r="E112" s="417" t="s">
        <v>126</v>
      </c>
      <c r="F112" s="106">
        <f>SUM(F110:F111)</f>
        <v>33028869.583333336</v>
      </c>
      <c r="I112" s="417" t="s">
        <v>126</v>
      </c>
      <c r="J112" s="106">
        <f>SUM(J110:J111)</f>
        <v>33028869.583333336</v>
      </c>
      <c r="K112" s="19">
        <f>(J112*0.5)+((J111*0.3)-(F111*0.3))</f>
        <v>16514434.791666668</v>
      </c>
      <c r="M112" s="417" t="s">
        <v>126</v>
      </c>
      <c r="N112" s="106">
        <f>SUM(N110:N111)</f>
        <v>34650828.920395881</v>
      </c>
      <c r="Q112" s="417" t="s">
        <v>126</v>
      </c>
      <c r="R112" s="106">
        <f ca="1">SUM(R110:R111)</f>
        <v>44127908.095282778</v>
      </c>
    </row>
    <row r="113" spans="1:18" ht="16">
      <c r="A113" s="546" t="s">
        <v>184</v>
      </c>
      <c r="B113" s="547">
        <v>32380519</v>
      </c>
      <c r="C113" s="547"/>
      <c r="E113" s="546" t="s">
        <v>185</v>
      </c>
      <c r="F113" s="547">
        <v>33006370</v>
      </c>
      <c r="G113" s="19">
        <f>(F113*0.5)+((G111*0.3)-(C111*0.3))</f>
        <v>16612708.925000001</v>
      </c>
      <c r="I113" s="546" t="s">
        <v>186</v>
      </c>
      <c r="J113" s="547">
        <v>33368989</v>
      </c>
      <c r="Q113" s="546" t="s">
        <v>186</v>
      </c>
      <c r="R113" s="547">
        <f>C102</f>
        <v>36362582.810000002</v>
      </c>
    </row>
    <row r="114" spans="1:18">
      <c r="G114" t="s">
        <v>187</v>
      </c>
      <c r="K114" t="s">
        <v>187</v>
      </c>
      <c r="O114" t="s">
        <v>187</v>
      </c>
    </row>
    <row r="115" spans="1:18" ht="15">
      <c r="A115" s="1188" t="s">
        <v>129</v>
      </c>
      <c r="B115" s="543">
        <f>$B$113*0.3</f>
        <v>9714155.6999999993</v>
      </c>
      <c r="C115" s="548"/>
      <c r="E115" s="1188" t="s">
        <v>188</v>
      </c>
      <c r="F115" s="1189">
        <f>$F$113*0.3</f>
        <v>9901911</v>
      </c>
      <c r="G115" s="74">
        <f>F115-B115</f>
        <v>187755.30000000075</v>
      </c>
      <c r="H115" s="74"/>
      <c r="I115" s="1188" t="s">
        <v>189</v>
      </c>
      <c r="J115" s="1189">
        <f>$J$113*0.3</f>
        <v>10010696.699999999</v>
      </c>
      <c r="K115" s="74">
        <f>J115-F115</f>
        <v>108785.69999999925</v>
      </c>
      <c r="L115" s="74"/>
      <c r="M115" s="1188" t="s">
        <v>129</v>
      </c>
      <c r="N115" s="1189">
        <f>$N$112*0.3</f>
        <v>10395248.676118763</v>
      </c>
      <c r="O115" s="74">
        <f>N115-J115</f>
        <v>384551.97611876391</v>
      </c>
      <c r="Q115" s="1188" t="s">
        <v>189</v>
      </c>
      <c r="R115" s="1189">
        <f>$R$113*0.3</f>
        <v>10908774.843</v>
      </c>
    </row>
    <row r="116" spans="1:18">
      <c r="A116" s="541"/>
      <c r="B116" s="542"/>
      <c r="E116" s="541"/>
      <c r="F116" s="542"/>
      <c r="I116" s="541"/>
      <c r="J116" s="542"/>
      <c r="M116" s="541"/>
      <c r="N116" s="542"/>
      <c r="Q116" s="541"/>
      <c r="R116" s="542"/>
    </row>
    <row r="117" spans="1:18" ht="15">
      <c r="A117" s="1190" t="s">
        <v>190</v>
      </c>
      <c r="B117" s="1191">
        <f>$B$113*0.5</f>
        <v>16190259.5</v>
      </c>
      <c r="C117" s="1186"/>
      <c r="E117" s="1190" t="s">
        <v>191</v>
      </c>
      <c r="F117" s="1191">
        <f>$F$112*0.5</f>
        <v>16514434.791666668</v>
      </c>
      <c r="G117" s="74"/>
      <c r="H117" s="74"/>
      <c r="I117" s="1190" t="s">
        <v>192</v>
      </c>
      <c r="J117" s="1191">
        <f>$J$113*0.5</f>
        <v>16684494.5</v>
      </c>
      <c r="K117" s="74">
        <f>J117-B117</f>
        <v>494235</v>
      </c>
      <c r="L117" s="74"/>
      <c r="M117" s="1190" t="s">
        <v>193</v>
      </c>
      <c r="N117" s="1191">
        <f>$N$112*0.5</f>
        <v>17325414.46019794</v>
      </c>
      <c r="O117" s="74">
        <f>N117-J117</f>
        <v>640919.96019794047</v>
      </c>
      <c r="Q117" s="1190" t="s">
        <v>192</v>
      </c>
      <c r="R117" s="1191">
        <f>$R$113*0.5</f>
        <v>18181291.405000001</v>
      </c>
    </row>
    <row r="118" spans="1:18" ht="15">
      <c r="A118" s="1190"/>
      <c r="B118" s="1191"/>
      <c r="C118" s="1186"/>
      <c r="E118" s="1190"/>
      <c r="F118" s="1191"/>
      <c r="I118" s="1190"/>
      <c r="J118" s="1191"/>
      <c r="M118" s="1190"/>
      <c r="N118" s="1191"/>
      <c r="Q118" s="1190"/>
      <c r="R118" s="1191"/>
    </row>
    <row r="119" spans="1:18" ht="15">
      <c r="A119" s="1190" t="s">
        <v>194</v>
      </c>
      <c r="B119" s="1191">
        <f>$B$113*0.1</f>
        <v>3238051.9000000004</v>
      </c>
      <c r="C119" s="1186"/>
      <c r="E119" s="1190" t="s">
        <v>194</v>
      </c>
      <c r="F119" s="1191">
        <f>$F$112*0.1</f>
        <v>3302886.958333334</v>
      </c>
      <c r="I119" s="1190" t="s">
        <v>194</v>
      </c>
      <c r="J119" s="1191">
        <f>$J$113*0.1</f>
        <v>3336898.9000000004</v>
      </c>
      <c r="M119" s="1190" t="s">
        <v>194</v>
      </c>
      <c r="N119" s="1191">
        <f>$N$112*0.1</f>
        <v>3465082.8920395882</v>
      </c>
      <c r="O119" s="74">
        <f>N119-B119</f>
        <v>227030.99203958781</v>
      </c>
      <c r="Q119" s="1190" t="s">
        <v>194</v>
      </c>
      <c r="R119" s="1191">
        <f>$R$113*0.1</f>
        <v>3636258.2810000004</v>
      </c>
    </row>
    <row r="120" spans="1:18" ht="15">
      <c r="A120" s="1190"/>
      <c r="B120" s="1191"/>
      <c r="C120" s="1186"/>
      <c r="E120" s="1190"/>
      <c r="F120" s="1191"/>
      <c r="I120" s="1190"/>
      <c r="J120" s="1191"/>
      <c r="M120" s="1190"/>
      <c r="N120" s="1191"/>
      <c r="Q120" s="1190"/>
      <c r="R120" s="1191"/>
    </row>
    <row r="121" spans="1:18" ht="15">
      <c r="A121" s="1192" t="s">
        <v>195</v>
      </c>
      <c r="B121" s="1193">
        <f>$B$113*0.1</f>
        <v>3238051.9000000004</v>
      </c>
      <c r="C121" s="1186"/>
      <c r="E121" s="1192" t="s">
        <v>195</v>
      </c>
      <c r="F121" s="1193">
        <f>$F$112*0.1</f>
        <v>3302886.958333334</v>
      </c>
      <c r="I121" s="1192" t="s">
        <v>195</v>
      </c>
      <c r="J121" s="1193">
        <f>$J$113*0.1</f>
        <v>3336898.9000000004</v>
      </c>
      <c r="M121" s="1192" t="s">
        <v>195</v>
      </c>
      <c r="N121" s="1193">
        <f>$N$112*0.1</f>
        <v>3465082.8920395882</v>
      </c>
      <c r="O121" s="74">
        <f>N121-B121</f>
        <v>227030.99203958781</v>
      </c>
      <c r="Q121" s="1192" t="s">
        <v>195</v>
      </c>
      <c r="R121" s="1193">
        <f>$R$113*0.1</f>
        <v>3636258.2810000004</v>
      </c>
    </row>
    <row r="124" spans="1:18">
      <c r="E124" s="506" t="s">
        <v>196</v>
      </c>
      <c r="F124" s="550">
        <f>G115</f>
        <v>187755.30000000075</v>
      </c>
      <c r="I124" s="506" t="s">
        <v>197</v>
      </c>
      <c r="J124" s="550">
        <f>K115</f>
        <v>108785.69999999925</v>
      </c>
      <c r="M124" s="507" t="s">
        <v>198</v>
      </c>
      <c r="N124" s="544">
        <f>O115</f>
        <v>384551.97611876391</v>
      </c>
      <c r="Q124" s="506" t="s">
        <v>197</v>
      </c>
      <c r="R124" s="550">
        <f>S115</f>
        <v>0</v>
      </c>
    </row>
    <row r="125" spans="1:18" ht="16">
      <c r="E125" s="551"/>
      <c r="F125" s="552"/>
      <c r="I125" s="551" t="s">
        <v>199</v>
      </c>
      <c r="J125" s="552">
        <f>F117</f>
        <v>16514434.791666668</v>
      </c>
      <c r="M125" t="s">
        <v>200</v>
      </c>
      <c r="N125" s="74">
        <f>O117</f>
        <v>640919.96019794047</v>
      </c>
      <c r="Q125" s="551" t="s">
        <v>199</v>
      </c>
      <c r="R125" s="552">
        <f>N117</f>
        <v>17325414.46019794</v>
      </c>
    </row>
    <row r="126" spans="1:18">
      <c r="E126" s="506"/>
      <c r="F126" s="550"/>
      <c r="I126" s="506" t="s">
        <v>201</v>
      </c>
      <c r="J126" s="550">
        <f>K117</f>
        <v>494235</v>
      </c>
      <c r="M126" t="s">
        <v>202</v>
      </c>
      <c r="N126" s="74">
        <f>O119</f>
        <v>227030.99203958781</v>
      </c>
      <c r="Q126" s="506" t="s">
        <v>201</v>
      </c>
      <c r="R126" s="550">
        <f>S117</f>
        <v>0</v>
      </c>
    </row>
    <row r="127" spans="1:18">
      <c r="M127" t="s">
        <v>203</v>
      </c>
      <c r="N127" s="74">
        <f>O121</f>
        <v>227030.99203958781</v>
      </c>
    </row>
    <row r="128" spans="1:18">
      <c r="E128" t="s">
        <v>204</v>
      </c>
      <c r="F128" s="74">
        <f>F124+F126</f>
        <v>187755.30000000075</v>
      </c>
      <c r="I128" t="s">
        <v>205</v>
      </c>
      <c r="J128" s="74">
        <f>J124+J126</f>
        <v>603020.69999999925</v>
      </c>
      <c r="M128" t="s">
        <v>206</v>
      </c>
      <c r="N128" s="74">
        <f>B119</f>
        <v>3238051.9000000004</v>
      </c>
      <c r="Q128" t="s">
        <v>205</v>
      </c>
      <c r="R128" s="74">
        <f>R124+R126</f>
        <v>0</v>
      </c>
    </row>
    <row r="129" spans="5:21">
      <c r="E129" t="s">
        <v>207</v>
      </c>
      <c r="F129" s="74">
        <v>422868</v>
      </c>
      <c r="I129" t="s">
        <v>21</v>
      </c>
      <c r="J129" s="74">
        <f>J125</f>
        <v>16514434.791666668</v>
      </c>
      <c r="Q129" t="s">
        <v>21</v>
      </c>
      <c r="R129" s="74">
        <f>R125</f>
        <v>17325414.46019794</v>
      </c>
    </row>
    <row r="130" spans="5:21">
      <c r="M130" s="619" t="s">
        <v>208</v>
      </c>
      <c r="N130" s="620">
        <f>SUM(N124:N127)</f>
        <v>1479533.92039588</v>
      </c>
      <c r="O130" s="19">
        <f>(N111*0.9)-(J111*0.9)</f>
        <v>1459763.4033562914</v>
      </c>
    </row>
    <row r="131" spans="5:21">
      <c r="N131" s="26"/>
    </row>
    <row r="132" spans="5:21">
      <c r="N132" s="74"/>
    </row>
    <row r="134" spans="5:21">
      <c r="M134" s="553" t="s">
        <v>209</v>
      </c>
      <c r="U134" s="19"/>
    </row>
    <row r="136" spans="5:21">
      <c r="I136" t="s">
        <v>210</v>
      </c>
    </row>
    <row r="137" spans="5:21">
      <c r="I137" t="s">
        <v>211</v>
      </c>
    </row>
    <row r="139" spans="5:21">
      <c r="M139" s="1616" t="s">
        <v>212</v>
      </c>
      <c r="N139" s="1616"/>
    </row>
    <row r="140" spans="5:21" ht="19">
      <c r="M140" s="418" t="s">
        <v>167</v>
      </c>
    </row>
    <row r="142" spans="5:21" ht="16">
      <c r="M142" s="1449" t="s">
        <v>168</v>
      </c>
      <c r="N142" s="1450"/>
    </row>
    <row r="143" spans="5:21" ht="15">
      <c r="M143" s="1161" t="s">
        <v>213</v>
      </c>
      <c r="N143" s="1162">
        <f>$C$100*(5/12)</f>
        <v>14911196.550282774</v>
      </c>
    </row>
    <row r="144" spans="5:21" ht="15">
      <c r="M144" s="1161" t="s">
        <v>182</v>
      </c>
      <c r="N144" s="1162">
        <f>$C$102*(7/12)</f>
        <v>21211506.639166668</v>
      </c>
    </row>
    <row r="145" spans="13:14" ht="15">
      <c r="M145" s="417" t="s">
        <v>126</v>
      </c>
      <c r="N145" s="106">
        <f>SUM(N143:N144)</f>
        <v>36122703.189449444</v>
      </c>
    </row>
    <row r="148" spans="13:14" ht="15">
      <c r="M148" s="1188" t="s">
        <v>129</v>
      </c>
      <c r="N148" s="1189">
        <f>$N$145*0.3</f>
        <v>10836810.956834832</v>
      </c>
    </row>
    <row r="149" spans="13:14">
      <c r="M149" s="541"/>
      <c r="N149" s="542"/>
    </row>
    <row r="150" spans="13:14" ht="15">
      <c r="M150" s="1190" t="s">
        <v>193</v>
      </c>
      <c r="N150" s="1191">
        <f>$N$145*0.5</f>
        <v>18061351.594724722</v>
      </c>
    </row>
    <row r="151" spans="13:14" ht="15">
      <c r="M151" s="1190"/>
      <c r="N151" s="1191"/>
    </row>
    <row r="152" spans="13:14" ht="15">
      <c r="M152" s="1190" t="s">
        <v>194</v>
      </c>
      <c r="N152" s="1191">
        <f>$N$145*0.1</f>
        <v>3612270.3189449445</v>
      </c>
    </row>
    <row r="153" spans="13:14" ht="15">
      <c r="M153" s="1190"/>
      <c r="N153" s="1191"/>
    </row>
    <row r="154" spans="13:14" ht="15">
      <c r="M154" s="1192" t="s">
        <v>195</v>
      </c>
      <c r="N154" s="1193">
        <f>$N$145*0.1</f>
        <v>3612270.3189449445</v>
      </c>
    </row>
    <row r="156" spans="13:14">
      <c r="M156" t="s">
        <v>214</v>
      </c>
      <c r="N156" s="74">
        <f>SUM(N148:N154)</f>
        <v>36122703.189449444</v>
      </c>
    </row>
  </sheetData>
  <mergeCells count="29">
    <mergeCell ref="Q106:R106"/>
    <mergeCell ref="I3:W3"/>
    <mergeCell ref="O4:P4"/>
    <mergeCell ref="J5:P5"/>
    <mergeCell ref="I6:I8"/>
    <mergeCell ref="J6:J8"/>
    <mergeCell ref="K6:K8"/>
    <mergeCell ref="L6:L8"/>
    <mergeCell ref="M6:W6"/>
    <mergeCell ref="M7:W7"/>
    <mergeCell ref="M8:W8"/>
    <mergeCell ref="I24:I25"/>
    <mergeCell ref="J24:W24"/>
    <mergeCell ref="J25:W25"/>
    <mergeCell ref="I26:I27"/>
    <mergeCell ref="M26:N26"/>
    <mergeCell ref="S26:T26"/>
    <mergeCell ref="I9:I10"/>
    <mergeCell ref="M9:O9"/>
    <mergeCell ref="I22:W22"/>
    <mergeCell ref="N23:O23"/>
    <mergeCell ref="T23:U23"/>
    <mergeCell ref="M139:N139"/>
    <mergeCell ref="M106:N106"/>
    <mergeCell ref="E106:F106"/>
    <mergeCell ref="A106:B106"/>
    <mergeCell ref="A33:B33"/>
    <mergeCell ref="I106:J106"/>
    <mergeCell ref="D41:E41"/>
  </mergeCells>
  <pageMargins left="0.7" right="0.7" top="0.75" bottom="0.75" header="0.3" footer="0.3"/>
  <pageSetup orientation="portrait" r:id="rId1"/>
  <headerFooter>
    <oddFooter>&amp;L&amp;"Times New Roman"&amp;8NCR#10930598 - v3</oddFooter>
  </headerFooter>
  <cellWatches>
    <cellWatch r="N130"/>
  </cellWatche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2:U122"/>
  <sheetViews>
    <sheetView topLeftCell="A93" zoomScaleNormal="100" workbookViewId="0">
      <selection activeCell="D66" sqref="D66"/>
    </sheetView>
  </sheetViews>
  <sheetFormatPr baseColWidth="10" defaultColWidth="9" defaultRowHeight="14"/>
  <cols>
    <col min="1" max="1" width="68" customWidth="1"/>
    <col min="2" max="2" width="20.19921875" customWidth="1"/>
    <col min="4" max="4" width="29.19921875" customWidth="1"/>
    <col min="5" max="20" width="17.796875" customWidth="1"/>
    <col min="21" max="21" width="22.19921875" customWidth="1"/>
  </cols>
  <sheetData>
    <row r="2" spans="1:5" ht="19">
      <c r="A2" s="33" t="s">
        <v>87</v>
      </c>
    </row>
    <row r="3" spans="1:5" ht="19">
      <c r="A3" s="418" t="s">
        <v>88</v>
      </c>
      <c r="D3" s="1159" t="s">
        <v>89</v>
      </c>
      <c r="E3" s="1160"/>
    </row>
    <row r="4" spans="1:5">
      <c r="D4" s="389" t="s">
        <v>91</v>
      </c>
      <c r="E4" t="s">
        <v>92</v>
      </c>
    </row>
    <row r="5" spans="1:5" ht="16">
      <c r="A5" s="1449" t="s">
        <v>97</v>
      </c>
      <c r="B5" s="1450"/>
      <c r="D5" s="389" t="s">
        <v>98</v>
      </c>
      <c r="E5" t="s">
        <v>99</v>
      </c>
    </row>
    <row r="6" spans="1:5" ht="15">
      <c r="A6" s="1161" t="s">
        <v>102</v>
      </c>
      <c r="B6" s="1162">
        <f>ROUND(32605219*(2/12),0)</f>
        <v>5434203</v>
      </c>
      <c r="D6" s="389" t="s">
        <v>103</v>
      </c>
      <c r="E6" t="s">
        <v>104</v>
      </c>
    </row>
    <row r="7" spans="1:5" ht="15">
      <c r="A7" s="1161" t="s">
        <v>107</v>
      </c>
      <c r="B7" s="1162">
        <v>18741310</v>
      </c>
      <c r="D7" s="389" t="s">
        <v>108</v>
      </c>
      <c r="E7" t="s">
        <v>109</v>
      </c>
    </row>
    <row r="8" spans="1:5" ht="15">
      <c r="A8" s="417" t="s">
        <v>111</v>
      </c>
      <c r="B8" s="106">
        <f>SUM(B6:B7)</f>
        <v>24175513</v>
      </c>
    </row>
    <row r="9" spans="1:5" ht="15">
      <c r="A9" s="1163" t="s">
        <v>113</v>
      </c>
      <c r="B9" s="1164">
        <f>B8*0.8</f>
        <v>19340410.400000002</v>
      </c>
    </row>
    <row r="10" spans="1:5" ht="15">
      <c r="A10" s="388"/>
      <c r="B10" s="105"/>
    </row>
    <row r="11" spans="1:5" ht="15.75" customHeight="1">
      <c r="A11" s="384"/>
      <c r="B11" s="105"/>
    </row>
    <row r="13" spans="1:5" ht="16">
      <c r="A13" s="1449" t="s">
        <v>123</v>
      </c>
      <c r="B13" s="1450"/>
    </row>
    <row r="14" spans="1:5" ht="15">
      <c r="A14" s="1161"/>
    </row>
    <row r="15" spans="1:5" ht="15">
      <c r="A15" s="1165" t="s">
        <v>128</v>
      </c>
      <c r="B15" s="1166">
        <f>B8*0.1</f>
        <v>2417551.3000000003</v>
      </c>
    </row>
    <row r="16" spans="1:5" ht="15">
      <c r="A16" s="1161"/>
      <c r="B16" s="1162"/>
    </row>
    <row r="17" spans="1:2" ht="15">
      <c r="A17" s="2" t="s">
        <v>132</v>
      </c>
      <c r="B17" s="89">
        <v>24319922</v>
      </c>
    </row>
    <row r="18" spans="1:2" ht="16" thickBot="1">
      <c r="A18" s="1167" t="s">
        <v>136</v>
      </c>
      <c r="B18" s="1168">
        <f>(B17*0.8)-B9+(B17*0.1)</f>
        <v>2547519.3999999994</v>
      </c>
    </row>
    <row r="19" spans="1:2" ht="16" thickTop="1">
      <c r="A19" s="419" t="s">
        <v>138</v>
      </c>
      <c r="B19" s="420">
        <f>B18-B15</f>
        <v>129968.09999999916</v>
      </c>
    </row>
    <row r="22" spans="1:2" ht="15">
      <c r="A22" s="386"/>
      <c r="B22" s="387"/>
    </row>
    <row r="23" spans="1:2">
      <c r="B23" s="416"/>
    </row>
    <row r="24" spans="1:2" ht="16">
      <c r="A24" s="1449" t="s">
        <v>142</v>
      </c>
      <c r="B24" s="1450"/>
    </row>
    <row r="25" spans="1:2" ht="15">
      <c r="A25" s="1161"/>
      <c r="B25" s="385"/>
    </row>
    <row r="26" spans="1:2" ht="15">
      <c r="A26" s="1165" t="s">
        <v>146</v>
      </c>
      <c r="B26" s="1166">
        <f>B8*0.1</f>
        <v>2417551.3000000003</v>
      </c>
    </row>
    <row r="27" spans="1:2" ht="15">
      <c r="A27" s="1161"/>
      <c r="B27" s="1162"/>
    </row>
    <row r="28" spans="1:2" ht="15">
      <c r="A28" s="2" t="s">
        <v>151</v>
      </c>
      <c r="B28" s="89">
        <v>24322839</v>
      </c>
    </row>
    <row r="29" spans="1:2" ht="16" thickBot="1">
      <c r="A29" s="1167" t="s">
        <v>152</v>
      </c>
      <c r="B29" s="1168">
        <f>B28*0.9-B17*0.9+B28*0.1</f>
        <v>2434909.2000000007</v>
      </c>
    </row>
    <row r="30" spans="1:2" ht="16" thickTop="1">
      <c r="A30" s="419" t="s">
        <v>154</v>
      </c>
      <c r="B30" s="420">
        <f>B29-B26</f>
        <v>17357.900000000373</v>
      </c>
    </row>
    <row r="31" spans="1:2" ht="15">
      <c r="A31" s="421" t="s">
        <v>156</v>
      </c>
      <c r="B31" s="422">
        <v>147325</v>
      </c>
    </row>
    <row r="33" spans="1:2" ht="33" customHeight="1">
      <c r="A33" s="1617" t="s">
        <v>158</v>
      </c>
      <c r="B33" s="1617"/>
    </row>
    <row r="37" spans="1:2" ht="19">
      <c r="A37" s="418" t="s">
        <v>161</v>
      </c>
    </row>
    <row r="39" spans="1:2" ht="16">
      <c r="A39" s="1449" t="s">
        <v>163</v>
      </c>
      <c r="B39" s="1450"/>
    </row>
    <row r="41" spans="1:2" ht="15">
      <c r="A41" s="1185" t="s">
        <v>164</v>
      </c>
      <c r="B41" s="106">
        <f>B8+B19+B31</f>
        <v>24452806.099999998</v>
      </c>
    </row>
    <row r="43" spans="1:2" ht="15">
      <c r="A43" s="2" t="s">
        <v>165</v>
      </c>
      <c r="B43" s="1186">
        <f ca="1">B6+('FNSS SUMMARY'!G17*7/12)</f>
        <v>34650914.545000002</v>
      </c>
    </row>
    <row r="44" spans="1:2" ht="15">
      <c r="A44" s="419" t="s">
        <v>166</v>
      </c>
      <c r="B44" s="420">
        <f ca="1">B43-B41</f>
        <v>10198108.445000004</v>
      </c>
    </row>
    <row r="48" spans="1:2">
      <c r="A48" s="508"/>
      <c r="B48" s="508"/>
    </row>
    <row r="50" spans="1:6" ht="19">
      <c r="A50" s="418" t="s">
        <v>167</v>
      </c>
    </row>
    <row r="52" spans="1:6" ht="16">
      <c r="A52" s="1449" t="s">
        <v>168</v>
      </c>
      <c r="B52" s="1450"/>
    </row>
    <row r="53" spans="1:6" ht="15">
      <c r="A53" s="1161" t="s">
        <v>169</v>
      </c>
      <c r="B53" s="1162">
        <f>$F$86*(5/12)</f>
        <v>13775153.75</v>
      </c>
    </row>
    <row r="54" spans="1:6" ht="15">
      <c r="A54" s="1161" t="s">
        <v>170</v>
      </c>
      <c r="B54" s="1162">
        <f>$F$87*(7/12)</f>
        <v>19598588.333333336</v>
      </c>
      <c r="E54" t="s">
        <v>67</v>
      </c>
      <c r="F54" s="37">
        <v>9714156</v>
      </c>
    </row>
    <row r="55" spans="1:6" ht="15">
      <c r="A55" s="417" t="s">
        <v>126</v>
      </c>
      <c r="B55" s="106">
        <f>SUM(B53:B54)</f>
        <v>33373742.083333336</v>
      </c>
      <c r="E55" t="s">
        <v>68</v>
      </c>
      <c r="F55" s="37">
        <v>16613127</v>
      </c>
    </row>
    <row r="56" spans="1:6" ht="15">
      <c r="A56" s="1163" t="s">
        <v>129</v>
      </c>
      <c r="B56" s="1164">
        <f>B55*0.3</f>
        <v>10012122.625</v>
      </c>
      <c r="E56" t="s">
        <v>215</v>
      </c>
      <c r="F56" s="37">
        <v>3238052</v>
      </c>
    </row>
    <row r="57" spans="1:6">
      <c r="E57" t="s">
        <v>216</v>
      </c>
      <c r="F57" s="37">
        <v>3238052</v>
      </c>
    </row>
    <row r="58" spans="1:6" ht="15">
      <c r="A58" s="2" t="s">
        <v>133</v>
      </c>
      <c r="B58" s="105">
        <f>$F$88</f>
        <v>33593091</v>
      </c>
      <c r="F58" s="88">
        <f>SUM(F54:F57)</f>
        <v>32803387</v>
      </c>
    </row>
    <row r="59" spans="1:6" ht="16" thickBot="1">
      <c r="A59" s="1167" t="s">
        <v>137</v>
      </c>
      <c r="B59" s="1168">
        <f>B58*0.3</f>
        <v>10077927.299999999</v>
      </c>
    </row>
    <row r="60" spans="1:6" ht="16" thickTop="1">
      <c r="A60" s="419" t="s">
        <v>138</v>
      </c>
      <c r="B60" s="420">
        <f>B59-B56</f>
        <v>65804.674999998882</v>
      </c>
    </row>
    <row r="62" spans="1:6">
      <c r="B62" s="74"/>
    </row>
    <row r="63" spans="1:6" ht="16">
      <c r="A63" s="1449" t="s">
        <v>140</v>
      </c>
      <c r="B63" s="1450"/>
    </row>
    <row r="64" spans="1:6" ht="15">
      <c r="A64" s="1161"/>
    </row>
    <row r="65" spans="1:2" ht="15">
      <c r="A65" s="1165" t="s">
        <v>143</v>
      </c>
      <c r="B65" s="1166">
        <f>$B$55*0.5</f>
        <v>16686871.041666668</v>
      </c>
    </row>
    <row r="66" spans="1:2" ht="15">
      <c r="A66" s="1161"/>
      <c r="B66" s="1162"/>
    </row>
    <row r="67" spans="1:2" ht="15">
      <c r="A67" s="2" t="s">
        <v>147</v>
      </c>
      <c r="B67" s="89">
        <f>$F$88</f>
        <v>33593091</v>
      </c>
    </row>
    <row r="68" spans="1:2" ht="16" thickBot="1">
      <c r="A68" s="1167" t="s">
        <v>150</v>
      </c>
      <c r="B68" s="1168">
        <f>(B67*0.8)-(B55*0.8)+B67*0.5</f>
        <v>16972024.633333329</v>
      </c>
    </row>
    <row r="69" spans="1:2" ht="16" thickTop="1">
      <c r="A69" s="419" t="s">
        <v>138</v>
      </c>
      <c r="B69" s="420">
        <f>B68-B65</f>
        <v>285153.5916666612</v>
      </c>
    </row>
    <row r="73" spans="1:2" ht="16">
      <c r="A73" s="1449" t="s">
        <v>157</v>
      </c>
      <c r="B73" s="1450"/>
    </row>
    <row r="74" spans="1:2" ht="15">
      <c r="A74" s="1161"/>
    </row>
    <row r="75" spans="1:2" ht="15">
      <c r="A75" s="1165" t="s">
        <v>160</v>
      </c>
      <c r="B75" s="1166">
        <f>$B$55*0.1</f>
        <v>3337374.208333334</v>
      </c>
    </row>
    <row r="76" spans="1:2" ht="15">
      <c r="A76" s="1161"/>
      <c r="B76" s="1162"/>
    </row>
    <row r="77" spans="1:2" ht="15">
      <c r="A77" s="2" t="s">
        <v>132</v>
      </c>
      <c r="B77" s="89">
        <f ca="1">'FNSS SUMMARY'!$G$17</f>
        <v>50085791.219999999</v>
      </c>
    </row>
    <row r="78" spans="1:2" ht="16" thickBot="1">
      <c r="A78" s="1167" t="s">
        <v>162</v>
      </c>
      <c r="B78" s="1168">
        <f ca="1">(B77*0.9)-(B67*0.9)+(B77*0.1)</f>
        <v>19852009.319999997</v>
      </c>
    </row>
    <row r="79" spans="1:2" ht="16" thickTop="1">
      <c r="A79" s="419" t="s">
        <v>138</v>
      </c>
      <c r="B79" s="420">
        <f ca="1">B78-B75</f>
        <v>16514635.111666663</v>
      </c>
    </row>
    <row r="81" spans="4:21">
      <c r="D81" s="533" t="s">
        <v>0</v>
      </c>
      <c r="E81" s="534"/>
      <c r="F81" s="534"/>
      <c r="G81" s="534"/>
      <c r="H81" s="534"/>
    </row>
    <row r="82" spans="4:21">
      <c r="D82" s="534"/>
      <c r="E82" s="534"/>
      <c r="F82" s="534"/>
      <c r="G82" s="534"/>
      <c r="H82" s="534"/>
    </row>
    <row r="83" spans="4:21">
      <c r="D83" s="534"/>
      <c r="E83" s="535" t="s">
        <v>1</v>
      </c>
      <c r="F83" s="536" t="s">
        <v>2</v>
      </c>
      <c r="G83" s="536" t="s">
        <v>3</v>
      </c>
      <c r="H83" s="534"/>
    </row>
    <row r="84" spans="4:21">
      <c r="D84" s="534"/>
      <c r="E84" s="535"/>
      <c r="F84" s="536"/>
      <c r="G84" s="536"/>
      <c r="H84" s="534"/>
    </row>
    <row r="85" spans="4:21">
      <c r="D85" s="537" t="s">
        <v>4</v>
      </c>
      <c r="E85" s="538" t="s">
        <v>5</v>
      </c>
      <c r="F85" s="539">
        <v>32380519</v>
      </c>
      <c r="G85" s="534">
        <v>10118384</v>
      </c>
      <c r="H85" s="534"/>
    </row>
    <row r="86" spans="4:21">
      <c r="D86" s="537" t="s">
        <v>6</v>
      </c>
      <c r="E86" s="538" t="s">
        <v>5</v>
      </c>
      <c r="F86" s="539">
        <v>33060369</v>
      </c>
      <c r="G86" s="534">
        <v>10431491</v>
      </c>
      <c r="H86" s="534" t="s">
        <v>172</v>
      </c>
    </row>
    <row r="87" spans="4:21">
      <c r="D87" s="537" t="s">
        <v>7</v>
      </c>
      <c r="E87" s="540" t="s">
        <v>8</v>
      </c>
      <c r="F87" s="539">
        <v>33597580</v>
      </c>
      <c r="G87" s="534">
        <v>10476723</v>
      </c>
      <c r="H87" s="534"/>
    </row>
    <row r="88" spans="4:21">
      <c r="D88" s="537" t="s">
        <v>9</v>
      </c>
      <c r="E88" s="540" t="s">
        <v>8</v>
      </c>
      <c r="F88" s="539">
        <v>33593091</v>
      </c>
      <c r="G88" s="534">
        <v>10179260</v>
      </c>
      <c r="H88" s="534"/>
    </row>
    <row r="89" spans="4:21">
      <c r="D89" s="537" t="s">
        <v>12</v>
      </c>
      <c r="E89" s="540" t="s">
        <v>8</v>
      </c>
      <c r="F89" s="539">
        <f ca="1">'FNSS SUMMARY'!G17</f>
        <v>50085791.219999999</v>
      </c>
      <c r="G89" s="534">
        <v>10930598</v>
      </c>
      <c r="H89" s="534"/>
    </row>
    <row r="91" spans="4:21">
      <c r="D91" s="1623" t="s">
        <v>90</v>
      </c>
      <c r="E91" s="1623"/>
      <c r="F91" s="1623"/>
      <c r="G91" s="1623"/>
      <c r="H91" s="1623"/>
      <c r="I91" s="1623"/>
      <c r="J91" s="1623"/>
      <c r="K91" s="1623"/>
      <c r="L91" s="1623"/>
      <c r="M91" s="1623"/>
      <c r="N91" s="1623"/>
      <c r="O91" s="1623"/>
      <c r="P91" s="1623"/>
      <c r="Q91" s="1623"/>
      <c r="R91" s="1623"/>
      <c r="S91" s="509"/>
    </row>
    <row r="92" spans="4:21">
      <c r="D92" s="517" t="s">
        <v>93</v>
      </c>
      <c r="E92" s="518">
        <v>43207</v>
      </c>
      <c r="F92" s="519">
        <v>43237</v>
      </c>
      <c r="G92" s="519">
        <v>43268</v>
      </c>
      <c r="H92" s="519">
        <v>43298</v>
      </c>
      <c r="I92" s="519"/>
      <c r="J92" s="1624">
        <v>43329</v>
      </c>
      <c r="K92" s="1624"/>
      <c r="L92" s="519">
        <v>43360</v>
      </c>
      <c r="M92" s="519">
        <v>43390</v>
      </c>
      <c r="N92" s="519">
        <v>43421</v>
      </c>
      <c r="O92" s="519">
        <v>43451</v>
      </c>
      <c r="P92" s="518">
        <v>43118</v>
      </c>
      <c r="Q92" s="519">
        <v>43149</v>
      </c>
      <c r="R92" s="519">
        <v>43177</v>
      </c>
      <c r="S92" s="519" t="s">
        <v>94</v>
      </c>
      <c r="T92" s="520" t="s">
        <v>95</v>
      </c>
      <c r="U92" s="520" t="s">
        <v>96</v>
      </c>
    </row>
    <row r="93" spans="4:21" ht="15">
      <c r="D93" s="521" t="s">
        <v>100</v>
      </c>
      <c r="E93" s="1625" t="s">
        <v>101</v>
      </c>
      <c r="F93" s="1625"/>
      <c r="G93" s="1625"/>
      <c r="H93" s="1625"/>
      <c r="I93" s="1625"/>
      <c r="J93" s="1625"/>
      <c r="K93" s="1625"/>
      <c r="L93" s="522"/>
      <c r="M93" s="522"/>
      <c r="N93" s="522"/>
      <c r="O93" s="522"/>
      <c r="P93" s="522"/>
      <c r="Q93" s="522"/>
      <c r="R93" s="523"/>
      <c r="S93" s="514"/>
      <c r="T93" s="511"/>
      <c r="U93" s="511"/>
    </row>
    <row r="94" spans="4:21">
      <c r="D94" s="1626" t="s">
        <v>105</v>
      </c>
      <c r="E94" s="1627"/>
      <c r="F94" s="1627"/>
      <c r="G94" s="1627"/>
      <c r="H94" s="1628" t="s">
        <v>106</v>
      </c>
      <c r="I94" s="1628"/>
      <c r="J94" s="1628"/>
      <c r="K94" s="1628"/>
      <c r="L94" s="1628"/>
      <c r="M94" s="1628"/>
      <c r="N94" s="1628"/>
      <c r="O94" s="1628"/>
      <c r="P94" s="1628"/>
      <c r="Q94" s="1628"/>
      <c r="R94" s="1628"/>
      <c r="S94" s="512"/>
      <c r="T94" s="513">
        <v>5434203</v>
      </c>
      <c r="U94" s="511"/>
    </row>
    <row r="95" spans="4:21">
      <c r="D95" s="1626"/>
      <c r="E95" s="1627"/>
      <c r="F95" s="1627"/>
      <c r="G95" s="1627"/>
      <c r="H95" s="1628" t="s">
        <v>110</v>
      </c>
      <c r="I95" s="1628"/>
      <c r="J95" s="1628"/>
      <c r="K95" s="1628"/>
      <c r="L95" s="1628"/>
      <c r="M95" s="1628"/>
      <c r="N95" s="1628"/>
      <c r="O95" s="1628"/>
      <c r="P95" s="1628"/>
      <c r="Q95" s="1628"/>
      <c r="R95" s="1628"/>
      <c r="S95" s="524"/>
      <c r="T95" s="513"/>
      <c r="U95" s="511"/>
    </row>
    <row r="96" spans="4:21">
      <c r="D96" s="1626"/>
      <c r="E96" s="1627"/>
      <c r="F96" s="1627"/>
      <c r="G96" s="1627"/>
      <c r="H96" s="1628" t="s">
        <v>112</v>
      </c>
      <c r="I96" s="1628"/>
      <c r="J96" s="1628"/>
      <c r="K96" s="1628"/>
      <c r="L96" s="1628"/>
      <c r="M96" s="1628"/>
      <c r="N96" s="1628"/>
      <c r="O96" s="1628"/>
      <c r="P96" s="1628"/>
      <c r="Q96" s="1628"/>
      <c r="R96" s="1628"/>
      <c r="S96" s="512"/>
      <c r="T96" s="513">
        <v>18741310</v>
      </c>
      <c r="U96" s="511"/>
    </row>
    <row r="97" spans="4:21" ht="15">
      <c r="D97" s="1619" t="s">
        <v>115</v>
      </c>
      <c r="E97" s="522"/>
      <c r="F97" s="522"/>
      <c r="G97" s="522"/>
      <c r="H97" s="1620" t="s">
        <v>116</v>
      </c>
      <c r="I97" s="1620"/>
      <c r="J97" s="1620"/>
      <c r="K97" s="523"/>
      <c r="L97" s="523"/>
      <c r="M97" s="523"/>
      <c r="N97" s="525" t="s">
        <v>117</v>
      </c>
      <c r="O97" s="523"/>
      <c r="P97" s="523"/>
      <c r="Q97" s="525" t="s">
        <v>118</v>
      </c>
      <c r="R97" s="523"/>
      <c r="S97" s="514"/>
      <c r="T97" s="513"/>
      <c r="U97" s="511"/>
    </row>
    <row r="98" spans="4:21">
      <c r="D98" s="1619"/>
      <c r="E98" s="526"/>
      <c r="F98" s="526"/>
      <c r="G98" s="526"/>
      <c r="H98" s="527">
        <v>19340410.400000002</v>
      </c>
      <c r="I98" s="526"/>
      <c r="J98" s="526"/>
      <c r="K98" s="526"/>
      <c r="L98" s="526"/>
      <c r="M98" s="526"/>
      <c r="N98" s="527">
        <v>2417551.3000000003</v>
      </c>
      <c r="O98" s="526"/>
      <c r="P98" s="526"/>
      <c r="Q98" s="527">
        <v>2417551.3000000003</v>
      </c>
      <c r="R98" s="526"/>
      <c r="S98" s="511"/>
      <c r="T98" s="528">
        <v>24175513</v>
      </c>
      <c r="U98" s="511"/>
    </row>
    <row r="99" spans="4:21" ht="15">
      <c r="D99" s="529" t="s">
        <v>120</v>
      </c>
      <c r="E99" s="526"/>
      <c r="F99" s="526"/>
      <c r="G99" s="526"/>
      <c r="H99" s="526"/>
      <c r="I99" s="526"/>
      <c r="J99" s="526"/>
      <c r="K99" s="526"/>
      <c r="L99" s="526"/>
      <c r="M99" s="526"/>
      <c r="N99" s="526"/>
      <c r="O99" s="526"/>
      <c r="P99" s="526"/>
      <c r="Q99" s="526"/>
      <c r="R99" s="526"/>
      <c r="S99" s="511"/>
      <c r="T99" s="511"/>
      <c r="U99" s="511"/>
    </row>
    <row r="100" spans="4:21" ht="15">
      <c r="D100" s="526" t="s">
        <v>122</v>
      </c>
      <c r="E100" s="526"/>
      <c r="F100" s="526"/>
      <c r="G100" s="526"/>
      <c r="H100" s="526"/>
      <c r="I100" s="526"/>
      <c r="J100" s="526"/>
      <c r="K100" s="526"/>
      <c r="L100" s="526"/>
      <c r="M100" s="526"/>
      <c r="N100" s="527">
        <v>129968.1</v>
      </c>
      <c r="O100" s="526"/>
      <c r="P100" s="526"/>
      <c r="Q100" s="526"/>
      <c r="R100" s="526"/>
      <c r="S100" s="511"/>
      <c r="T100" s="513">
        <v>24319922</v>
      </c>
      <c r="U100" s="511"/>
    </row>
    <row r="101" spans="4:21" ht="15">
      <c r="D101" s="526" t="s">
        <v>125</v>
      </c>
      <c r="E101" s="526"/>
      <c r="F101" s="526"/>
      <c r="G101" s="526"/>
      <c r="H101" s="526"/>
      <c r="I101" s="526"/>
      <c r="J101" s="526"/>
      <c r="K101" s="526"/>
      <c r="L101" s="526"/>
      <c r="M101" s="526"/>
      <c r="N101" s="526"/>
      <c r="O101" s="526"/>
      <c r="P101" s="526"/>
      <c r="Q101" s="530">
        <v>147325</v>
      </c>
      <c r="R101" s="526"/>
      <c r="S101" s="511"/>
      <c r="T101" s="513">
        <v>24322839</v>
      </c>
      <c r="U101" s="511"/>
    </row>
    <row r="102" spans="4:21" ht="30">
      <c r="D102" s="526" t="s">
        <v>127</v>
      </c>
      <c r="E102" s="526"/>
      <c r="F102" s="526"/>
      <c r="G102" s="526"/>
      <c r="H102" s="526"/>
      <c r="I102" s="526"/>
      <c r="J102" s="526"/>
      <c r="K102" s="526"/>
      <c r="L102" s="526"/>
      <c r="M102" s="526"/>
      <c r="N102" s="526"/>
      <c r="O102" s="526"/>
      <c r="P102" s="526"/>
      <c r="Q102" s="526"/>
      <c r="R102" s="526"/>
      <c r="S102" s="511"/>
      <c r="T102" s="531">
        <v>24452806.100000005</v>
      </c>
      <c r="U102" s="511"/>
    </row>
    <row r="103" spans="4:21">
      <c r="D103" s="526"/>
      <c r="E103" s="526"/>
      <c r="F103" s="526"/>
      <c r="G103" s="526"/>
      <c r="H103" s="526"/>
      <c r="I103" s="526"/>
      <c r="J103" s="526"/>
      <c r="K103" s="526"/>
      <c r="L103" s="526"/>
      <c r="M103" s="526"/>
      <c r="N103" s="526"/>
      <c r="O103" s="526"/>
      <c r="P103" s="526"/>
      <c r="Q103" s="526"/>
      <c r="R103" s="526"/>
      <c r="S103" s="511"/>
      <c r="T103" s="511"/>
      <c r="U103" s="511"/>
    </row>
    <row r="104" spans="4:21" ht="15">
      <c r="D104" s="526" t="s">
        <v>130</v>
      </c>
      <c r="E104" s="526"/>
      <c r="F104" s="526"/>
      <c r="G104" s="526"/>
      <c r="H104" s="526"/>
      <c r="I104" s="526"/>
      <c r="J104" s="526"/>
      <c r="K104" s="526"/>
      <c r="L104" s="526"/>
      <c r="M104" s="526"/>
      <c r="N104" s="526"/>
      <c r="O104" s="526"/>
      <c r="P104" s="526"/>
      <c r="Q104" s="526"/>
      <c r="R104" s="526"/>
      <c r="S104" s="532">
        <v>235112.73333332688</v>
      </c>
      <c r="T104" s="513">
        <v>24687918.833333332</v>
      </c>
      <c r="U104" s="511" t="s">
        <v>131</v>
      </c>
    </row>
    <row r="105" spans="4:21" ht="15">
      <c r="D105" s="526" t="s">
        <v>134</v>
      </c>
      <c r="E105" s="526"/>
      <c r="F105" s="526"/>
      <c r="G105" s="526"/>
      <c r="H105" s="526"/>
      <c r="I105" s="526"/>
      <c r="J105" s="526"/>
      <c r="K105" s="526"/>
      <c r="L105" s="526"/>
      <c r="M105" s="526"/>
      <c r="N105" s="526"/>
      <c r="O105" s="526"/>
      <c r="P105" s="526"/>
      <c r="Q105" s="526"/>
      <c r="R105" s="526"/>
      <c r="S105" s="532">
        <v>31499.416666667908</v>
      </c>
      <c r="T105" s="513">
        <v>24719418.25</v>
      </c>
      <c r="U105" s="511" t="s">
        <v>135</v>
      </c>
    </row>
    <row r="106" spans="4:21">
      <c r="D106" s="526"/>
      <c r="E106" s="526"/>
      <c r="F106" s="526"/>
      <c r="G106" s="526"/>
      <c r="H106" s="526"/>
      <c r="I106" s="526"/>
      <c r="J106" s="526"/>
      <c r="K106" s="526"/>
      <c r="L106" s="526"/>
      <c r="M106" s="526"/>
      <c r="N106" s="526"/>
      <c r="O106" s="526"/>
      <c r="P106" s="526"/>
      <c r="Q106" s="526"/>
      <c r="R106" s="526"/>
      <c r="S106" s="511"/>
      <c r="T106" s="511"/>
      <c r="U106" s="511"/>
    </row>
    <row r="107" spans="4:21" ht="30">
      <c r="D107" s="529" t="s">
        <v>139</v>
      </c>
      <c r="E107" s="526"/>
      <c r="F107" s="526"/>
      <c r="G107" s="526"/>
      <c r="H107" s="526"/>
      <c r="I107" s="526"/>
      <c r="J107" s="526"/>
      <c r="K107" s="526"/>
      <c r="L107" s="526"/>
      <c r="M107" s="526"/>
      <c r="N107" s="526"/>
      <c r="O107" s="526"/>
      <c r="P107" s="526"/>
      <c r="Q107" s="526"/>
      <c r="R107" s="526"/>
      <c r="S107" s="511"/>
      <c r="T107" s="531">
        <v>24719418.25</v>
      </c>
      <c r="U107" s="511"/>
    </row>
    <row r="108" spans="4:21">
      <c r="D108" s="72"/>
      <c r="E108" s="72"/>
      <c r="F108" s="72"/>
      <c r="G108" s="72"/>
      <c r="H108" s="72"/>
      <c r="I108" s="72"/>
      <c r="J108" s="72"/>
      <c r="K108" s="72"/>
      <c r="L108" s="72"/>
      <c r="M108" s="72"/>
      <c r="N108" s="72"/>
      <c r="O108" s="72"/>
      <c r="P108" s="72"/>
      <c r="Q108" s="72"/>
      <c r="R108" s="72"/>
    </row>
    <row r="109" spans="4:21">
      <c r="D109" s="72"/>
      <c r="E109" s="72"/>
      <c r="F109" s="72"/>
      <c r="G109" s="72"/>
      <c r="H109" s="72"/>
      <c r="I109" s="72"/>
      <c r="J109" s="72"/>
      <c r="K109" s="72"/>
      <c r="L109" s="72"/>
      <c r="M109" s="72"/>
      <c r="N109" s="72"/>
      <c r="O109" s="72"/>
      <c r="P109" s="72"/>
      <c r="Q109" s="72"/>
      <c r="R109" s="72"/>
    </row>
    <row r="110" spans="4:21">
      <c r="D110" s="1621" t="s">
        <v>141</v>
      </c>
      <c r="E110" s="1621"/>
      <c r="F110" s="1621"/>
      <c r="G110" s="1621"/>
      <c r="H110" s="1621"/>
      <c r="I110" s="1621"/>
      <c r="J110" s="1621"/>
      <c r="K110" s="1621"/>
      <c r="L110" s="1621"/>
      <c r="M110" s="1621"/>
      <c r="N110" s="1621"/>
      <c r="O110" s="1621"/>
      <c r="P110" s="1621"/>
      <c r="Q110" s="1621"/>
      <c r="R110" s="1621"/>
      <c r="S110" s="509"/>
    </row>
    <row r="111" spans="4:21" ht="15">
      <c r="D111" s="1169" t="s">
        <v>93</v>
      </c>
      <c r="E111" s="1170">
        <v>43208</v>
      </c>
      <c r="F111" s="1170">
        <v>43238</v>
      </c>
      <c r="G111" s="1170">
        <v>43269</v>
      </c>
      <c r="H111" s="1170">
        <v>43299</v>
      </c>
      <c r="I111" s="1622">
        <v>43330</v>
      </c>
      <c r="J111" s="1622"/>
      <c r="K111" s="1170">
        <v>43361</v>
      </c>
      <c r="L111" s="1170">
        <v>43391</v>
      </c>
      <c r="M111" s="1170">
        <v>43422</v>
      </c>
      <c r="N111" s="1170">
        <v>43452</v>
      </c>
      <c r="O111" s="1622">
        <v>43119</v>
      </c>
      <c r="P111" s="1622"/>
      <c r="Q111" s="1170">
        <v>43150</v>
      </c>
      <c r="R111" s="1171">
        <v>43178</v>
      </c>
      <c r="S111" s="510"/>
      <c r="T111" s="520" t="s">
        <v>95</v>
      </c>
      <c r="U111" s="520" t="s">
        <v>96</v>
      </c>
    </row>
    <row r="112" spans="4:21" ht="15">
      <c r="D112" s="1629" t="s">
        <v>105</v>
      </c>
      <c r="E112" s="1630" t="s">
        <v>144</v>
      </c>
      <c r="F112" s="1630"/>
      <c r="G112" s="1630"/>
      <c r="H112" s="1630"/>
      <c r="I112" s="1630"/>
      <c r="J112" s="1630"/>
      <c r="K112" s="1630"/>
      <c r="L112" s="1630"/>
      <c r="M112" s="1630"/>
      <c r="N112" s="1630"/>
      <c r="O112" s="1630"/>
      <c r="P112" s="1630"/>
      <c r="Q112" s="1630"/>
      <c r="R112" s="1631"/>
      <c r="S112" s="512"/>
      <c r="T112" s="1162">
        <f>$F$86*(5/12)</f>
        <v>13775153.75</v>
      </c>
      <c r="U112" s="511"/>
    </row>
    <row r="113" spans="4:21" ht="15">
      <c r="D113" s="1629"/>
      <c r="E113" s="1630" t="s">
        <v>145</v>
      </c>
      <c r="F113" s="1630"/>
      <c r="G113" s="1630"/>
      <c r="H113" s="1630"/>
      <c r="I113" s="1630"/>
      <c r="J113" s="1630"/>
      <c r="K113" s="1630"/>
      <c r="L113" s="1630"/>
      <c r="M113" s="1630"/>
      <c r="N113" s="1630"/>
      <c r="O113" s="1630"/>
      <c r="P113" s="1630"/>
      <c r="Q113" s="1630"/>
      <c r="R113" s="1631"/>
      <c r="S113" s="512"/>
      <c r="T113" s="1162">
        <f>$F$87*(7/12)</f>
        <v>19598588.333333336</v>
      </c>
      <c r="U113" s="511"/>
    </row>
    <row r="114" spans="4:21" ht="15">
      <c r="D114" s="1632" t="s">
        <v>115</v>
      </c>
      <c r="E114" s="1172" t="s">
        <v>148</v>
      </c>
      <c r="F114" s="1173"/>
      <c r="G114" s="1173"/>
      <c r="H114" s="1633" t="s">
        <v>149</v>
      </c>
      <c r="I114" s="1633"/>
      <c r="J114" s="1174"/>
      <c r="K114" s="1174"/>
      <c r="L114" s="1174"/>
      <c r="M114" s="1172" t="s">
        <v>117</v>
      </c>
      <c r="N114" s="1618"/>
      <c r="O114" s="1618"/>
      <c r="P114" s="1174"/>
      <c r="Q114" s="1172" t="s">
        <v>118</v>
      </c>
      <c r="R114" s="1175"/>
      <c r="S114" s="514"/>
      <c r="T114" s="511"/>
      <c r="U114" s="511"/>
    </row>
    <row r="115" spans="4:21">
      <c r="D115" s="1632"/>
      <c r="E115" s="1176">
        <f>$T$115*0.3</f>
        <v>10012122.625</v>
      </c>
      <c r="F115" s="1177"/>
      <c r="G115" s="1177"/>
      <c r="H115" s="1178">
        <f>$T$115*0.5</f>
        <v>16686871.041666668</v>
      </c>
      <c r="I115" s="1177"/>
      <c r="J115" s="1177"/>
      <c r="K115" s="1177"/>
      <c r="L115" s="1177"/>
      <c r="M115" s="1178">
        <f>$T$115*0.1</f>
        <v>3337374.208333334</v>
      </c>
      <c r="N115" s="1177"/>
      <c r="O115" s="1177"/>
      <c r="P115" s="1177"/>
      <c r="Q115" s="1178">
        <f>$T$115*0.1</f>
        <v>3337374.208333334</v>
      </c>
      <c r="R115" s="1179"/>
      <c r="S115" s="511"/>
      <c r="T115" s="515">
        <f>SUM(T112:T113)</f>
        <v>33373742.083333336</v>
      </c>
      <c r="U115" s="511"/>
    </row>
    <row r="116" spans="4:21" ht="15">
      <c r="D116" s="1177" t="s">
        <v>120</v>
      </c>
      <c r="E116" s="1180"/>
      <c r="F116" s="1180"/>
      <c r="G116" s="1180"/>
      <c r="H116" s="1180"/>
      <c r="I116" s="1180"/>
      <c r="J116" s="1180"/>
      <c r="K116" s="1180"/>
      <c r="L116" s="1180"/>
      <c r="M116" s="1180"/>
      <c r="N116" s="1180"/>
      <c r="O116" s="1180"/>
      <c r="P116" s="1180"/>
      <c r="Q116" s="1180"/>
      <c r="R116" s="1181"/>
      <c r="S116" s="511"/>
      <c r="T116" s="511"/>
      <c r="U116" s="511"/>
    </row>
    <row r="117" spans="4:21" ht="15">
      <c r="D117" s="1180" t="s">
        <v>130</v>
      </c>
      <c r="E117" s="1180"/>
      <c r="F117" s="1180"/>
      <c r="G117" s="1180"/>
      <c r="H117" s="1180"/>
      <c r="I117" s="1180"/>
      <c r="J117" s="1180"/>
      <c r="K117" s="1180"/>
      <c r="L117" s="1180"/>
      <c r="M117" s="1180"/>
      <c r="N117" s="1180"/>
      <c r="O117" s="1180"/>
      <c r="P117" s="1180"/>
      <c r="Q117" s="1180"/>
      <c r="R117" s="1181"/>
      <c r="S117" s="511"/>
      <c r="T117" s="516">
        <v>33006370.000000004</v>
      </c>
      <c r="U117" s="511" t="s">
        <v>153</v>
      </c>
    </row>
    <row r="118" spans="4:21" ht="15">
      <c r="D118" s="1180" t="s">
        <v>155</v>
      </c>
      <c r="E118" s="1180"/>
      <c r="F118" s="1180"/>
      <c r="G118" s="1182">
        <v>187755.3</v>
      </c>
      <c r="H118" s="1180"/>
      <c r="I118" s="1180"/>
      <c r="J118" s="1182">
        <v>312925.5</v>
      </c>
      <c r="K118" s="1182"/>
      <c r="L118" s="1182"/>
      <c r="M118" s="1182">
        <v>62585.100000000006</v>
      </c>
      <c r="N118" s="1182"/>
      <c r="O118" s="1182"/>
      <c r="P118" s="1182"/>
      <c r="Q118" s="1182">
        <v>62585.100000000006</v>
      </c>
      <c r="R118" s="1181"/>
      <c r="S118" s="511"/>
      <c r="T118" s="511"/>
      <c r="U118" s="511"/>
    </row>
    <row r="119" spans="4:21" ht="15">
      <c r="D119" s="1180" t="s">
        <v>134</v>
      </c>
      <c r="E119" s="1180"/>
      <c r="F119" s="1180"/>
      <c r="G119" s="1182"/>
      <c r="H119" s="1182"/>
      <c r="I119" s="1182"/>
      <c r="J119" s="1182">
        <v>290095.19999999704</v>
      </c>
      <c r="K119" s="1182"/>
      <c r="L119" s="1182"/>
      <c r="M119" s="1182">
        <v>36261.89999999963</v>
      </c>
      <c r="N119" s="1182"/>
      <c r="O119" s="1182"/>
      <c r="P119" s="1182"/>
      <c r="Q119" s="1182">
        <v>36261.89999999963</v>
      </c>
      <c r="R119" s="1181"/>
      <c r="S119" s="511"/>
      <c r="T119" s="516">
        <v>33368989</v>
      </c>
      <c r="U119" s="511"/>
    </row>
    <row r="120" spans="4:21">
      <c r="D120" s="1180"/>
      <c r="E120" s="1180"/>
      <c r="F120" s="1180"/>
      <c r="G120" s="1180"/>
      <c r="H120" s="1180"/>
      <c r="I120" s="1180"/>
      <c r="J120" s="1180"/>
      <c r="K120" s="1180"/>
      <c r="L120" s="1180"/>
      <c r="M120" s="1182"/>
      <c r="N120" s="1180"/>
      <c r="O120" s="1180"/>
      <c r="P120" s="1180"/>
      <c r="Q120" s="1183"/>
      <c r="R120" s="1181"/>
      <c r="S120" s="511"/>
      <c r="T120" s="511"/>
      <c r="U120" s="511"/>
    </row>
    <row r="121" spans="4:21" ht="15">
      <c r="D121" s="1180" t="s">
        <v>159</v>
      </c>
      <c r="E121" s="1180"/>
      <c r="F121" s="1180"/>
      <c r="G121" s="1180"/>
      <c r="H121" s="1180"/>
      <c r="I121" s="1184"/>
      <c r="J121" s="1180"/>
      <c r="K121" s="1180"/>
      <c r="L121" s="1180"/>
      <c r="M121" s="1180"/>
      <c r="N121" s="1180"/>
      <c r="O121" s="1180"/>
      <c r="P121" s="1180"/>
      <c r="Q121" s="1180"/>
      <c r="R121" s="1181"/>
      <c r="S121" s="511"/>
      <c r="T121" s="511"/>
      <c r="U121" s="511"/>
    </row>
    <row r="122" spans="4:21">
      <c r="T122" s="19"/>
    </row>
  </sheetData>
  <mergeCells count="22">
    <mergeCell ref="A33:B33"/>
    <mergeCell ref="D91:R91"/>
    <mergeCell ref="J92:K92"/>
    <mergeCell ref="E93:K93"/>
    <mergeCell ref="D94:D96"/>
    <mergeCell ref="E94:E96"/>
    <mergeCell ref="F94:F96"/>
    <mergeCell ref="G94:G96"/>
    <mergeCell ref="H94:R94"/>
    <mergeCell ref="H95:R95"/>
    <mergeCell ref="H96:R96"/>
    <mergeCell ref="D97:D98"/>
    <mergeCell ref="H97:J97"/>
    <mergeCell ref="D110:R110"/>
    <mergeCell ref="I111:J111"/>
    <mergeCell ref="O111:P111"/>
    <mergeCell ref="D112:D113"/>
    <mergeCell ref="E112:R112"/>
    <mergeCell ref="E113:R113"/>
    <mergeCell ref="D114:D115"/>
    <mergeCell ref="H114:I114"/>
    <mergeCell ref="N114:O114"/>
  </mergeCells>
  <pageMargins left="0.7" right="0.7" top="0.75" bottom="0.75" header="0.3" footer="0.3"/>
  <pageSetup orientation="portrait" r:id="rId1"/>
  <headerFooter>
    <oddFooter>&amp;L&amp;"Times New Roman"&amp;8NCR#10930598 - v3</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AK123"/>
  <sheetViews>
    <sheetView tabSelected="1" topLeftCell="A55" zoomScale="85" zoomScaleNormal="85" workbookViewId="0">
      <selection activeCell="L59" sqref="L59"/>
    </sheetView>
  </sheetViews>
  <sheetFormatPr baseColWidth="10" defaultColWidth="9" defaultRowHeight="14"/>
  <cols>
    <col min="1" max="1" width="43.3984375" customWidth="1"/>
    <col min="2" max="5" width="14.59765625" customWidth="1"/>
    <col min="6" max="6" width="15" customWidth="1"/>
    <col min="7" max="7" width="19.59765625" customWidth="1"/>
    <col min="8" max="8" width="89" bestFit="1" customWidth="1"/>
    <col min="9" max="9" width="71" bestFit="1" customWidth="1"/>
    <col min="10" max="10" width="66.19921875" bestFit="1" customWidth="1"/>
    <col min="11" max="11" width="18.796875" bestFit="1" customWidth="1"/>
    <col min="12" max="12" width="39.796875" bestFit="1" customWidth="1"/>
    <col min="13" max="13" width="18.796875" customWidth="1"/>
    <col min="14" max="14" width="23.796875" customWidth="1"/>
    <col min="15" max="15" width="25" bestFit="1" customWidth="1"/>
    <col min="16" max="17" width="25.796875" bestFit="1" customWidth="1"/>
    <col min="18" max="18" width="16.19921875" bestFit="1" customWidth="1"/>
    <col min="19" max="19" width="14.796875" bestFit="1" customWidth="1"/>
    <col min="20" max="20" width="16.19921875" bestFit="1" customWidth="1"/>
    <col min="21" max="21" width="29.3984375" bestFit="1" customWidth="1"/>
    <col min="22" max="22" width="14.796875" bestFit="1" customWidth="1"/>
    <col min="23" max="23" width="56.19921875" bestFit="1" customWidth="1"/>
    <col min="24" max="24" width="26.59765625" bestFit="1" customWidth="1"/>
    <col min="25" max="25" width="32.19921875" bestFit="1" customWidth="1"/>
    <col min="26" max="26" width="26.3984375" bestFit="1" customWidth="1"/>
    <col min="27" max="27" width="26.59765625" bestFit="1" customWidth="1"/>
    <col min="28" max="28" width="21.796875" bestFit="1" customWidth="1"/>
    <col min="29" max="29" width="38" bestFit="1" customWidth="1"/>
    <col min="30" max="30" width="27.796875" bestFit="1" customWidth="1"/>
    <col min="31" max="31" width="34.3984375" bestFit="1" customWidth="1"/>
    <col min="32" max="32" width="57.796875" bestFit="1" customWidth="1"/>
    <col min="33" max="33" width="21.3984375" bestFit="1" customWidth="1"/>
    <col min="34" max="34" width="21.19921875" bestFit="1" customWidth="1"/>
    <col min="35" max="35" width="14.796875" bestFit="1" customWidth="1"/>
    <col min="37" max="37" width="41.59765625" bestFit="1" customWidth="1"/>
    <col min="38" max="38" width="38.3984375" customWidth="1"/>
    <col min="39" max="39" width="49.796875" customWidth="1"/>
    <col min="41" max="41" width="46.3984375" customWidth="1"/>
    <col min="42" max="42" width="43.59765625" customWidth="1"/>
  </cols>
  <sheetData>
    <row r="1" spans="1:14" ht="21">
      <c r="A1" s="176" t="s">
        <v>217</v>
      </c>
      <c r="B1" s="136"/>
      <c r="C1" s="136"/>
      <c r="D1" s="136"/>
      <c r="E1" s="136"/>
      <c r="G1" s="219"/>
      <c r="N1" s="219"/>
    </row>
    <row r="2" spans="1:14" ht="21" customHeight="1">
      <c r="A2" s="220" t="s">
        <v>218</v>
      </c>
      <c r="B2" s="220"/>
      <c r="C2" s="220"/>
      <c r="D2" s="220"/>
      <c r="E2" s="220"/>
      <c r="F2" s="176"/>
    </row>
    <row r="3" spans="1:14" ht="15">
      <c r="A3" s="424"/>
      <c r="B3" s="424"/>
      <c r="C3" s="424"/>
      <c r="D3" s="424"/>
      <c r="E3" s="424"/>
      <c r="F3" s="424"/>
      <c r="G3" s="424"/>
    </row>
    <row r="4" spans="1:14" ht="19.5" customHeight="1">
      <c r="A4" s="225" t="s">
        <v>219</v>
      </c>
      <c r="B4" s="226"/>
      <c r="C4" s="226"/>
      <c r="D4" s="227"/>
      <c r="E4" s="227"/>
      <c r="F4" s="228" t="s">
        <v>220</v>
      </c>
      <c r="G4" s="229" t="s">
        <v>221</v>
      </c>
    </row>
    <row r="5" spans="1:14" s="174" customFormat="1">
      <c r="N5"/>
    </row>
    <row r="6" spans="1:14" ht="17.25" customHeight="1">
      <c r="A6" s="230" t="s">
        <v>222</v>
      </c>
      <c r="B6" s="231"/>
      <c r="C6" s="231"/>
      <c r="D6" s="232"/>
      <c r="E6" s="233"/>
      <c r="F6" s="407"/>
      <c r="G6" s="234"/>
    </row>
    <row r="7" spans="1:14" ht="17">
      <c r="A7" s="235" t="s">
        <v>223</v>
      </c>
      <c r="B7" s="233"/>
      <c r="C7" s="233"/>
      <c r="D7" s="236"/>
      <c r="F7" s="331">
        <f>G7/G9</f>
        <v>0.86139455782312924</v>
      </c>
      <c r="G7" s="237">
        <f>Table31[[#Totals],[FN Schools Enrolment]]</f>
        <v>2026</v>
      </c>
      <c r="N7" s="379"/>
    </row>
    <row r="8" spans="1:14" ht="18" thickBot="1">
      <c r="A8" s="235" t="s">
        <v>224</v>
      </c>
      <c r="B8" s="238"/>
      <c r="C8" s="238"/>
      <c r="D8" s="232"/>
      <c r="E8" s="233"/>
      <c r="F8" s="330">
        <f>G8/G9</f>
        <v>0.13860544217687074</v>
      </c>
      <c r="G8" s="239">
        <f>Table31[[#Totals],[Prov/Priv Enrolment]]</f>
        <v>326</v>
      </c>
      <c r="N8" s="385"/>
    </row>
    <row r="9" spans="1:14" ht="17">
      <c r="A9" s="240" t="s">
        <v>72</v>
      </c>
      <c r="B9" s="238"/>
      <c r="C9" s="238"/>
      <c r="D9" s="232"/>
      <c r="E9" s="233"/>
      <c r="F9" s="241"/>
      <c r="G9" s="223">
        <f>SUM(G7:G8)</f>
        <v>2352</v>
      </c>
      <c r="N9" s="401"/>
    </row>
    <row r="10" spans="1:14" ht="21.75" customHeight="1">
      <c r="A10" s="246" t="s">
        <v>225</v>
      </c>
      <c r="E10" s="464"/>
      <c r="G10" s="247">
        <v>10</v>
      </c>
    </row>
    <row r="11" spans="1:14" ht="15.75" customHeight="1">
      <c r="A11" s="234"/>
      <c r="B11" s="238"/>
      <c r="C11" s="238"/>
      <c r="D11" s="232"/>
      <c r="E11" s="233"/>
      <c r="F11" s="241"/>
      <c r="G11" s="139"/>
    </row>
    <row r="12" spans="1:14" ht="17">
      <c r="A12" s="230" t="s">
        <v>226</v>
      </c>
      <c r="B12" s="238"/>
      <c r="C12" s="238"/>
      <c r="E12" s="233"/>
      <c r="G12" s="74"/>
    </row>
    <row r="13" spans="1:14" ht="17">
      <c r="A13" s="235" t="s">
        <v>227</v>
      </c>
      <c r="B13" s="238"/>
      <c r="C13" s="238"/>
      <c r="E13" s="233"/>
      <c r="F13" s="331">
        <f ca="1">G13/G17</f>
        <v>0.79671172258661982</v>
      </c>
      <c r="G13" s="415">
        <f ca="1">'FNSS Summary Breakdown'!AJ36</f>
        <v>39903937</v>
      </c>
    </row>
    <row r="14" spans="1:14" ht="17">
      <c r="A14" s="235" t="s">
        <v>228</v>
      </c>
      <c r="B14" s="238"/>
      <c r="C14" s="238"/>
      <c r="D14" s="232"/>
      <c r="E14" s="233"/>
      <c r="F14" s="331">
        <f ca="1">G14/G17</f>
        <v>0.11130624243336053</v>
      </c>
      <c r="G14" s="415">
        <f>N33+N34+N35</f>
        <v>5574861.2199999997</v>
      </c>
    </row>
    <row r="15" spans="1:14" ht="17">
      <c r="A15" s="235" t="s">
        <v>229</v>
      </c>
      <c r="B15" s="238"/>
      <c r="C15" s="238"/>
      <c r="D15" s="232"/>
      <c r="E15" s="233"/>
      <c r="F15" s="331">
        <f ca="1">G15/G17</f>
        <v>6.0995402599931213E-2</v>
      </c>
      <c r="G15" s="242">
        <f>Table31[[#Totals],[3. TRANSPORTATION]]</f>
        <v>3055003</v>
      </c>
    </row>
    <row r="16" spans="1:14" ht="18" thickBot="1">
      <c r="A16" s="235" t="s">
        <v>230</v>
      </c>
      <c r="B16" s="238"/>
      <c r="C16" s="238"/>
      <c r="D16" s="232"/>
      <c r="E16" s="243"/>
      <c r="F16" s="330">
        <f ca="1">G16/G17</f>
        <v>3.0986632380088416E-2</v>
      </c>
      <c r="G16" s="244">
        <f>Table31[[#Totals],[4. PHP/STUDENT ACCOMMODATION]]</f>
        <v>1551990</v>
      </c>
    </row>
    <row r="17" spans="1:19" ht="21" customHeight="1">
      <c r="A17" s="240" t="s">
        <v>231</v>
      </c>
      <c r="B17" s="238"/>
      <c r="C17" s="238"/>
      <c r="D17" s="232"/>
      <c r="E17" s="243"/>
      <c r="F17" s="245"/>
      <c r="G17" s="734">
        <f ca="1">SUM(G13:G16)</f>
        <v>50085791.219999999</v>
      </c>
    </row>
    <row r="18" spans="1:19" ht="18" customHeight="1">
      <c r="S18" s="74"/>
    </row>
    <row r="19" spans="1:19" ht="17.25" customHeight="1">
      <c r="A19" s="1635" t="s">
        <v>232</v>
      </c>
      <c r="B19" s="1635"/>
      <c r="C19" s="1635"/>
      <c r="D19" s="1635"/>
      <c r="E19" s="1635"/>
      <c r="F19" s="1635"/>
      <c r="G19" s="1635"/>
    </row>
    <row r="20" spans="1:19" ht="21" customHeight="1">
      <c r="A20" s="1635"/>
      <c r="B20" s="1635"/>
      <c r="C20" s="1635"/>
      <c r="D20" s="1635"/>
      <c r="E20" s="1635"/>
      <c r="F20" s="1635"/>
      <c r="G20" s="1635"/>
      <c r="H20" s="225" t="s">
        <v>233</v>
      </c>
      <c r="I20" s="226"/>
      <c r="J20" s="226"/>
      <c r="K20" s="227"/>
      <c r="L20" s="227"/>
      <c r="M20" s="228" t="s">
        <v>220</v>
      </c>
      <c r="N20" s="229" t="s">
        <v>221</v>
      </c>
    </row>
    <row r="21" spans="1:19" ht="15.75" customHeight="1">
      <c r="A21" s="1635"/>
      <c r="B21" s="1635"/>
      <c r="C21" s="1635"/>
      <c r="D21" s="1635"/>
      <c r="E21" s="1635"/>
      <c r="F21" s="1635"/>
      <c r="G21" s="1635"/>
    </row>
    <row r="22" spans="1:19" ht="15.75" customHeight="1">
      <c r="A22" s="1635"/>
      <c r="B22" s="1635"/>
      <c r="C22" s="1635"/>
      <c r="D22" s="1635"/>
      <c r="E22" s="1635"/>
      <c r="F22" s="1635"/>
      <c r="G22" s="1635"/>
      <c r="H22" s="224" t="s">
        <v>234</v>
      </c>
      <c r="M22" s="332">
        <f t="shared" ref="M22:M28" ca="1" si="0">N22/$G$17</f>
        <v>0</v>
      </c>
      <c r="N22" s="222">
        <v>0</v>
      </c>
    </row>
    <row r="23" spans="1:19" ht="15.75" customHeight="1">
      <c r="H23" s="224" t="s">
        <v>235</v>
      </c>
      <c r="M23" s="332">
        <f t="shared" ca="1" si="0"/>
        <v>1.7524530982142284E-3</v>
      </c>
      <c r="N23" s="222">
        <f>'FNSS Summary Breakdown'!AB36</f>
        <v>87773</v>
      </c>
    </row>
    <row r="24" spans="1:19" ht="15.75" customHeight="1">
      <c r="A24" s="731"/>
      <c r="B24" s="731"/>
      <c r="C24" s="731"/>
      <c r="D24" s="731"/>
      <c r="E24" s="731"/>
      <c r="F24" s="731"/>
      <c r="G24" s="731"/>
      <c r="H24" s="1106" t="s">
        <v>236</v>
      </c>
      <c r="I24" s="731"/>
      <c r="J24" s="731"/>
      <c r="K24" s="731"/>
      <c r="L24" s="731"/>
      <c r="M24" s="1107">
        <f t="shared" ca="1" si="0"/>
        <v>0</v>
      </c>
      <c r="N24" s="1108">
        <f>Table31[[#Totals],[Property Tax]]</f>
        <v>0</v>
      </c>
    </row>
    <row r="25" spans="1:19" ht="16">
      <c r="A25" s="1109" t="s">
        <v>227</v>
      </c>
      <c r="B25" s="1110"/>
      <c r="C25" s="1110"/>
      <c r="D25" s="1111"/>
      <c r="E25" s="1111"/>
      <c r="F25" s="1112" t="s">
        <v>220</v>
      </c>
      <c r="G25" s="1113" t="s">
        <v>221</v>
      </c>
      <c r="H25" s="1106" t="s">
        <v>237</v>
      </c>
      <c r="I25" s="731"/>
      <c r="J25" s="731"/>
      <c r="K25" s="731"/>
      <c r="L25" s="731"/>
      <c r="M25" s="1107">
        <f t="shared" ca="1" si="0"/>
        <v>0</v>
      </c>
      <c r="N25" s="1108">
        <f>Table31[[#Totals],[Other Revenue]]</f>
        <v>0</v>
      </c>
    </row>
    <row r="26" spans="1:19" ht="16">
      <c r="A26" s="1106" t="s">
        <v>238</v>
      </c>
      <c r="B26" s="1114"/>
      <c r="C26" s="1114"/>
      <c r="D26" s="1115"/>
      <c r="E26" s="1114"/>
      <c r="F26" s="1116">
        <f ca="1">G26/$G$17</f>
        <v>0.44058952574134858</v>
      </c>
      <c r="G26" s="1117">
        <f ca="1">'FNSS Summary Breakdown'!N36</f>
        <v>22067275</v>
      </c>
      <c r="H26" s="1106" t="s">
        <v>239</v>
      </c>
      <c r="I26" s="731"/>
      <c r="J26" s="731"/>
      <c r="K26" s="731"/>
      <c r="L26" s="731"/>
      <c r="M26" s="1107">
        <f t="shared" ca="1" si="0"/>
        <v>3.7426642453667919E-2</v>
      </c>
      <c r="N26" s="1108">
        <f>'FNSS Summary Breakdown'!AE36</f>
        <v>1874543</v>
      </c>
    </row>
    <row r="27" spans="1:19" ht="16">
      <c r="A27" s="1118" t="s">
        <v>240</v>
      </c>
      <c r="B27" s="1119"/>
      <c r="C27" s="1119"/>
      <c r="D27" s="1120"/>
      <c r="E27" s="1121"/>
      <c r="F27" s="1122">
        <f ca="1">G27/$G$17</f>
        <v>0.20402916178589622</v>
      </c>
      <c r="G27" s="1123">
        <f ca="1">'FNSS Summary Breakdown'!C36</f>
        <v>10218962</v>
      </c>
      <c r="H27" s="1106" t="s">
        <v>241</v>
      </c>
      <c r="I27" s="731"/>
      <c r="J27" s="731"/>
      <c r="K27" s="731"/>
      <c r="L27" s="731"/>
      <c r="M27" s="1107">
        <f t="shared" ca="1" si="0"/>
        <v>0.10868872922638838</v>
      </c>
      <c r="N27" s="1108">
        <f>'FNSS Summary Breakdown'!AF36</f>
        <v>5443761</v>
      </c>
    </row>
    <row r="28" spans="1:19" ht="16">
      <c r="A28" s="1118" t="s">
        <v>242</v>
      </c>
      <c r="B28" s="1121"/>
      <c r="C28" s="1121"/>
      <c r="D28" s="1120"/>
      <c r="E28" s="1121"/>
      <c r="F28" s="1122">
        <f t="shared" ref="F28:F37" ca="1" si="1">G28/$G$17</f>
        <v>1.6708730752082546E-3</v>
      </c>
      <c r="G28" s="1123">
        <f>'FNSS Summary Breakdown'!D36</f>
        <v>83687</v>
      </c>
      <c r="H28" s="1106" t="s">
        <v>243</v>
      </c>
      <c r="I28" s="731"/>
      <c r="J28" s="731"/>
      <c r="K28" s="731"/>
      <c r="L28" s="731"/>
      <c r="M28" s="1107">
        <f t="shared" ca="1" si="0"/>
        <v>2.103430881969004E-2</v>
      </c>
      <c r="N28" s="1108">
        <f>'FNSS Summary Breakdown'!AG36</f>
        <v>1053520</v>
      </c>
    </row>
    <row r="29" spans="1:19" ht="16">
      <c r="A29" s="1118" t="s">
        <v>244</v>
      </c>
      <c r="B29" s="1124"/>
      <c r="C29" s="1124"/>
      <c r="D29" s="1120"/>
      <c r="E29" s="1121"/>
      <c r="F29" s="1122">
        <f t="shared" ca="1" si="1"/>
        <v>1.2955989796580875E-2</v>
      </c>
      <c r="G29" s="1123">
        <f>'FNSS Summary Breakdown'!E36</f>
        <v>648911</v>
      </c>
      <c r="H29" s="731"/>
      <c r="I29" s="731"/>
      <c r="J29" s="731"/>
      <c r="K29" s="731"/>
      <c r="L29" s="731"/>
      <c r="M29" s="731"/>
      <c r="N29" s="1594">
        <f>SUM(N23:N28)</f>
        <v>8459597</v>
      </c>
    </row>
    <row r="30" spans="1:19" ht="16">
      <c r="A30" s="1118" t="s">
        <v>245</v>
      </c>
      <c r="B30" s="1125"/>
      <c r="C30" s="1125"/>
      <c r="D30" s="1120"/>
      <c r="E30" s="1121"/>
      <c r="F30" s="1122">
        <f t="shared" ca="1" si="1"/>
        <v>8.7373282789481709E-3</v>
      </c>
      <c r="G30" s="1123">
        <f ca="1">'FNSS Summary Breakdown'!F36</f>
        <v>437616</v>
      </c>
      <c r="H30" s="731"/>
      <c r="I30" s="731"/>
      <c r="J30" s="731"/>
      <c r="K30" s="731"/>
      <c r="L30" s="731"/>
      <c r="M30" s="731"/>
      <c r="N30" s="731"/>
    </row>
    <row r="31" spans="1:19" ht="16">
      <c r="A31" s="1118" t="s">
        <v>246</v>
      </c>
      <c r="B31" s="1125"/>
      <c r="C31" s="1125"/>
      <c r="D31" s="1120"/>
      <c r="E31" s="1121"/>
      <c r="F31" s="1122">
        <f t="shared" ca="1" si="1"/>
        <v>9.1013836239043442E-3</v>
      </c>
      <c r="G31" s="1123">
        <f ca="1">'FNSS Summary Breakdown'!G36</f>
        <v>455850</v>
      </c>
      <c r="H31" s="1109" t="s">
        <v>247</v>
      </c>
      <c r="I31" s="1110"/>
      <c r="J31" s="1110"/>
      <c r="K31" s="1111"/>
      <c r="L31" s="1111"/>
      <c r="M31" s="1112" t="s">
        <v>220</v>
      </c>
      <c r="N31" s="1113" t="s">
        <v>221</v>
      </c>
    </row>
    <row r="32" spans="1:19" ht="16">
      <c r="A32" s="1118" t="s">
        <v>248</v>
      </c>
      <c r="B32" s="1125"/>
      <c r="C32" s="1125"/>
      <c r="D32" s="1120"/>
      <c r="E32" s="1121"/>
      <c r="F32" s="1122">
        <f t="shared" ca="1" si="1"/>
        <v>1.1649771038597561E-2</v>
      </c>
      <c r="G32" s="1123">
        <f ca="1">'FNSS Summary Breakdown'!H36</f>
        <v>583488</v>
      </c>
      <c r="H32" s="731"/>
      <c r="I32" s="731"/>
      <c r="J32" s="731"/>
      <c r="K32" s="731"/>
      <c r="L32" s="731"/>
      <c r="M32" s="731"/>
      <c r="N32" s="731"/>
    </row>
    <row r="33" spans="1:30" ht="16">
      <c r="A33" s="1118" t="s">
        <v>249</v>
      </c>
      <c r="B33" s="1125"/>
      <c r="C33" s="1125"/>
      <c r="D33" s="1120"/>
      <c r="E33" s="1121"/>
      <c r="F33" s="1122">
        <f t="shared" ca="1" si="1"/>
        <v>0.11858265299058203</v>
      </c>
      <c r="G33" s="1123">
        <f>'FNSS Summary Breakdown'!I36</f>
        <v>5939306</v>
      </c>
      <c r="H33" s="1106" t="s">
        <v>250</v>
      </c>
      <c r="I33" s="731"/>
      <c r="J33" s="731"/>
      <c r="K33" s="731"/>
      <c r="L33" s="731"/>
      <c r="M33" s="1116">
        <f ca="1">N33/$G$17</f>
        <v>0.10052643429119817</v>
      </c>
      <c r="N33" s="1126">
        <f>Table31[[#Totals],[2. TUITION (Excludes Transportation)]]</f>
        <v>5034946</v>
      </c>
    </row>
    <row r="34" spans="1:30" ht="16">
      <c r="A34" s="1118" t="s">
        <v>251</v>
      </c>
      <c r="B34" s="1125"/>
      <c r="C34" s="1125"/>
      <c r="D34" s="1120"/>
      <c r="E34" s="1121"/>
      <c r="F34" s="1122">
        <f t="shared" ca="1" si="1"/>
        <v>2.4553510487599722E-2</v>
      </c>
      <c r="G34" s="1123">
        <f ca="1">'FNSS Summary Breakdown'!J36</f>
        <v>1229782</v>
      </c>
      <c r="H34" s="1106" t="s">
        <v>252</v>
      </c>
      <c r="I34" s="731"/>
      <c r="J34" s="731"/>
      <c r="K34" s="731"/>
      <c r="L34" s="731"/>
      <c r="M34" s="1127">
        <f ca="1">N34/$G$17</f>
        <v>3.5210828401484521E-3</v>
      </c>
      <c r="N34" s="1128">
        <f>Table31[[#Totals],[Supports for Tuition Students]]</f>
        <v>176356.22</v>
      </c>
    </row>
    <row r="35" spans="1:30" ht="16">
      <c r="A35" s="1118" t="s">
        <v>253</v>
      </c>
      <c r="B35" s="1125"/>
      <c r="C35" s="1125"/>
      <c r="D35" s="1120"/>
      <c r="E35" s="1121"/>
      <c r="F35" s="1122">
        <f t="shared" ca="1" si="1"/>
        <v>4.1877745143066546E-3</v>
      </c>
      <c r="G35" s="1123">
        <f ca="1">'FNSS Summary Breakdown'!K36</f>
        <v>209748</v>
      </c>
      <c r="H35" s="1106" t="s">
        <v>254</v>
      </c>
      <c r="I35" s="731"/>
      <c r="J35" s="731"/>
      <c r="K35" s="731"/>
      <c r="L35" s="731"/>
      <c r="M35" s="1127">
        <f ca="1">N35/$G$17</f>
        <v>7.2587253020139075E-3</v>
      </c>
      <c r="N35" s="1128">
        <f>Table31[[#Totals],[Tuition Administration Support]]</f>
        <v>363559</v>
      </c>
    </row>
    <row r="36" spans="1:30" ht="16.5" customHeight="1">
      <c r="A36" s="1118" t="s">
        <v>255</v>
      </c>
      <c r="B36" s="1125"/>
      <c r="C36" s="1125"/>
      <c r="D36" s="1120"/>
      <c r="E36" s="1121"/>
      <c r="F36" s="1122">
        <f t="shared" ca="1" si="1"/>
        <v>5.0163927509179918E-4</v>
      </c>
      <c r="G36" s="1123">
        <f>'FNSS Summary Breakdown'!L36</f>
        <v>25125</v>
      </c>
      <c r="H36" s="731"/>
      <c r="I36" s="731"/>
      <c r="J36" s="731"/>
      <c r="K36" s="731"/>
      <c r="L36" s="731"/>
      <c r="M36" s="1129"/>
      <c r="N36" s="1091"/>
    </row>
    <row r="37" spans="1:30" ht="16">
      <c r="A37" s="1118" t="s">
        <v>256</v>
      </c>
      <c r="B37" s="1125"/>
      <c r="C37" s="1125"/>
      <c r="D37" s="1120"/>
      <c r="E37" s="1121"/>
      <c r="F37" s="1122">
        <f t="shared" ca="1" si="1"/>
        <v>4.4619440874632946E-2</v>
      </c>
      <c r="G37" s="1123">
        <f ca="1">'FNSS Summary Breakdown'!M36</f>
        <v>2234800</v>
      </c>
      <c r="H37" s="1109" t="s">
        <v>229</v>
      </c>
      <c r="I37" s="1110"/>
      <c r="J37" s="1110"/>
      <c r="K37" s="1111"/>
      <c r="L37" s="1111"/>
      <c r="M37" s="1112" t="s">
        <v>220</v>
      </c>
      <c r="N37" s="1113" t="s">
        <v>221</v>
      </c>
    </row>
    <row r="38" spans="1:30" ht="16">
      <c r="A38" s="731"/>
      <c r="B38" s="1125"/>
      <c r="C38" s="1125"/>
      <c r="D38" s="1120"/>
      <c r="E38" s="1121"/>
      <c r="F38" s="1130"/>
      <c r="G38" s="1121"/>
      <c r="H38" s="731"/>
      <c r="I38" s="731"/>
      <c r="J38" s="731"/>
      <c r="K38" s="731"/>
      <c r="L38" s="731"/>
      <c r="M38" s="731"/>
      <c r="N38" s="731"/>
    </row>
    <row r="39" spans="1:30" ht="16">
      <c r="A39" s="1106" t="s">
        <v>257</v>
      </c>
      <c r="B39" s="1125"/>
      <c r="C39" s="1125"/>
      <c r="D39" s="1120"/>
      <c r="E39" s="1121"/>
      <c r="F39" s="1116">
        <f ca="1">G39/$G$17</f>
        <v>0.18722006324731072</v>
      </c>
      <c r="G39" s="1117">
        <f>'FNSS Summary Breakdown'!AA36</f>
        <v>9377065</v>
      </c>
      <c r="H39" s="1106" t="s">
        <v>258</v>
      </c>
      <c r="I39" s="731"/>
      <c r="J39" s="731"/>
      <c r="K39" s="731"/>
      <c r="L39" s="731"/>
      <c r="M39" s="1116">
        <f ca="1">N39/$G$17</f>
        <v>6.0995402599931213E-2</v>
      </c>
      <c r="N39" s="1117">
        <f>Table31[[#Totals],[3. TRANSPORTATION]]</f>
        <v>3055003</v>
      </c>
    </row>
    <row r="40" spans="1:30" ht="16">
      <c r="A40" s="1118" t="s">
        <v>259</v>
      </c>
      <c r="B40" s="1125"/>
      <c r="C40" s="1125"/>
      <c r="D40" s="1120"/>
      <c r="E40" s="1121"/>
      <c r="F40" s="1122">
        <f ca="1">G40/$G$17</f>
        <v>0</v>
      </c>
      <c r="G40" s="1123">
        <f>'FNSS Summary Breakdown'!O36</f>
        <v>0</v>
      </c>
      <c r="H40" s="731"/>
      <c r="I40" s="731"/>
      <c r="J40" s="731"/>
      <c r="K40" s="731"/>
      <c r="L40" s="731"/>
      <c r="M40" s="731"/>
      <c r="N40" s="731"/>
    </row>
    <row r="41" spans="1:30" ht="16">
      <c r="A41" s="1118" t="s">
        <v>260</v>
      </c>
      <c r="B41" s="1125"/>
      <c r="C41" s="1125"/>
      <c r="D41" s="1120"/>
      <c r="E41" s="1121"/>
      <c r="F41" s="1122">
        <f t="shared" ref="F41:F50" ca="1" si="2">G41/$G$17</f>
        <v>4.5001605147848157E-2</v>
      </c>
      <c r="G41" s="1123">
        <f>'FNSS Summary Breakdown'!P36</f>
        <v>2253941</v>
      </c>
      <c r="H41" s="731"/>
      <c r="I41" s="731"/>
      <c r="J41" s="731"/>
      <c r="K41" s="731"/>
      <c r="L41" s="731"/>
      <c r="M41" s="731"/>
      <c r="N41" s="731"/>
    </row>
    <row r="42" spans="1:30" ht="16">
      <c r="A42" s="1118" t="s">
        <v>261</v>
      </c>
      <c r="B42" s="1121"/>
      <c r="C42" s="1121"/>
      <c r="D42" s="1121"/>
      <c r="E42" s="1131"/>
      <c r="F42" s="1122">
        <f t="shared" ca="1" si="2"/>
        <v>1.2128789127672285E-3</v>
      </c>
      <c r="G42" s="1123">
        <f>'FNSS Summary Breakdown'!Q36</f>
        <v>60748</v>
      </c>
      <c r="H42" s="1109" t="s">
        <v>262</v>
      </c>
      <c r="I42" s="1110"/>
      <c r="J42" s="1110"/>
      <c r="K42" s="1111"/>
      <c r="L42" s="1111"/>
      <c r="M42" s="1112" t="s">
        <v>220</v>
      </c>
      <c r="N42" s="1113" t="s">
        <v>221</v>
      </c>
    </row>
    <row r="43" spans="1:30" ht="16">
      <c r="A43" s="1118" t="s">
        <v>263</v>
      </c>
      <c r="B43" s="1119"/>
      <c r="C43" s="1119"/>
      <c r="D43" s="1132"/>
      <c r="E43" s="1121"/>
      <c r="F43" s="1122">
        <f t="shared" ca="1" si="2"/>
        <v>7.2395781551556776E-5</v>
      </c>
      <c r="G43" s="1123">
        <f>'FNSS Summary Breakdown'!R36</f>
        <v>3626</v>
      </c>
      <c r="H43" s="1133" t="s">
        <v>264</v>
      </c>
      <c r="I43" s="731"/>
      <c r="J43" s="731"/>
      <c r="K43" s="731"/>
      <c r="L43" s="731"/>
      <c r="M43" s="731"/>
      <c r="N43" s="1114">
        <f>D1718EnrlmentbyFN[[#Totals],[Total Boarded Students]]</f>
        <v>79</v>
      </c>
    </row>
    <row r="44" spans="1:30" ht="16">
      <c r="A44" s="1118" t="s">
        <v>265</v>
      </c>
      <c r="B44" s="1121"/>
      <c r="C44" s="1121"/>
      <c r="D44" s="1132"/>
      <c r="E44" s="1121"/>
      <c r="F44" s="1122">
        <f t="shared" ca="1" si="2"/>
        <v>4.0878978850640985E-2</v>
      </c>
      <c r="G44" s="1123">
        <f>'FNSS Summary Breakdown'!S36</f>
        <v>2047456</v>
      </c>
      <c r="H44" s="1106" t="s">
        <v>266</v>
      </c>
      <c r="I44" s="731"/>
      <c r="J44" s="731"/>
      <c r="K44" s="731"/>
      <c r="L44" s="731"/>
      <c r="M44" s="1116">
        <f ca="1">N44/$G$17</f>
        <v>3.0986632380088416E-2</v>
      </c>
      <c r="N44" s="1117">
        <f>Table31[[#Totals],[4. PHP/STUDENT ACCOMMODATION]]</f>
        <v>1551990</v>
      </c>
    </row>
    <row r="45" spans="1:30" ht="16">
      <c r="A45" s="1118" t="s">
        <v>267</v>
      </c>
      <c r="B45" s="1121"/>
      <c r="C45" s="1121"/>
      <c r="D45" s="1121"/>
      <c r="E45" s="1121"/>
      <c r="F45" s="1122">
        <f t="shared" ca="1" si="2"/>
        <v>6.5648079423512001E-2</v>
      </c>
      <c r="G45" s="1123">
        <f>'FNSS Summary Breakdown'!T36</f>
        <v>3288036</v>
      </c>
      <c r="H45" s="731"/>
      <c r="I45" s="731"/>
      <c r="J45" s="731"/>
      <c r="K45" s="731"/>
      <c r="L45" s="731"/>
      <c r="M45" s="731"/>
      <c r="N45" s="731"/>
    </row>
    <row r="46" spans="1:30" ht="45">
      <c r="A46" s="1118" t="s">
        <v>268</v>
      </c>
      <c r="B46" s="1121"/>
      <c r="C46" s="1121"/>
      <c r="D46" s="1121"/>
      <c r="E46" s="1121"/>
      <c r="F46" s="1122">
        <f t="shared" ca="1" si="2"/>
        <v>2.4755523868112309E-4</v>
      </c>
      <c r="G46" s="1123">
        <f>'FNSS Summary Breakdown'!U36</f>
        <v>12399</v>
      </c>
      <c r="H46" s="731"/>
      <c r="I46" s="1134"/>
      <c r="J46" s="731"/>
      <c r="K46" s="731"/>
      <c r="L46" s="731"/>
      <c r="M46" s="731"/>
      <c r="N46" s="731"/>
      <c r="Z46" s="1560" t="s">
        <v>286</v>
      </c>
      <c r="AA46" s="1560" t="s">
        <v>606</v>
      </c>
      <c r="AB46" s="1561" t="s">
        <v>607</v>
      </c>
      <c r="AC46" s="1560" t="s">
        <v>608</v>
      </c>
      <c r="AD46" s="1560" t="s">
        <v>609</v>
      </c>
    </row>
    <row r="47" spans="1:30" ht="16">
      <c r="A47" s="1118" t="s">
        <v>269</v>
      </c>
      <c r="B47" s="1121"/>
      <c r="C47" s="1121"/>
      <c r="D47" s="1121"/>
      <c r="E47" s="1121"/>
      <c r="F47" s="1122">
        <f t="shared" ca="1" si="2"/>
        <v>4.3870525881252115E-3</v>
      </c>
      <c r="G47" s="1123">
        <f>'FNSS Summary Breakdown'!V36</f>
        <v>219729</v>
      </c>
      <c r="H47" s="731"/>
      <c r="I47" s="731"/>
      <c r="J47" s="731"/>
      <c r="K47" s="731"/>
      <c r="L47" s="731"/>
      <c r="M47" s="731"/>
      <c r="N47" s="731"/>
      <c r="Z47" s="168" t="s">
        <v>388</v>
      </c>
      <c r="AA47" s="1562">
        <v>317</v>
      </c>
      <c r="AB47" s="1562">
        <v>378</v>
      </c>
      <c r="AC47" s="1562">
        <v>435</v>
      </c>
      <c r="AD47" s="1563">
        <v>1478447</v>
      </c>
    </row>
    <row r="48" spans="1:30" ht="16">
      <c r="A48" s="1118" t="s">
        <v>270</v>
      </c>
      <c r="B48" s="1135"/>
      <c r="C48" s="1135"/>
      <c r="D48" s="1135"/>
      <c r="E48" s="1121"/>
      <c r="F48" s="1122">
        <f t="shared" ca="1" si="2"/>
        <v>1.0806617741597494E-2</v>
      </c>
      <c r="G48" s="1123">
        <f>'FNSS Summary Breakdown'!W36</f>
        <v>541258</v>
      </c>
      <c r="H48" s="731"/>
      <c r="I48" s="731"/>
      <c r="J48" s="731"/>
      <c r="K48" s="731"/>
      <c r="L48" s="731"/>
      <c r="M48" s="731"/>
      <c r="N48" s="731"/>
      <c r="Z48" s="168" t="s">
        <v>390</v>
      </c>
      <c r="AA48" s="1562">
        <v>273</v>
      </c>
      <c r="AB48" s="1562">
        <v>298</v>
      </c>
      <c r="AC48" s="1562">
        <v>398</v>
      </c>
      <c r="AD48" s="1564">
        <v>1345978</v>
      </c>
    </row>
    <row r="49" spans="1:36" ht="16">
      <c r="A49" s="1118" t="s">
        <v>271</v>
      </c>
      <c r="B49" s="731"/>
      <c r="C49" s="731"/>
      <c r="D49" s="731"/>
      <c r="E49" s="731"/>
      <c r="F49" s="1122">
        <f t="shared" ca="1" si="2"/>
        <v>6.4376341502467337E-3</v>
      </c>
      <c r="G49" s="1123">
        <f>'FNSS Summary Breakdown'!X36</f>
        <v>322434</v>
      </c>
      <c r="H49" s="731"/>
      <c r="I49" s="731"/>
      <c r="J49" s="731"/>
      <c r="K49" s="731"/>
      <c r="L49" s="731"/>
      <c r="M49" s="731"/>
      <c r="N49" s="731"/>
      <c r="Z49" s="168" t="s">
        <v>392</v>
      </c>
      <c r="AA49" s="1562">
        <v>159</v>
      </c>
      <c r="AB49" s="1562">
        <v>180</v>
      </c>
      <c r="AC49" s="1562">
        <v>194</v>
      </c>
      <c r="AD49" s="1564">
        <v>689942</v>
      </c>
    </row>
    <row r="50" spans="1:36" ht="16">
      <c r="A50" s="1118" t="s">
        <v>272</v>
      </c>
      <c r="B50" s="731"/>
      <c r="C50" s="731"/>
      <c r="D50" s="731"/>
      <c r="E50" s="731"/>
      <c r="F50" s="1122">
        <f t="shared" ca="1" si="2"/>
        <v>1.2359553177085659E-2</v>
      </c>
      <c r="G50" s="1123">
        <f>'FNSS Summary Breakdown'!Y36</f>
        <v>619038</v>
      </c>
      <c r="H50" s="731"/>
      <c r="I50" s="731"/>
      <c r="J50" s="731"/>
      <c r="K50" s="731"/>
      <c r="L50" s="731"/>
      <c r="M50" s="731"/>
      <c r="N50" s="731"/>
      <c r="Z50" s="168" t="s">
        <v>394</v>
      </c>
      <c r="AA50" s="1562">
        <v>117</v>
      </c>
      <c r="AB50" s="1562">
        <v>133</v>
      </c>
      <c r="AC50" s="1562">
        <v>142</v>
      </c>
      <c r="AD50" s="1564">
        <v>474948</v>
      </c>
    </row>
    <row r="51" spans="1:36" ht="16">
      <c r="A51" s="1118" t="s">
        <v>273</v>
      </c>
      <c r="B51" s="731"/>
      <c r="C51" s="731"/>
      <c r="D51" s="731"/>
      <c r="E51" s="731"/>
      <c r="F51" s="1122">
        <f ca="1">G51/$G$17</f>
        <v>1.6771223525457167E-4</v>
      </c>
      <c r="G51" s="1123">
        <f>'FNSS Summary Breakdown'!Z36</f>
        <v>8400</v>
      </c>
      <c r="H51" s="731"/>
      <c r="I51" s="1134"/>
      <c r="J51" s="731"/>
      <c r="K51" s="731"/>
      <c r="L51" s="731"/>
      <c r="M51" s="731"/>
      <c r="N51" s="731"/>
      <c r="Z51" s="168" t="s">
        <v>396</v>
      </c>
      <c r="AA51" s="1562">
        <v>280</v>
      </c>
      <c r="AB51" s="1562">
        <v>298</v>
      </c>
      <c r="AC51" s="1562">
        <v>303</v>
      </c>
      <c r="AD51" s="1564">
        <v>1131995</v>
      </c>
    </row>
    <row r="52" spans="1:36" ht="16">
      <c r="A52" s="1118" t="s">
        <v>274</v>
      </c>
      <c r="B52" s="731"/>
      <c r="C52" s="731"/>
      <c r="D52" s="731"/>
      <c r="E52" s="731"/>
      <c r="F52" s="1122">
        <f ca="1">G52/$G$17</f>
        <v>0</v>
      </c>
      <c r="G52" s="1123">
        <f>'FNSS Summary Breakdown'!AI36</f>
        <v>0</v>
      </c>
      <c r="H52" s="731"/>
      <c r="I52" s="731"/>
      <c r="J52" s="731"/>
      <c r="K52" s="731"/>
      <c r="L52" s="731"/>
      <c r="M52" s="731"/>
      <c r="N52" s="731"/>
      <c r="Z52" s="168" t="s">
        <v>320</v>
      </c>
      <c r="AA52" s="1562">
        <v>5</v>
      </c>
      <c r="AB52" s="1562">
        <v>73</v>
      </c>
      <c r="AC52" s="1562">
        <v>41</v>
      </c>
      <c r="AD52" s="1564">
        <v>253092</v>
      </c>
    </row>
    <row r="53" spans="1:36" ht="16">
      <c r="A53" s="1118" t="s">
        <v>275</v>
      </c>
      <c r="B53" s="1136"/>
      <c r="C53" s="1136"/>
      <c r="D53" s="1136"/>
      <c r="E53" s="1136"/>
      <c r="F53" s="1122">
        <f ca="1">G53/$G$17</f>
        <v>0</v>
      </c>
      <c r="G53" s="1123">
        <f>Table31[[#Totals],[Menstrual Products]]</f>
        <v>0</v>
      </c>
      <c r="H53" s="731"/>
      <c r="I53" s="731"/>
      <c r="J53" s="731"/>
      <c r="K53" s="731"/>
      <c r="L53" s="731"/>
      <c r="M53" s="731"/>
      <c r="N53" s="731"/>
      <c r="Z53" s="168" t="s">
        <v>398</v>
      </c>
      <c r="AA53" s="1562">
        <v>90</v>
      </c>
      <c r="AB53" s="1562">
        <v>88</v>
      </c>
      <c r="AC53" s="1562">
        <v>86</v>
      </c>
      <c r="AD53" s="1564">
        <v>308340</v>
      </c>
      <c r="AE53" s="19">
        <f>AC74/11</f>
        <v>763.63636363636363</v>
      </c>
    </row>
    <row r="54" spans="1:36" ht="27" customHeight="1">
      <c r="A54" s="1634" t="s">
        <v>276</v>
      </c>
      <c r="B54" s="1634"/>
      <c r="C54" s="1634"/>
      <c r="D54" s="1634"/>
      <c r="E54" s="1634"/>
      <c r="F54" s="1634"/>
      <c r="G54" s="731"/>
      <c r="H54" s="731"/>
      <c r="I54" s="731"/>
      <c r="J54" s="731"/>
      <c r="K54" s="731"/>
      <c r="L54" s="731"/>
      <c r="M54" s="731"/>
      <c r="N54" s="731"/>
      <c r="Z54" s="168" t="s">
        <v>400</v>
      </c>
      <c r="AA54" s="1562">
        <v>143</v>
      </c>
      <c r="AB54" s="1562">
        <v>142</v>
      </c>
      <c r="AC54" s="1562">
        <v>148</v>
      </c>
      <c r="AD54" s="1564">
        <v>713546</v>
      </c>
    </row>
    <row r="55" spans="1:36">
      <c r="Z55" s="168" t="s">
        <v>402</v>
      </c>
      <c r="AA55" s="1562">
        <v>149</v>
      </c>
      <c r="AB55" s="1562">
        <v>167</v>
      </c>
      <c r="AC55" s="1562">
        <v>153</v>
      </c>
      <c r="AD55" s="1564">
        <v>429534</v>
      </c>
    </row>
    <row r="56" spans="1:36">
      <c r="Z56" s="168" t="s">
        <v>404</v>
      </c>
      <c r="AA56" s="1562">
        <v>20</v>
      </c>
      <c r="AB56" s="1562">
        <v>27.5</v>
      </c>
      <c r="AC56" s="1562">
        <v>27</v>
      </c>
      <c r="AD56" s="1564">
        <v>267095</v>
      </c>
    </row>
    <row r="57" spans="1:36">
      <c r="B57" t="s">
        <v>2677</v>
      </c>
      <c r="C57" t="s">
        <v>2678</v>
      </c>
      <c r="Z57" s="168" t="s">
        <v>406</v>
      </c>
      <c r="AA57" s="1562">
        <v>90</v>
      </c>
      <c r="AB57" s="1562">
        <v>103</v>
      </c>
      <c r="AC57" s="1562">
        <v>99</v>
      </c>
      <c r="AD57" s="1564">
        <v>283431</v>
      </c>
    </row>
    <row r="58" spans="1:36">
      <c r="B58" s="1604">
        <f ca="1">G39+G26+N23+N26+N27+N28</f>
        <v>39903937</v>
      </c>
      <c r="C58" s="1605">
        <f>AI74</f>
        <v>40935990.68139378</v>
      </c>
      <c r="Z58" s="1565"/>
      <c r="AA58" s="1566">
        <v>1643</v>
      </c>
      <c r="AB58" s="1566">
        <v>1887.5</v>
      </c>
      <c r="AC58" s="1566">
        <v>2026</v>
      </c>
      <c r="AD58" s="1567">
        <v>7376348</v>
      </c>
    </row>
    <row r="59" spans="1:36">
      <c r="G59" s="1568"/>
      <c r="H59" s="1568"/>
      <c r="I59" s="1568"/>
      <c r="J59" s="1568"/>
      <c r="K59" s="1568"/>
      <c r="L59" s="1608" t="s">
        <v>2670</v>
      </c>
      <c r="M59" s="1568"/>
      <c r="N59" s="1568"/>
      <c r="O59" s="1568"/>
      <c r="P59" s="1568"/>
      <c r="Q59" s="1568"/>
      <c r="R59" s="1568"/>
      <c r="S59" s="1568"/>
      <c r="T59" s="1568"/>
      <c r="U59" s="1568"/>
      <c r="V59" s="1568"/>
      <c r="W59" s="1568"/>
      <c r="X59" s="1568"/>
      <c r="Y59" s="1568"/>
      <c r="Z59" s="1568"/>
      <c r="AA59" s="1568"/>
      <c r="AB59" s="1568"/>
      <c r="AC59" s="1568"/>
      <c r="AD59" s="1568"/>
      <c r="AE59" s="1568"/>
      <c r="AF59" s="1568"/>
      <c r="AG59" s="1568"/>
      <c r="AH59" s="1568"/>
      <c r="AI59" s="1568"/>
      <c r="AJ59" s="1568"/>
    </row>
    <row r="60" spans="1:36">
      <c r="G60" s="1568"/>
      <c r="H60" s="1568"/>
      <c r="I60" s="1568"/>
      <c r="J60" s="1568"/>
      <c r="K60" s="1568"/>
      <c r="L60" s="1568"/>
      <c r="M60" s="1568"/>
      <c r="N60" s="1568"/>
      <c r="O60" s="1568"/>
      <c r="P60" s="1568"/>
      <c r="Q60" s="1568"/>
      <c r="R60" s="1568"/>
      <c r="S60" s="1568"/>
      <c r="T60" s="1568"/>
      <c r="U60" s="1568"/>
      <c r="V60" s="1568"/>
      <c r="W60" s="1568"/>
      <c r="X60" s="1568"/>
      <c r="Y60" s="1568"/>
      <c r="Z60" s="1568"/>
      <c r="AA60" s="1568"/>
      <c r="AB60" s="1568"/>
      <c r="AC60" s="1568"/>
      <c r="AD60" s="1568"/>
      <c r="AE60" s="1568"/>
      <c r="AF60" s="1568"/>
      <c r="AG60" s="1568"/>
      <c r="AH60" s="1568"/>
      <c r="AI60" s="1568"/>
      <c r="AJ60" s="1568"/>
    </row>
    <row r="61" spans="1:36" ht="19">
      <c r="G61" s="1568"/>
      <c r="H61" s="1569" t="s">
        <v>324</v>
      </c>
      <c r="I61" s="1569" t="s">
        <v>335</v>
      </c>
      <c r="J61" s="1569" t="s">
        <v>339</v>
      </c>
      <c r="K61" s="1559" t="s">
        <v>346</v>
      </c>
      <c r="L61" s="1559" t="s">
        <v>351</v>
      </c>
      <c r="M61" s="1559" t="s">
        <v>355</v>
      </c>
      <c r="N61" s="1559" t="s">
        <v>358</v>
      </c>
      <c r="O61" s="1559" t="s">
        <v>410</v>
      </c>
      <c r="P61" s="1559" t="s">
        <v>415</v>
      </c>
      <c r="Q61" s="1559" t="s">
        <v>422</v>
      </c>
      <c r="R61" s="1559" t="s">
        <v>425</v>
      </c>
      <c r="S61" s="1559" t="s">
        <v>491</v>
      </c>
      <c r="T61" s="1559" t="s">
        <v>2664</v>
      </c>
      <c r="U61" s="1559" t="s">
        <v>2665</v>
      </c>
      <c r="V61" s="1559" t="s">
        <v>542</v>
      </c>
      <c r="W61" s="1570" t="s">
        <v>2666</v>
      </c>
      <c r="X61" s="1559" t="s">
        <v>2667</v>
      </c>
      <c r="Y61" s="1559" t="s">
        <v>582</v>
      </c>
      <c r="Z61" s="1559" t="s">
        <v>2668</v>
      </c>
      <c r="AA61" s="1559" t="s">
        <v>613</v>
      </c>
      <c r="AB61" s="1559" t="s">
        <v>649</v>
      </c>
      <c r="AC61" s="1559" t="s">
        <v>2669</v>
      </c>
      <c r="AD61" s="1559" t="s">
        <v>274</v>
      </c>
      <c r="AE61" s="1559" t="s">
        <v>235</v>
      </c>
      <c r="AF61" s="1559" t="s">
        <v>239</v>
      </c>
      <c r="AG61" s="1559" t="s">
        <v>241</v>
      </c>
      <c r="AH61" s="1559" t="s">
        <v>243</v>
      </c>
      <c r="AI61" s="1559" t="s">
        <v>214</v>
      </c>
      <c r="AJ61" s="1568"/>
    </row>
    <row r="62" spans="1:36">
      <c r="G62" s="1559" t="s">
        <v>388</v>
      </c>
      <c r="H62" s="1578">
        <v>2194101</v>
      </c>
      <c r="I62" s="1576">
        <v>0</v>
      </c>
      <c r="J62" s="1576">
        <v>90573</v>
      </c>
      <c r="K62" s="1579">
        <v>93960</v>
      </c>
      <c r="L62" s="1579">
        <v>97875</v>
      </c>
      <c r="M62" s="1579">
        <v>125280</v>
      </c>
      <c r="N62" s="1577">
        <v>1169032.316446912</v>
      </c>
      <c r="O62" s="1579">
        <v>264045</v>
      </c>
      <c r="P62" s="1577">
        <v>45240</v>
      </c>
      <c r="Q62" s="1578">
        <v>11000</v>
      </c>
      <c r="R62" s="1577">
        <v>85276</v>
      </c>
      <c r="S62" s="1577">
        <v>469056</v>
      </c>
      <c r="T62" s="1578">
        <v>26596</v>
      </c>
      <c r="U62" s="1578">
        <v>666</v>
      </c>
      <c r="V62" s="1577">
        <v>439607</v>
      </c>
      <c r="W62" s="1587">
        <v>705970</v>
      </c>
      <c r="X62" s="1577">
        <v>3062</v>
      </c>
      <c r="Y62" s="1577">
        <v>24968</v>
      </c>
      <c r="Z62" s="1577">
        <f>Z75</f>
        <v>49205.272727272728</v>
      </c>
      <c r="AA62" s="1577">
        <v>0</v>
      </c>
      <c r="AB62" s="1578">
        <v>118298</v>
      </c>
      <c r="AC62" s="1576">
        <v>700</v>
      </c>
      <c r="AD62" s="1578">
        <v>235322</v>
      </c>
      <c r="AE62" s="1587">
        <v>20739</v>
      </c>
      <c r="AF62" s="1587">
        <v>172075</v>
      </c>
      <c r="AG62" s="1578">
        <v>1168823</v>
      </c>
      <c r="AH62" s="1578">
        <v>226200</v>
      </c>
      <c r="AI62" s="1580">
        <f>AH62+AG62+AF62+AE62+AD62+AC62+AB62+AA62+Z62+Y62+X62+W62+V62+U62+T62+S62+R62+Q62+P62+O62+N62+M62+L62+K62+J62+I62+H62</f>
        <v>7837669.5891741849</v>
      </c>
      <c r="AJ62" s="1576"/>
    </row>
    <row r="63" spans="1:36">
      <c r="G63" s="1559" t="s">
        <v>390</v>
      </c>
      <c r="H63" s="1578">
        <v>2007476</v>
      </c>
      <c r="I63" s="1576">
        <v>0</v>
      </c>
      <c r="J63" s="1576">
        <v>94440</v>
      </c>
      <c r="K63" s="1579">
        <v>85968</v>
      </c>
      <c r="L63" s="1579">
        <v>89550</v>
      </c>
      <c r="M63" s="1579">
        <v>114624</v>
      </c>
      <c r="N63" s="1577">
        <v>1212497.868841083</v>
      </c>
      <c r="O63" s="1579">
        <v>241586</v>
      </c>
      <c r="P63" s="1577">
        <v>41392</v>
      </c>
      <c r="Q63" s="1578">
        <v>2125</v>
      </c>
      <c r="R63" s="1577">
        <v>401099</v>
      </c>
      <c r="S63" s="1577">
        <v>520861</v>
      </c>
      <c r="T63" s="1578">
        <v>5138</v>
      </c>
      <c r="U63" s="1578">
        <v>740</v>
      </c>
      <c r="V63" s="1577">
        <v>402215</v>
      </c>
      <c r="W63" s="1587">
        <v>645922</v>
      </c>
      <c r="X63" s="1577">
        <v>2505</v>
      </c>
      <c r="Y63" s="1577">
        <v>30025</v>
      </c>
      <c r="Z63" s="1579">
        <f>Z75</f>
        <v>49205.272727272728</v>
      </c>
      <c r="AA63" s="1577">
        <v>0</v>
      </c>
      <c r="AB63" s="1578">
        <v>108322</v>
      </c>
      <c r="AC63" s="1576">
        <v>700</v>
      </c>
      <c r="AD63" s="1578">
        <v>215306</v>
      </c>
      <c r="AE63" s="1587">
        <v>15871</v>
      </c>
      <c r="AF63" s="1587">
        <v>177692</v>
      </c>
      <c r="AG63" s="1588">
        <v>1069406</v>
      </c>
      <c r="AH63" s="1588">
        <v>206960</v>
      </c>
      <c r="AI63" s="1580">
        <f t="shared" ref="AI63:AI73" si="3">AH63+AG63+AF63+AE63+AD63+AC63+AB63+AA63+Z63+Y63+X63+W63+V63+U63+T63+S63+R63+Q63+P63+O63+N63+M63+L63+K63+J63+I63+H63</f>
        <v>7741626.1415683553</v>
      </c>
      <c r="AJ63" s="1576"/>
    </row>
    <row r="64" spans="1:36">
      <c r="G64" s="1559" t="s">
        <v>392</v>
      </c>
      <c r="H64" s="1578">
        <v>978519</v>
      </c>
      <c r="I64" s="1576">
        <v>0</v>
      </c>
      <c r="J64" s="1576">
        <v>74854</v>
      </c>
      <c r="K64" s="1579">
        <v>41904</v>
      </c>
      <c r="L64" s="1579">
        <v>43650</v>
      </c>
      <c r="M64" s="1579">
        <v>55872</v>
      </c>
      <c r="N64" s="1577">
        <v>596843.8713223408</v>
      </c>
      <c r="O64" s="1579">
        <v>117758</v>
      </c>
      <c r="P64" s="1577">
        <v>20176</v>
      </c>
      <c r="Q64" s="1578">
        <v>250</v>
      </c>
      <c r="R64" s="1577">
        <v>380814</v>
      </c>
      <c r="S64" s="1577">
        <v>253887</v>
      </c>
      <c r="T64" s="1578">
        <v>604</v>
      </c>
      <c r="U64" s="1578">
        <v>396</v>
      </c>
      <c r="V64" s="1577">
        <v>196054</v>
      </c>
      <c r="W64" s="1587">
        <v>314846</v>
      </c>
      <c r="X64" s="1577">
        <v>1000</v>
      </c>
      <c r="Y64" s="1577">
        <v>17491</v>
      </c>
      <c r="Z64" s="1577">
        <f>Z75</f>
        <v>49205.272727272728</v>
      </c>
      <c r="AA64" s="1577">
        <v>164124</v>
      </c>
      <c r="AB64" s="1578">
        <v>53297</v>
      </c>
      <c r="AC64" s="1576">
        <v>700</v>
      </c>
      <c r="AD64" s="1578">
        <v>104948</v>
      </c>
      <c r="AE64" s="1587">
        <v>7991</v>
      </c>
      <c r="AF64" s="1587">
        <v>282830</v>
      </c>
      <c r="AG64" s="1578">
        <v>521268</v>
      </c>
      <c r="AH64" s="1578">
        <v>100880</v>
      </c>
      <c r="AI64" s="1580">
        <f t="shared" si="3"/>
        <v>4380162.1440496128</v>
      </c>
      <c r="AJ64" s="1576"/>
    </row>
    <row r="65" spans="2:37">
      <c r="G65" s="1559" t="s">
        <v>394</v>
      </c>
      <c r="H65" s="1578">
        <v>716235</v>
      </c>
      <c r="I65" s="1576">
        <v>0</v>
      </c>
      <c r="J65" s="1576">
        <v>62257</v>
      </c>
      <c r="K65" s="1579">
        <v>30672</v>
      </c>
      <c r="L65" s="1579">
        <v>31950</v>
      </c>
      <c r="M65" s="1579">
        <v>40896</v>
      </c>
      <c r="N65" s="1577">
        <v>397685.38709677418</v>
      </c>
      <c r="O65" s="1579">
        <v>86194</v>
      </c>
      <c r="P65" s="1577">
        <v>16188</v>
      </c>
      <c r="Q65" s="1578">
        <v>1125</v>
      </c>
      <c r="R65" s="1577">
        <v>260145</v>
      </c>
      <c r="S65" s="1577">
        <v>185835</v>
      </c>
      <c r="T65" s="1578">
        <v>2720</v>
      </c>
      <c r="U65" s="1578">
        <v>224</v>
      </c>
      <c r="V65" s="1577">
        <v>143504</v>
      </c>
      <c r="W65" s="1587">
        <v>230455</v>
      </c>
      <c r="X65" s="1577">
        <v>867</v>
      </c>
      <c r="Y65" s="1577">
        <v>25357</v>
      </c>
      <c r="Z65" s="1577">
        <f>Z75</f>
        <v>49205.272727272728</v>
      </c>
      <c r="AA65" s="1577">
        <v>135468</v>
      </c>
      <c r="AB65" s="1578">
        <v>39996</v>
      </c>
      <c r="AC65" s="1576">
        <v>700</v>
      </c>
      <c r="AD65" s="1578">
        <v>76818</v>
      </c>
      <c r="AE65" s="1587">
        <v>6660</v>
      </c>
      <c r="AF65" s="1587">
        <v>377548</v>
      </c>
      <c r="AG65" s="1578">
        <v>381547</v>
      </c>
      <c r="AH65" s="1578">
        <v>73840</v>
      </c>
      <c r="AI65" s="1580">
        <f t="shared" si="3"/>
        <v>3374091.6598240468</v>
      </c>
      <c r="AJ65" s="1576"/>
    </row>
    <row r="66" spans="2:37">
      <c r="G66" s="1559" t="s">
        <v>396</v>
      </c>
      <c r="H66" s="1578">
        <v>1528305</v>
      </c>
      <c r="I66" s="1576">
        <v>0</v>
      </c>
      <c r="J66" s="1576">
        <v>94514</v>
      </c>
      <c r="K66" s="1579">
        <v>65448</v>
      </c>
      <c r="L66" s="1579">
        <v>68175</v>
      </c>
      <c r="M66" s="1579">
        <v>87264</v>
      </c>
      <c r="N66" s="1577">
        <v>886708.17904233164</v>
      </c>
      <c r="O66" s="1579">
        <v>183921</v>
      </c>
      <c r="P66" s="1577">
        <v>31512</v>
      </c>
      <c r="Q66" s="1578">
        <v>6000</v>
      </c>
      <c r="R66" s="1577">
        <v>287723</v>
      </c>
      <c r="S66" s="1577">
        <v>326722</v>
      </c>
      <c r="T66" s="1578">
        <v>14507</v>
      </c>
      <c r="U66" s="1578">
        <v>482</v>
      </c>
      <c r="V66" s="1577">
        <v>306209</v>
      </c>
      <c r="W66" s="1587">
        <v>491745</v>
      </c>
      <c r="X66" s="1577">
        <v>2052</v>
      </c>
      <c r="Y66" s="1577">
        <v>29937</v>
      </c>
      <c r="Z66" s="1577">
        <f>Z75</f>
        <v>49205.272727272728</v>
      </c>
      <c r="AA66" s="1577">
        <v>0</v>
      </c>
      <c r="AB66" s="1578">
        <v>82481</v>
      </c>
      <c r="AC66" s="1576">
        <v>700</v>
      </c>
      <c r="AD66" s="1578">
        <v>163914</v>
      </c>
      <c r="AE66" s="1587">
        <v>12967</v>
      </c>
      <c r="AF66" s="1587">
        <v>116111</v>
      </c>
      <c r="AG66" s="1578">
        <v>814146</v>
      </c>
      <c r="AH66" s="1578">
        <v>157560</v>
      </c>
      <c r="AI66" s="1580">
        <f t="shared" si="3"/>
        <v>5808308.4517696043</v>
      </c>
      <c r="AJ66" s="1576"/>
    </row>
    <row r="67" spans="2:37">
      <c r="B67" s="1606" t="s">
        <v>2679</v>
      </c>
      <c r="C67" s="492"/>
      <c r="D67" s="492"/>
      <c r="E67" s="492"/>
      <c r="G67" s="1559" t="s">
        <v>320</v>
      </c>
      <c r="H67" s="1578">
        <v>206800</v>
      </c>
      <c r="I67" s="1576">
        <v>24764</v>
      </c>
      <c r="J67" s="1576">
        <v>21229</v>
      </c>
      <c r="K67" s="1579">
        <v>8856</v>
      </c>
      <c r="L67" s="1579">
        <v>9225</v>
      </c>
      <c r="M67" s="1579">
        <v>11808</v>
      </c>
      <c r="N67" s="1577">
        <v>175365.66754617414</v>
      </c>
      <c r="O67" s="1579">
        <v>24887</v>
      </c>
      <c r="P67" s="1577">
        <v>3690</v>
      </c>
      <c r="Q67" s="1578">
        <v>500</v>
      </c>
      <c r="R67" s="1577">
        <v>7306</v>
      </c>
      <c r="S67" s="1577">
        <v>37749</v>
      </c>
      <c r="T67" s="1578">
        <v>1209</v>
      </c>
      <c r="U67" s="1578">
        <v>80</v>
      </c>
      <c r="V67" s="1577">
        <v>41434</v>
      </c>
      <c r="W67" s="1587">
        <v>66540</v>
      </c>
      <c r="X67" s="1577">
        <v>258</v>
      </c>
      <c r="Y67" s="1577">
        <v>14973</v>
      </c>
      <c r="Z67" s="1577">
        <f>Z75</f>
        <v>49205.272727272728</v>
      </c>
      <c r="AA67" s="1577">
        <v>0</v>
      </c>
      <c r="AB67" s="1578">
        <v>11429</v>
      </c>
      <c r="AC67" s="1576">
        <v>700</v>
      </c>
      <c r="AD67" s="1578">
        <v>22180</v>
      </c>
      <c r="AE67" s="1587">
        <v>870</v>
      </c>
      <c r="AF67" s="1587">
        <v>335757</v>
      </c>
      <c r="AG67" s="1578">
        <v>110165</v>
      </c>
      <c r="AH67" s="1588">
        <v>21320</v>
      </c>
      <c r="AI67" s="1580">
        <f t="shared" si="3"/>
        <v>1208299.940273447</v>
      </c>
      <c r="AJ67" s="1576"/>
    </row>
    <row r="68" spans="2:37">
      <c r="B68" s="492" t="s">
        <v>2680</v>
      </c>
      <c r="C68" s="492"/>
      <c r="D68" s="1606" t="s">
        <v>2681</v>
      </c>
      <c r="E68" s="1606" t="s">
        <v>2682</v>
      </c>
      <c r="G68" s="1559" t="s">
        <v>398</v>
      </c>
      <c r="H68" s="1578">
        <v>433776</v>
      </c>
      <c r="I68" s="1576">
        <v>0</v>
      </c>
      <c r="J68" s="1576">
        <v>39164</v>
      </c>
      <c r="K68" s="1579">
        <v>18576</v>
      </c>
      <c r="L68" s="1579">
        <v>19350</v>
      </c>
      <c r="M68" s="1579">
        <v>24768</v>
      </c>
      <c r="N68" s="1577">
        <v>203060.88748787585</v>
      </c>
      <c r="O68" s="1579">
        <v>52202</v>
      </c>
      <c r="P68" s="1577">
        <v>8944</v>
      </c>
      <c r="Q68" s="1578">
        <v>0</v>
      </c>
      <c r="R68" s="1577">
        <v>145151</v>
      </c>
      <c r="S68" s="1577">
        <v>79181</v>
      </c>
      <c r="T68" s="1578">
        <v>0</v>
      </c>
      <c r="U68" s="1578">
        <v>195</v>
      </c>
      <c r="V68" s="1577">
        <v>86911</v>
      </c>
      <c r="W68" s="1587">
        <v>139571</v>
      </c>
      <c r="X68" s="1577">
        <v>383</v>
      </c>
      <c r="Y68" s="1577">
        <v>14731</v>
      </c>
      <c r="Z68" s="1577">
        <f>Z75</f>
        <v>49205.272727272728</v>
      </c>
      <c r="AA68" s="1577">
        <v>0</v>
      </c>
      <c r="AB68" s="1578">
        <v>23624</v>
      </c>
      <c r="AC68" s="1576">
        <v>700</v>
      </c>
      <c r="AD68" s="1578">
        <v>46523</v>
      </c>
      <c r="AE68" s="1587">
        <v>3810</v>
      </c>
      <c r="AF68" s="1587">
        <v>78755</v>
      </c>
      <c r="AG68" s="1578">
        <v>231078</v>
      </c>
      <c r="AH68" s="1578">
        <v>44720</v>
      </c>
      <c r="AI68" s="1580">
        <f t="shared" si="3"/>
        <v>1744379.1602151485</v>
      </c>
      <c r="AJ68" s="1576"/>
    </row>
    <row r="69" spans="2:37">
      <c r="B69" s="492"/>
      <c r="C69" s="1606" t="s">
        <v>388</v>
      </c>
      <c r="D69" s="492">
        <f>(AI77+M110+Q109+W109)*((AI77+M110+Q109+W109)/(AI90+M123+Q122+W122))^1/(AI77+M110+Q109+W109)</f>
        <v>0.64241144608113887</v>
      </c>
      <c r="E69" s="492">
        <f>(AI77+M110+Q109+W109)*((AI77+M110+Q109+W109)/(AI90+M123+Q122+W122))^-1/(AI77+M110+Q109+W109)</f>
        <v>1.5566347799377416</v>
      </c>
      <c r="G69" s="1559" t="s">
        <v>400</v>
      </c>
      <c r="H69" s="1578">
        <v>620401</v>
      </c>
      <c r="I69" s="1576">
        <v>0</v>
      </c>
      <c r="J69" s="1576">
        <v>55763</v>
      </c>
      <c r="K69" s="1579">
        <v>26568</v>
      </c>
      <c r="L69" s="1579">
        <v>27675</v>
      </c>
      <c r="M69" s="1579">
        <v>35424</v>
      </c>
      <c r="N69" s="1577">
        <v>504013.38805970148</v>
      </c>
      <c r="O69" s="1579">
        <v>74661</v>
      </c>
      <c r="P69" s="1577">
        <v>11070</v>
      </c>
      <c r="Q69" s="1578">
        <v>1000</v>
      </c>
      <c r="R69" s="1577">
        <v>130516</v>
      </c>
      <c r="S69" s="1577">
        <v>113717</v>
      </c>
      <c r="T69" s="1578">
        <v>2418</v>
      </c>
      <c r="U69" s="1578">
        <v>178</v>
      </c>
      <c r="V69" s="1577">
        <v>124303</v>
      </c>
      <c r="W69" s="1587">
        <v>199619</v>
      </c>
      <c r="X69" s="1577">
        <v>729</v>
      </c>
      <c r="Y69" s="1577">
        <v>23039</v>
      </c>
      <c r="Z69" s="1577">
        <f>Z75</f>
        <v>49205.272727272728</v>
      </c>
      <c r="AA69" s="1577">
        <v>0</v>
      </c>
      <c r="AB69" s="1578">
        <v>33571</v>
      </c>
      <c r="AC69" s="1576">
        <v>700</v>
      </c>
      <c r="AD69" s="1578">
        <v>66539</v>
      </c>
      <c r="AE69" s="1587">
        <v>4778</v>
      </c>
      <c r="AF69" s="1587">
        <v>81957</v>
      </c>
      <c r="AG69" s="1578">
        <v>330495</v>
      </c>
      <c r="AH69" s="1578">
        <v>63960</v>
      </c>
      <c r="AI69" s="1580">
        <f t="shared" si="3"/>
        <v>2582299.6607869742</v>
      </c>
      <c r="AJ69" s="1576"/>
    </row>
    <row r="70" spans="2:37">
      <c r="B70" s="492"/>
      <c r="C70" s="1606" t="s">
        <v>390</v>
      </c>
      <c r="D70" s="492">
        <f>(AI78+M111+Q110+W110)*((AI78+M111+Q110+W110)/(AI90+M123+Q122+W122))^1/(AI78+M111+Q110+W110)</f>
        <v>0.71030933244140659</v>
      </c>
      <c r="E70" s="492">
        <f>(AI78+M111+Q110+W110)*((AI78+M111+Q110+W110)/(AI90+M123+Q122+W122))^-1/(AI78+M111+Q110+W110)</f>
        <v>1.4078373383648173</v>
      </c>
      <c r="G70" s="1559" t="s">
        <v>402</v>
      </c>
      <c r="H70" s="1578">
        <v>771718</v>
      </c>
      <c r="I70" s="1576">
        <v>0</v>
      </c>
      <c r="J70" s="1576">
        <v>58400</v>
      </c>
      <c r="K70" s="1579">
        <v>33048</v>
      </c>
      <c r="L70" s="1579">
        <v>34425</v>
      </c>
      <c r="M70" s="1579">
        <v>44064</v>
      </c>
      <c r="N70" s="1577">
        <v>319043.58064516127</v>
      </c>
      <c r="O70" s="1579">
        <v>92871</v>
      </c>
      <c r="P70" s="1577">
        <v>15912</v>
      </c>
      <c r="Q70" s="1578">
        <v>0</v>
      </c>
      <c r="R70" s="1577">
        <v>228997</v>
      </c>
      <c r="S70" s="1577">
        <v>140798</v>
      </c>
      <c r="T70" s="1578">
        <v>0</v>
      </c>
      <c r="U70" s="1578">
        <v>350</v>
      </c>
      <c r="V70" s="1577">
        <v>154620</v>
      </c>
      <c r="W70" s="1587">
        <v>248307</v>
      </c>
      <c r="X70" s="1577">
        <v>682</v>
      </c>
      <c r="Y70" s="1577">
        <v>13158</v>
      </c>
      <c r="Z70" s="1577">
        <f>Z75</f>
        <v>49205.272727272728</v>
      </c>
      <c r="AA70" s="1577">
        <v>0</v>
      </c>
      <c r="AB70" s="1578">
        <v>41743</v>
      </c>
      <c r="AC70" s="1576">
        <v>700</v>
      </c>
      <c r="AD70" s="1578">
        <v>82768</v>
      </c>
      <c r="AE70" s="1587">
        <v>5652</v>
      </c>
      <c r="AF70" s="1587">
        <v>58411</v>
      </c>
      <c r="AG70" s="1578">
        <v>411103</v>
      </c>
      <c r="AH70" s="1578">
        <v>79560</v>
      </c>
      <c r="AI70" s="1580">
        <f t="shared" si="3"/>
        <v>2885535.8533724342</v>
      </c>
      <c r="AJ70" s="1576"/>
    </row>
    <row r="71" spans="2:37">
      <c r="B71" s="492"/>
      <c r="C71" s="1606" t="s">
        <v>392</v>
      </c>
      <c r="D71" s="492">
        <f>(AI79+M112+Q111+W111)*((AI79+M112+Q111+W111)/(AI90+M123+Q122+W122))^1/(AI79+M112+Q111+W111)</f>
        <v>1.0145423265090725</v>
      </c>
      <c r="E71" s="492">
        <f>(AI79+M112+Q111+W111)*((AI79+M112+Q111+W111)/(AI90+M123+Q122+W122))^-1/(AI79+M112+Q111+W111)</f>
        <v>0.98566612143318744</v>
      </c>
      <c r="G71" s="1559" t="s">
        <v>404</v>
      </c>
      <c r="H71" s="1578">
        <v>136186</v>
      </c>
      <c r="I71" s="1576">
        <v>58923</v>
      </c>
      <c r="J71" s="1576">
        <v>14048</v>
      </c>
      <c r="K71" s="1579">
        <v>5832</v>
      </c>
      <c r="L71" s="1579">
        <v>6075</v>
      </c>
      <c r="M71" s="1579">
        <v>7776</v>
      </c>
      <c r="N71" s="1577">
        <v>191485.04712041887</v>
      </c>
      <c r="O71" s="1579">
        <v>16389</v>
      </c>
      <c r="P71" s="1577">
        <v>3078</v>
      </c>
      <c r="Q71" s="1578">
        <v>0</v>
      </c>
      <c r="R71" s="1577">
        <v>150099</v>
      </c>
      <c r="S71" s="1577">
        <v>35335</v>
      </c>
      <c r="T71" s="1578">
        <v>0</v>
      </c>
      <c r="U71" s="1578">
        <v>63</v>
      </c>
      <c r="V71" s="1577">
        <v>27286</v>
      </c>
      <c r="W71" s="1587">
        <v>43819</v>
      </c>
      <c r="X71" s="1577">
        <v>120</v>
      </c>
      <c r="Y71" s="1577">
        <v>11195</v>
      </c>
      <c r="Z71" s="1579">
        <f>Z75</f>
        <v>49205.272727272728</v>
      </c>
      <c r="AA71" s="1577">
        <v>22842</v>
      </c>
      <c r="AB71" s="1578">
        <v>8719</v>
      </c>
      <c r="AC71" s="1576">
        <v>700</v>
      </c>
      <c r="AD71" s="1578">
        <v>14606</v>
      </c>
      <c r="AE71" s="1587">
        <v>3127</v>
      </c>
      <c r="AF71" s="1587">
        <v>122472</v>
      </c>
      <c r="AG71" s="1588">
        <v>72548</v>
      </c>
      <c r="AH71" s="1578">
        <v>14040</v>
      </c>
      <c r="AI71" s="1580">
        <f t="shared" si="3"/>
        <v>1015968.3198476916</v>
      </c>
      <c r="AJ71" s="1576"/>
    </row>
    <row r="72" spans="2:37">
      <c r="B72" s="492"/>
      <c r="C72" s="1606" t="s">
        <v>394</v>
      </c>
      <c r="D72" s="492">
        <f>(AI80+M113+Q112+W112)*((AI80+M113+Q112+W112)/(AI90+M123+Q122+W122))^1/(AI80+M113+Q112+W112)</f>
        <v>1.0478952343617072</v>
      </c>
      <c r="E72" s="492">
        <f>(AI80+M113+Q112+W112)*((AI80+M113+Q112+W112)/(AI90+M123+Q122+W122))^-1/(AI80+M113+Q112+W112)</f>
        <v>0.95429387138029986</v>
      </c>
      <c r="G72" s="1559" t="s">
        <v>406</v>
      </c>
      <c r="H72" s="1578">
        <v>499347</v>
      </c>
      <c r="I72" s="1576">
        <v>0</v>
      </c>
      <c r="J72" s="1576">
        <v>43669</v>
      </c>
      <c r="K72" s="1579">
        <v>21384</v>
      </c>
      <c r="L72" s="1579">
        <v>22275</v>
      </c>
      <c r="M72" s="1579">
        <v>28512</v>
      </c>
      <c r="N72" s="1577">
        <v>177230.68444875526</v>
      </c>
      <c r="O72" s="1579">
        <v>60093</v>
      </c>
      <c r="P72" s="1577">
        <v>10296</v>
      </c>
      <c r="Q72" s="1578">
        <v>0</v>
      </c>
      <c r="R72" s="1577">
        <v>157674</v>
      </c>
      <c r="S72" s="1577">
        <v>67686</v>
      </c>
      <c r="T72" s="1578">
        <v>0</v>
      </c>
      <c r="U72" s="1578">
        <v>252</v>
      </c>
      <c r="V72" s="1577">
        <v>100048</v>
      </c>
      <c r="W72" s="1587">
        <v>160669</v>
      </c>
      <c r="X72" s="1577">
        <v>441</v>
      </c>
      <c r="Y72" s="1577">
        <v>14855</v>
      </c>
      <c r="Z72" s="1577">
        <f>Z75</f>
        <v>49205.272727272728</v>
      </c>
      <c r="AA72" s="1577">
        <v>0</v>
      </c>
      <c r="AB72" s="1578">
        <v>27295</v>
      </c>
      <c r="AC72" s="1576">
        <v>700</v>
      </c>
      <c r="AD72" s="1578">
        <v>53556</v>
      </c>
      <c r="AE72" s="1587">
        <v>3746</v>
      </c>
      <c r="AF72" s="1579">
        <v>70935</v>
      </c>
      <c r="AG72" s="1578">
        <v>266008</v>
      </c>
      <c r="AH72" s="1578">
        <v>51480</v>
      </c>
      <c r="AI72" s="1580">
        <f t="shared" si="3"/>
        <v>1887356.9571760281</v>
      </c>
      <c r="AJ72" s="1576"/>
    </row>
    <row r="73" spans="2:37" ht="15">
      <c r="B73" s="492"/>
      <c r="C73" s="1606" t="s">
        <v>396</v>
      </c>
      <c r="D73" s="492">
        <f>(AI81+M114+Q113+W113)*((AI81+M114+Q113+W113)/(AI90+M123+Q122+W122))^1/(AI81+M114+Q113+W113)</f>
        <v>0.68469064331618579</v>
      </c>
      <c r="E73" s="492">
        <f>(AI81+M114+Q113+W113)*((AI81+M114+Q113+W113)/(AI90+M123+Q122+W122))^-1/(AI81+M114+Q113+W113)</f>
        <v>1.4605136053220555</v>
      </c>
      <c r="G73" s="1559" t="s">
        <v>400</v>
      </c>
      <c r="H73" s="1578">
        <v>126098</v>
      </c>
      <c r="I73" s="1576">
        <v>0</v>
      </c>
      <c r="J73" s="1576">
        <v>0</v>
      </c>
      <c r="K73" s="1579">
        <v>5400</v>
      </c>
      <c r="L73" s="1579">
        <v>5625</v>
      </c>
      <c r="M73" s="1579">
        <v>7200</v>
      </c>
      <c r="N73" s="1577">
        <v>106338.80333625988</v>
      </c>
      <c r="O73" s="1579">
        <v>15175</v>
      </c>
      <c r="P73" s="1577">
        <v>2250</v>
      </c>
      <c r="Q73" s="1578">
        <v>3125</v>
      </c>
      <c r="R73" s="1577">
        <v>0</v>
      </c>
      <c r="S73" s="1577">
        <v>23114</v>
      </c>
      <c r="T73" s="1578">
        <v>7556</v>
      </c>
      <c r="U73" s="1578">
        <v>0</v>
      </c>
      <c r="V73" s="1577">
        <v>25265</v>
      </c>
      <c r="W73" s="1587">
        <v>40573</v>
      </c>
      <c r="X73" s="1577">
        <v>300</v>
      </c>
      <c r="Y73" s="1577">
        <v>0</v>
      </c>
      <c r="Z73" s="1589"/>
      <c r="AA73" s="1577">
        <v>0</v>
      </c>
      <c r="AB73" s="1578">
        <v>7013</v>
      </c>
      <c r="AC73" s="1576"/>
      <c r="AD73" s="1588">
        <v>13524</v>
      </c>
      <c r="AE73" s="1587">
        <v>1562</v>
      </c>
      <c r="AF73" s="1590"/>
      <c r="AG73" s="1578">
        <v>67174</v>
      </c>
      <c r="AH73" s="1578">
        <v>13000</v>
      </c>
      <c r="AI73" s="1580">
        <f t="shared" si="3"/>
        <v>470292.80333625991</v>
      </c>
      <c r="AJ73" s="1576"/>
      <c r="AK73" s="1593">
        <f>AH73+AG73+AE73+AB73+X73+W73+S73+T73+V73+Q73+O73+N73+P73+M73+L73+K73+AD73+H73</f>
        <v>470292.80333625991</v>
      </c>
    </row>
    <row r="74" spans="2:37" ht="15">
      <c r="B74" s="492"/>
      <c r="C74" s="1606" t="s">
        <v>320</v>
      </c>
      <c r="D74" s="492">
        <f>(AI82+M115+Q114+W114)*((AI82+M115+Q114+W114)/(AI90+M128+Q127+W127))^1/(AI82+M115+Q114+W114)</f>
        <v>2.186664018160799</v>
      </c>
      <c r="E74" s="492">
        <f>(AI82+M115+Q114+W114)*((AI82+M115+Q114+W114)/(AI90+M128+Q127+W127))^-1/(AI82+M115+Q114+W114)</f>
        <v>0.45731762707702067</v>
      </c>
      <c r="G74" s="1559" t="s">
        <v>72</v>
      </c>
      <c r="H74" s="1581">
        <v>10218962</v>
      </c>
      <c r="I74" s="1580">
        <f>SUM(I62:I73)</f>
        <v>83687</v>
      </c>
      <c r="J74" s="1580">
        <f>SUM(J62:J73)</f>
        <v>648911</v>
      </c>
      <c r="K74" s="1581">
        <v>437616</v>
      </c>
      <c r="L74" s="1581">
        <v>455850</v>
      </c>
      <c r="M74" s="1581">
        <v>583488</v>
      </c>
      <c r="N74" s="1582">
        <v>5939305.681393791</v>
      </c>
      <c r="O74" s="1581">
        <v>1229782</v>
      </c>
      <c r="P74" s="1582">
        <v>209748</v>
      </c>
      <c r="Q74" s="1583">
        <v>25125</v>
      </c>
      <c r="R74" s="1582">
        <v>2234800</v>
      </c>
      <c r="S74" s="1582">
        <v>2253941</v>
      </c>
      <c r="T74" s="1583">
        <v>60748</v>
      </c>
      <c r="U74" s="1581">
        <v>3626</v>
      </c>
      <c r="V74" s="1582">
        <v>2047456</v>
      </c>
      <c r="W74" s="1584">
        <v>3288036</v>
      </c>
      <c r="X74" s="1582">
        <v>12399</v>
      </c>
      <c r="Y74" s="1582">
        <v>219729</v>
      </c>
      <c r="Z74" s="1585">
        <v>541258</v>
      </c>
      <c r="AA74" s="1582">
        <v>322434</v>
      </c>
      <c r="AB74" s="1581">
        <v>619038</v>
      </c>
      <c r="AC74" s="1586">
        <v>8400</v>
      </c>
      <c r="AD74" s="1583">
        <v>1096004</v>
      </c>
      <c r="AE74" s="1584">
        <v>87773</v>
      </c>
      <c r="AF74" s="1584">
        <v>1874543</v>
      </c>
      <c r="AG74" s="1583">
        <v>5443761</v>
      </c>
      <c r="AH74" s="1583">
        <v>1053520</v>
      </c>
      <c r="AI74" s="1580">
        <f>SUM(AI62:AI73)</f>
        <v>40935990.68139378</v>
      </c>
      <c r="AJ74" s="1592"/>
    </row>
    <row r="75" spans="2:37">
      <c r="B75" s="492"/>
      <c r="C75" s="1606" t="s">
        <v>398</v>
      </c>
      <c r="D75" s="492">
        <f>(AI83+M116+Q115+W115)*((AI83+M116+Q115+W115)/(AI90+M129+Q128+W128))^1/(AI83+M116+Q115+W115)</f>
        <v>1.1474320603901249</v>
      </c>
      <c r="E75" s="492">
        <f>(AI83+M116+Q115+W115)*((AI83+M116+Q115+W115)/(AI90+M129+Q128+W128))^-1/(AI83+M116+Q115+W115)</f>
        <v>0.87151129423732654</v>
      </c>
      <c r="Z75">
        <f>Z74/11</f>
        <v>49205.272727272728</v>
      </c>
    </row>
    <row r="76" spans="2:37">
      <c r="B76" s="492"/>
      <c r="C76" s="1606" t="s">
        <v>400</v>
      </c>
      <c r="D76" s="492">
        <f>(AI84+M117+Q116+W116)*((AI84+M117+Q116+W116)/(AI90+M130+Q129+W129))^1/(AI84+M117+Q116+W116)</f>
        <v>1.0355111562428529</v>
      </c>
      <c r="E76" s="492">
        <f>(AI84+M117+Q116+W116)*((AI84+M117+Q116+W116)/(AI90+M130+Q129+W129))^-1/(AI84+M117+Q116+W116)</f>
        <v>0.9657066406008622</v>
      </c>
      <c r="F76" s="1559" t="s">
        <v>2674</v>
      </c>
      <c r="G76" s="1568"/>
      <c r="H76" s="1559" t="s">
        <v>2675</v>
      </c>
      <c r="I76" s="1559" t="s">
        <v>2675</v>
      </c>
      <c r="J76" s="1559" t="s">
        <v>2675</v>
      </c>
      <c r="K76" s="1559" t="s">
        <v>2675</v>
      </c>
      <c r="L76" s="1559" t="s">
        <v>2675</v>
      </c>
      <c r="M76" s="1559" t="s">
        <v>2675</v>
      </c>
      <c r="N76" s="1559" t="s">
        <v>2675</v>
      </c>
      <c r="O76" s="1559" t="s">
        <v>2675</v>
      </c>
      <c r="P76" s="1559" t="s">
        <v>2675</v>
      </c>
      <c r="Q76" s="1559" t="s">
        <v>2675</v>
      </c>
      <c r="R76" s="1559" t="s">
        <v>2675</v>
      </c>
      <c r="S76" s="1559" t="s">
        <v>2675</v>
      </c>
      <c r="T76" s="1559" t="s">
        <v>2675</v>
      </c>
      <c r="U76" s="1559" t="s">
        <v>2675</v>
      </c>
      <c r="V76" s="1559" t="s">
        <v>2675</v>
      </c>
      <c r="W76" s="1559" t="s">
        <v>2675</v>
      </c>
      <c r="X76" s="1559" t="s">
        <v>2675</v>
      </c>
      <c r="Y76" s="1559" t="s">
        <v>2675</v>
      </c>
      <c r="Z76" s="1559" t="s">
        <v>2675</v>
      </c>
      <c r="AA76" s="1559" t="s">
        <v>2675</v>
      </c>
      <c r="AB76" s="1559" t="s">
        <v>2675</v>
      </c>
      <c r="AC76" s="1559" t="s">
        <v>2675</v>
      </c>
      <c r="AD76" s="1559" t="s">
        <v>2675</v>
      </c>
      <c r="AE76" s="1559" t="s">
        <v>2675</v>
      </c>
      <c r="AF76" s="1559" t="s">
        <v>2675</v>
      </c>
      <c r="AG76" s="1559" t="s">
        <v>2675</v>
      </c>
      <c r="AH76" s="1559" t="s">
        <v>2675</v>
      </c>
      <c r="AI76" s="1559" t="s">
        <v>2675</v>
      </c>
    </row>
    <row r="77" spans="2:37">
      <c r="B77" s="492"/>
      <c r="C77" s="1606" t="s">
        <v>402</v>
      </c>
      <c r="D77" s="492">
        <f>(AI85+M118+Q117+W117)*((AI85+M118+Q117+W117)/(AI90+M131+Q130+W130))^1/(AI85+M118+Q117+W117)</f>
        <v>1.2974916402554157</v>
      </c>
      <c r="E77" s="492">
        <f>(AI85+M118+Q117+W117)*((AI85+M118+Q117+W117)/(AI90+M131+Q130+W130))^-1/(AI85+M118+Q117+W117)</f>
        <v>0.77071787514804069</v>
      </c>
      <c r="F77" s="1559" t="s">
        <v>388</v>
      </c>
      <c r="G77" s="1601">
        <v>435</v>
      </c>
      <c r="H77" s="1571">
        <f>H62/G77</f>
        <v>5043.9103448275864</v>
      </c>
      <c r="I77" s="1568">
        <f>I62/G77</f>
        <v>0</v>
      </c>
      <c r="J77" s="1568">
        <f>J62/G77</f>
        <v>208.21379310344827</v>
      </c>
      <c r="K77" s="1568">
        <f>K62/G77</f>
        <v>216</v>
      </c>
      <c r="L77" s="1568">
        <f>L62/G77</f>
        <v>225</v>
      </c>
      <c r="M77" s="1568">
        <f>M62/G77</f>
        <v>288</v>
      </c>
      <c r="N77" s="1568">
        <f>N62/G77</f>
        <v>2687.4306125216367</v>
      </c>
      <c r="O77" s="1568">
        <f>O62/G77</f>
        <v>607</v>
      </c>
      <c r="P77" s="1568">
        <f>P62/G77</f>
        <v>104</v>
      </c>
      <c r="Q77" s="1568">
        <f>Q62/G77</f>
        <v>25.287356321839081</v>
      </c>
      <c r="R77" s="1568">
        <f>R62/G77</f>
        <v>196.0367816091954</v>
      </c>
      <c r="S77" s="1568">
        <f>S62/G77</f>
        <v>1078.2896551724139</v>
      </c>
      <c r="T77" s="1568">
        <f>T62/G77</f>
        <v>61.140229885057472</v>
      </c>
      <c r="U77" s="1568">
        <f>U62/G77</f>
        <v>1.5310344827586206</v>
      </c>
      <c r="V77" s="1568">
        <f>V62/G77</f>
        <v>1010.5908045977011</v>
      </c>
      <c r="W77" s="1568">
        <f>W62/G77</f>
        <v>1622.9195402298851</v>
      </c>
      <c r="X77" s="1568">
        <f>X62/G77</f>
        <v>7.0390804597701147</v>
      </c>
      <c r="Y77" s="1568">
        <f>Y62/G77</f>
        <v>57.397701149425288</v>
      </c>
      <c r="Z77" s="1568">
        <f>AA62/G77</f>
        <v>0</v>
      </c>
      <c r="AA77" s="1568">
        <f>AA62/G77</f>
        <v>0</v>
      </c>
      <c r="AB77" s="1568">
        <f>AB62/G77</f>
        <v>271.94942528735635</v>
      </c>
      <c r="AC77" s="1568">
        <f>AC62/G77</f>
        <v>1.6091954022988506</v>
      </c>
      <c r="AD77" s="1568">
        <f>AD62/G77</f>
        <v>540.97011494252877</v>
      </c>
      <c r="AE77" s="1568">
        <f>AE62/G77</f>
        <v>47.675862068965515</v>
      </c>
      <c r="AF77" s="1568">
        <f>AF62/G77</f>
        <v>395.57471264367814</v>
      </c>
      <c r="AG77" s="1568">
        <f>AG62/G77</f>
        <v>2686.9494252873565</v>
      </c>
      <c r="AH77" s="1568">
        <f>AH62/G77</f>
        <v>520</v>
      </c>
      <c r="AI77" s="1575">
        <f>AI62/G77</f>
        <v>18017.631239480885</v>
      </c>
    </row>
    <row r="78" spans="2:37">
      <c r="B78" s="492"/>
      <c r="C78" s="1606" t="s">
        <v>404</v>
      </c>
      <c r="D78" s="492">
        <f>(AI86+M119+Q118+W118)*((AI86+M119+Q118+W118)/(AI90+M132+Q131+W131))^1/(AI86+M119+Q118+W118)</f>
        <v>2.5637534288602124</v>
      </c>
      <c r="E78" s="492">
        <f>(AI86+M119+Q118+W118)*((AI86+M119+Q118+W118)/(AI90+M132+Q131+W131))^-1/(AI86+M119+Q118+W118)</f>
        <v>0.39005311070206067</v>
      </c>
      <c r="F78" s="1559" t="s">
        <v>390</v>
      </c>
      <c r="G78" s="1601">
        <v>398</v>
      </c>
      <c r="H78" s="1571">
        <f t="shared" ref="H78:H88" si="4">H63/G78</f>
        <v>5043.9095477386936</v>
      </c>
      <c r="I78" s="1568">
        <f t="shared" ref="I78:I88" si="5">I63/G78</f>
        <v>0</v>
      </c>
      <c r="J78" s="1568">
        <f t="shared" ref="J78:J88" si="6">J63/G78</f>
        <v>237.28643216080403</v>
      </c>
      <c r="K78" s="1568">
        <f t="shared" ref="K78:K88" si="7">K63/G78</f>
        <v>216</v>
      </c>
      <c r="L78" s="1568">
        <f t="shared" ref="L78:L88" si="8">L63/G78</f>
        <v>225</v>
      </c>
      <c r="M78" s="1568">
        <f t="shared" ref="M78:M88" si="9">M63/G78</f>
        <v>288</v>
      </c>
      <c r="N78" s="1568">
        <f t="shared" ref="N78:N88" si="10">N63/G78</f>
        <v>3046.4770573896558</v>
      </c>
      <c r="O78" s="1568">
        <f t="shared" ref="O78:O88" si="11">O63/G78</f>
        <v>607</v>
      </c>
      <c r="P78" s="1568">
        <f t="shared" ref="P78:P88" si="12">P63/G78</f>
        <v>104</v>
      </c>
      <c r="Q78" s="1568">
        <f t="shared" ref="Q78:Q88" si="13">Q63/G78</f>
        <v>5.3391959798994977</v>
      </c>
      <c r="R78" s="1568">
        <f t="shared" ref="R78:R88" si="14">R63/G78</f>
        <v>1007.786432160804</v>
      </c>
      <c r="S78" s="1568">
        <f t="shared" ref="S78:S88" si="15">S63/G78</f>
        <v>1308.6959798994974</v>
      </c>
      <c r="T78" s="1568">
        <f t="shared" ref="T78:T88" si="16">T63/G78</f>
        <v>12.909547738693467</v>
      </c>
      <c r="U78" s="1568">
        <f t="shared" ref="U78:U88" si="17">U63/G78</f>
        <v>1.8592964824120604</v>
      </c>
      <c r="V78" s="1568">
        <f t="shared" ref="V78:V88" si="18">V63/G78</f>
        <v>1010.5904522613065</v>
      </c>
      <c r="W78" s="1568">
        <f t="shared" ref="W78:W88" si="19">W63/G78</f>
        <v>1622.9195979899498</v>
      </c>
      <c r="X78" s="1568">
        <f t="shared" ref="X78:X88" si="20">X63/G78</f>
        <v>6.2939698492462313</v>
      </c>
      <c r="Y78" s="1568">
        <f t="shared" ref="Y78:Y90" si="21">Y63/G78</f>
        <v>75.439698492462313</v>
      </c>
      <c r="Z78" s="1568">
        <f t="shared" ref="Z78:Z88" si="22">AA63/G78</f>
        <v>0</v>
      </c>
      <c r="AA78" s="1568">
        <f t="shared" ref="AA78:AA88" si="23">AA63/G78</f>
        <v>0</v>
      </c>
      <c r="AB78" s="1568">
        <f t="shared" ref="AB78:AB88" si="24">AB63/G78</f>
        <v>272.16582914572865</v>
      </c>
      <c r="AC78" s="1568">
        <f t="shared" ref="AC78:AC88" si="25">AC63/G78</f>
        <v>1.7587939698492463</v>
      </c>
      <c r="AD78" s="1568">
        <f t="shared" ref="AD78:AD88" si="26">AD63/G78</f>
        <v>540.96984924623121</v>
      </c>
      <c r="AE78" s="1568">
        <f t="shared" ref="AE78:AE88" si="27">AE63/G78</f>
        <v>39.87688442211055</v>
      </c>
      <c r="AF78" s="1568">
        <f t="shared" ref="AF78:AF88" si="28">AF63/G78</f>
        <v>446.46231155778895</v>
      </c>
      <c r="AG78" s="1568">
        <f t="shared" ref="AG78:AG88" si="29">AG63/G78</f>
        <v>2686.9497487437184</v>
      </c>
      <c r="AH78" s="1568">
        <f t="shared" ref="AH78:AH88" si="30">AH63/G78</f>
        <v>520</v>
      </c>
      <c r="AI78" s="1575">
        <f t="shared" ref="AI78:AI89" si="31">AI63/G78</f>
        <v>19451.321963739585</v>
      </c>
    </row>
    <row r="79" spans="2:37">
      <c r="B79" s="492"/>
      <c r="C79" s="1606" t="s">
        <v>406</v>
      </c>
      <c r="D79" s="492">
        <f>(AI87+M120+Q119+W119)*((AI87+M120+Q119+W119)/(AI90+M133+Q132+W132))^1/(AI87+M120+Q119+W119)</f>
        <v>1.2568269214381877</v>
      </c>
      <c r="E79" s="492">
        <f>(AI87+M120+Q119+W119)*((AI87+M120+Q119+W119)/(AI90+M133+Q132+W132))^-1/(AI87+M120+Q119+W119)</f>
        <v>0.79565450337083765</v>
      </c>
      <c r="F79" s="1559" t="s">
        <v>392</v>
      </c>
      <c r="G79" s="1601">
        <v>194</v>
      </c>
      <c r="H79" s="1571">
        <f t="shared" si="4"/>
        <v>5043.9123711340208</v>
      </c>
      <c r="I79" s="1568">
        <f t="shared" si="5"/>
        <v>0</v>
      </c>
      <c r="J79" s="1568">
        <f t="shared" si="6"/>
        <v>385.84536082474227</v>
      </c>
      <c r="K79" s="1568">
        <f t="shared" si="7"/>
        <v>216</v>
      </c>
      <c r="L79" s="1568">
        <f t="shared" si="8"/>
        <v>225</v>
      </c>
      <c r="M79" s="1568">
        <f t="shared" si="9"/>
        <v>288</v>
      </c>
      <c r="N79" s="1568">
        <f t="shared" si="10"/>
        <v>3076.5148006306226</v>
      </c>
      <c r="O79" s="1568">
        <f t="shared" si="11"/>
        <v>607</v>
      </c>
      <c r="P79" s="1568">
        <f t="shared" si="12"/>
        <v>104</v>
      </c>
      <c r="Q79" s="1568">
        <f t="shared" si="13"/>
        <v>1.2886597938144331</v>
      </c>
      <c r="R79" s="1568">
        <f t="shared" si="14"/>
        <v>1962.9587628865979</v>
      </c>
      <c r="S79" s="1568">
        <f t="shared" si="15"/>
        <v>1308.6958762886597</v>
      </c>
      <c r="T79" s="1568">
        <f t="shared" si="16"/>
        <v>3.1134020618556701</v>
      </c>
      <c r="U79" s="1568">
        <f t="shared" si="17"/>
        <v>2.0412371134020617</v>
      </c>
      <c r="V79" s="1568">
        <f t="shared" si="18"/>
        <v>1010.5876288659794</v>
      </c>
      <c r="W79" s="1568">
        <f t="shared" si="19"/>
        <v>1622.9175257731958</v>
      </c>
      <c r="X79" s="1568">
        <f t="shared" si="20"/>
        <v>5.1546391752577323</v>
      </c>
      <c r="Y79" s="1568">
        <f t="shared" si="21"/>
        <v>90.159793814432987</v>
      </c>
      <c r="Z79" s="1568">
        <f t="shared" si="22"/>
        <v>846</v>
      </c>
      <c r="AA79" s="1568">
        <f t="shared" si="23"/>
        <v>846</v>
      </c>
      <c r="AB79" s="1568">
        <f t="shared" si="24"/>
        <v>274.72680412371136</v>
      </c>
      <c r="AC79" s="1568">
        <f t="shared" si="25"/>
        <v>3.6082474226804124</v>
      </c>
      <c r="AD79" s="1568">
        <f t="shared" si="26"/>
        <v>540.96907216494844</v>
      </c>
      <c r="AE79" s="1568">
        <f t="shared" si="27"/>
        <v>41.190721649484537</v>
      </c>
      <c r="AF79" s="1568">
        <f t="shared" si="28"/>
        <v>1457.8865979381444</v>
      </c>
      <c r="AG79" s="1568">
        <f t="shared" si="29"/>
        <v>2686.9484536082473</v>
      </c>
      <c r="AH79" s="1568">
        <f t="shared" si="30"/>
        <v>520</v>
      </c>
      <c r="AI79" s="1575">
        <f t="shared" si="31"/>
        <v>22578.155381699034</v>
      </c>
    </row>
    <row r="80" spans="2:37">
      <c r="B80" s="492"/>
      <c r="C80" s="1606" t="s">
        <v>400</v>
      </c>
      <c r="D80" s="492"/>
      <c r="E80" s="492"/>
      <c r="F80" s="1559" t="s">
        <v>394</v>
      </c>
      <c r="G80" s="1601">
        <v>142</v>
      </c>
      <c r="H80" s="1571">
        <f t="shared" si="4"/>
        <v>5043.9084507042253</v>
      </c>
      <c r="I80" s="1568">
        <f t="shared" si="5"/>
        <v>0</v>
      </c>
      <c r="J80" s="1568">
        <f t="shared" si="6"/>
        <v>438.42957746478874</v>
      </c>
      <c r="K80" s="1568">
        <f t="shared" si="7"/>
        <v>216</v>
      </c>
      <c r="L80" s="1568">
        <f t="shared" si="8"/>
        <v>225</v>
      </c>
      <c r="M80" s="1568">
        <f t="shared" si="9"/>
        <v>288</v>
      </c>
      <c r="N80" s="1568">
        <f t="shared" si="10"/>
        <v>2800.6013175829166</v>
      </c>
      <c r="O80" s="1568">
        <f t="shared" si="11"/>
        <v>607</v>
      </c>
      <c r="P80" s="1568">
        <f t="shared" si="12"/>
        <v>114</v>
      </c>
      <c r="Q80" s="1568">
        <f t="shared" si="13"/>
        <v>7.922535211267606</v>
      </c>
      <c r="R80" s="1568">
        <f t="shared" si="14"/>
        <v>1832.0070422535211</v>
      </c>
      <c r="S80" s="1568">
        <f t="shared" si="15"/>
        <v>1308.6971830985915</v>
      </c>
      <c r="T80" s="1568">
        <f t="shared" si="16"/>
        <v>19.154929577464788</v>
      </c>
      <c r="U80" s="1568">
        <f t="shared" si="17"/>
        <v>1.5774647887323943</v>
      </c>
      <c r="V80" s="1568">
        <f t="shared" si="18"/>
        <v>1010.5915492957746</v>
      </c>
      <c r="W80" s="1568">
        <f t="shared" si="19"/>
        <v>1622.9225352112676</v>
      </c>
      <c r="X80" s="1568">
        <f t="shared" si="20"/>
        <v>6.105633802816901</v>
      </c>
      <c r="Y80" s="1568">
        <f t="shared" si="21"/>
        <v>178.57042253521126</v>
      </c>
      <c r="Z80" s="1568">
        <f t="shared" si="22"/>
        <v>954</v>
      </c>
      <c r="AA80" s="1568">
        <f t="shared" si="23"/>
        <v>954</v>
      </c>
      <c r="AB80" s="1568">
        <f t="shared" si="24"/>
        <v>281.66197183098592</v>
      </c>
      <c r="AC80" s="1568">
        <f t="shared" si="25"/>
        <v>4.929577464788732</v>
      </c>
      <c r="AD80" s="1568">
        <f t="shared" si="26"/>
        <v>540.97183098591552</v>
      </c>
      <c r="AE80" s="1568">
        <f t="shared" si="27"/>
        <v>46.901408450704224</v>
      </c>
      <c r="AF80" s="1568">
        <f t="shared" si="28"/>
        <v>2658.788732394366</v>
      </c>
      <c r="AG80" s="1568">
        <f t="shared" si="29"/>
        <v>2686.9507042253522</v>
      </c>
      <c r="AH80" s="1568">
        <f t="shared" si="30"/>
        <v>520</v>
      </c>
      <c r="AI80" s="1575">
        <f t="shared" si="31"/>
        <v>23761.20887200033</v>
      </c>
    </row>
    <row r="81" spans="2:35">
      <c r="B81" t="s">
        <v>2683</v>
      </c>
      <c r="F81" s="1559" t="s">
        <v>396</v>
      </c>
      <c r="G81" s="1601">
        <v>303</v>
      </c>
      <c r="H81" s="1571">
        <f t="shared" si="4"/>
        <v>5043.9108910891091</v>
      </c>
      <c r="I81" s="1568">
        <f t="shared" si="5"/>
        <v>0</v>
      </c>
      <c r="J81" s="1568">
        <f t="shared" si="6"/>
        <v>311.92739273927396</v>
      </c>
      <c r="K81" s="1568">
        <f t="shared" si="7"/>
        <v>216</v>
      </c>
      <c r="L81" s="1568">
        <f t="shared" si="8"/>
        <v>225</v>
      </c>
      <c r="M81" s="1568">
        <f t="shared" si="9"/>
        <v>288</v>
      </c>
      <c r="N81" s="1568">
        <f t="shared" si="10"/>
        <v>2926.4296338030749</v>
      </c>
      <c r="O81" s="1568">
        <f t="shared" si="11"/>
        <v>607</v>
      </c>
      <c r="P81" s="1568">
        <f t="shared" si="12"/>
        <v>104</v>
      </c>
      <c r="Q81" s="1568">
        <f t="shared" si="13"/>
        <v>19.801980198019802</v>
      </c>
      <c r="R81" s="1568">
        <f t="shared" si="14"/>
        <v>949.58085808580859</v>
      </c>
      <c r="S81" s="1568">
        <f t="shared" si="15"/>
        <v>1078.2904290429042</v>
      </c>
      <c r="T81" s="1568">
        <f t="shared" si="16"/>
        <v>47.877887788778878</v>
      </c>
      <c r="U81" s="1568">
        <f t="shared" si="17"/>
        <v>1.5907590759075907</v>
      </c>
      <c r="V81" s="1568">
        <f t="shared" si="18"/>
        <v>1010.5907590759076</v>
      </c>
      <c r="W81" s="1568">
        <f t="shared" si="19"/>
        <v>1622.920792079208</v>
      </c>
      <c r="X81" s="1568">
        <f t="shared" si="20"/>
        <v>6.7722772277227721</v>
      </c>
      <c r="Y81" s="1568">
        <f t="shared" si="21"/>
        <v>98.801980198019805</v>
      </c>
      <c r="Z81" s="1568">
        <f t="shared" si="22"/>
        <v>0</v>
      </c>
      <c r="AA81" s="1568">
        <f t="shared" si="23"/>
        <v>0</v>
      </c>
      <c r="AB81" s="1568">
        <f t="shared" si="24"/>
        <v>272.21452145214522</v>
      </c>
      <c r="AC81" s="1568">
        <f t="shared" si="25"/>
        <v>2.3102310231023102</v>
      </c>
      <c r="AD81" s="1568">
        <f t="shared" si="26"/>
        <v>540.97029702970292</v>
      </c>
      <c r="AE81" s="1568">
        <f t="shared" si="27"/>
        <v>42.795379537953792</v>
      </c>
      <c r="AF81" s="1568">
        <f t="shared" si="28"/>
        <v>383.20462046204619</v>
      </c>
      <c r="AG81" s="1568">
        <f t="shared" si="29"/>
        <v>2686.9504950495048</v>
      </c>
      <c r="AH81" s="1568">
        <f t="shared" si="30"/>
        <v>520</v>
      </c>
      <c r="AI81" s="1575">
        <f t="shared" si="31"/>
        <v>19169.334824322126</v>
      </c>
    </row>
    <row r="82" spans="2:35">
      <c r="B82" t="s">
        <v>2684</v>
      </c>
      <c r="F82" s="1559" t="s">
        <v>320</v>
      </c>
      <c r="G82" s="1602">
        <v>41</v>
      </c>
      <c r="H82" s="1571">
        <f t="shared" si="4"/>
        <v>5043.9024390243903</v>
      </c>
      <c r="I82" s="1568">
        <f t="shared" si="5"/>
        <v>604</v>
      </c>
      <c r="J82" s="1568">
        <f t="shared" si="6"/>
        <v>517.78048780487802</v>
      </c>
      <c r="K82" s="1568">
        <f t="shared" si="7"/>
        <v>216</v>
      </c>
      <c r="L82" s="1568">
        <f t="shared" si="8"/>
        <v>225</v>
      </c>
      <c r="M82" s="1568">
        <f t="shared" si="9"/>
        <v>288</v>
      </c>
      <c r="N82" s="1568">
        <f t="shared" si="10"/>
        <v>4277.211403565223</v>
      </c>
      <c r="O82" s="1568">
        <f t="shared" si="11"/>
        <v>607</v>
      </c>
      <c r="P82" s="1568">
        <f t="shared" si="12"/>
        <v>90</v>
      </c>
      <c r="Q82" s="1568">
        <f t="shared" si="13"/>
        <v>12.195121951219512</v>
      </c>
      <c r="R82" s="1568">
        <f t="shared" si="14"/>
        <v>178.19512195121951</v>
      </c>
      <c r="S82" s="1568">
        <f t="shared" si="15"/>
        <v>920.70731707317077</v>
      </c>
      <c r="T82" s="1568">
        <f t="shared" si="16"/>
        <v>29.487804878048781</v>
      </c>
      <c r="U82" s="1568">
        <f t="shared" si="17"/>
        <v>1.9512195121951219</v>
      </c>
      <c r="V82" s="1568">
        <f t="shared" si="18"/>
        <v>1010.5853658536586</v>
      </c>
      <c r="W82" s="1568">
        <f t="shared" si="19"/>
        <v>1622.9268292682927</v>
      </c>
      <c r="X82" s="1568">
        <f t="shared" si="20"/>
        <v>6.2926829268292686</v>
      </c>
      <c r="Y82" s="1568">
        <f t="shared" si="21"/>
        <v>365.19512195121951</v>
      </c>
      <c r="Z82" s="1568">
        <f t="shared" si="22"/>
        <v>0</v>
      </c>
      <c r="AA82" s="1568">
        <f t="shared" si="23"/>
        <v>0</v>
      </c>
      <c r="AB82" s="1568">
        <f t="shared" si="24"/>
        <v>278.7560975609756</v>
      </c>
      <c r="AC82" s="1568">
        <f t="shared" si="25"/>
        <v>17.073170731707318</v>
      </c>
      <c r="AD82" s="1568">
        <f t="shared" si="26"/>
        <v>540.97560975609758</v>
      </c>
      <c r="AE82" s="1568">
        <f t="shared" si="27"/>
        <v>21.219512195121951</v>
      </c>
      <c r="AF82" s="1568">
        <f t="shared" si="28"/>
        <v>8189.1951219512193</v>
      </c>
      <c r="AG82" s="1568">
        <f t="shared" si="29"/>
        <v>2686.9512195121952</v>
      </c>
      <c r="AH82" s="1568">
        <f t="shared" si="30"/>
        <v>520</v>
      </c>
      <c r="AI82" s="1575">
        <f t="shared" si="31"/>
        <v>29470.730250571876</v>
      </c>
    </row>
    <row r="83" spans="2:35">
      <c r="F83" s="1559" t="s">
        <v>398</v>
      </c>
      <c r="G83" s="1601">
        <v>86</v>
      </c>
      <c r="H83" s="1571">
        <f t="shared" si="4"/>
        <v>5043.9069767441861</v>
      </c>
      <c r="I83" s="1568">
        <f t="shared" si="5"/>
        <v>0</v>
      </c>
      <c r="J83" s="1568">
        <f t="shared" si="6"/>
        <v>455.39534883720933</v>
      </c>
      <c r="K83" s="1568">
        <f t="shared" si="7"/>
        <v>216</v>
      </c>
      <c r="L83" s="1568">
        <f t="shared" si="8"/>
        <v>225</v>
      </c>
      <c r="M83" s="1568">
        <f t="shared" si="9"/>
        <v>288</v>
      </c>
      <c r="N83" s="1568">
        <f t="shared" si="10"/>
        <v>2361.1731103241377</v>
      </c>
      <c r="O83" s="1568">
        <f t="shared" si="11"/>
        <v>607</v>
      </c>
      <c r="P83" s="1568">
        <f t="shared" si="12"/>
        <v>104</v>
      </c>
      <c r="Q83" s="1568">
        <f t="shared" si="13"/>
        <v>0</v>
      </c>
      <c r="R83" s="1568">
        <f t="shared" si="14"/>
        <v>1687.8023255813953</v>
      </c>
      <c r="S83" s="1568">
        <f t="shared" si="15"/>
        <v>920.70930232558135</v>
      </c>
      <c r="T83" s="1568">
        <f t="shared" si="16"/>
        <v>0</v>
      </c>
      <c r="U83" s="1568">
        <f t="shared" si="17"/>
        <v>2.2674418604651163</v>
      </c>
      <c r="V83" s="1568">
        <f t="shared" si="18"/>
        <v>1010.5930232558139</v>
      </c>
      <c r="W83" s="1568">
        <f t="shared" si="19"/>
        <v>1622.9186046511627</v>
      </c>
      <c r="X83" s="1568">
        <f t="shared" si="20"/>
        <v>4.4534883720930232</v>
      </c>
      <c r="Y83" s="1568">
        <f t="shared" si="21"/>
        <v>171.2906976744186</v>
      </c>
      <c r="Z83" s="1568">
        <f t="shared" si="22"/>
        <v>0</v>
      </c>
      <c r="AA83" s="1568">
        <f t="shared" si="23"/>
        <v>0</v>
      </c>
      <c r="AB83" s="1568">
        <f t="shared" si="24"/>
        <v>274.69767441860466</v>
      </c>
      <c r="AC83" s="1568">
        <f t="shared" si="25"/>
        <v>8.1395348837209305</v>
      </c>
      <c r="AD83" s="1568">
        <f t="shared" si="26"/>
        <v>540.96511627906978</v>
      </c>
      <c r="AE83" s="1568">
        <f t="shared" si="27"/>
        <v>44.302325581395351</v>
      </c>
      <c r="AF83" s="1568">
        <f t="shared" si="28"/>
        <v>915.75581395348843</v>
      </c>
      <c r="AG83" s="1568">
        <f t="shared" si="29"/>
        <v>2686.953488372093</v>
      </c>
      <c r="AH83" s="1568">
        <f t="shared" si="30"/>
        <v>520</v>
      </c>
      <c r="AI83" s="1575">
        <f t="shared" si="31"/>
        <v>20283.478607152891</v>
      </c>
    </row>
    <row r="84" spans="2:35">
      <c r="F84" s="1559" t="s">
        <v>1295</v>
      </c>
      <c r="G84" s="1601">
        <v>148</v>
      </c>
      <c r="H84" s="1571">
        <f t="shared" si="4"/>
        <v>4191.8986486486483</v>
      </c>
      <c r="I84" s="1568">
        <f t="shared" si="5"/>
        <v>0</v>
      </c>
      <c r="J84" s="1568">
        <f t="shared" si="6"/>
        <v>376.77702702702703</v>
      </c>
      <c r="K84" s="1568">
        <f t="shared" si="7"/>
        <v>179.51351351351352</v>
      </c>
      <c r="L84" s="1568">
        <f t="shared" si="8"/>
        <v>186.99324324324326</v>
      </c>
      <c r="M84" s="1568">
        <f t="shared" si="9"/>
        <v>239.35135135135135</v>
      </c>
      <c r="N84" s="1568">
        <f t="shared" si="10"/>
        <v>3405.4958652682531</v>
      </c>
      <c r="O84" s="1568">
        <f t="shared" si="11"/>
        <v>504.4662162162162</v>
      </c>
      <c r="P84" s="1568">
        <f t="shared" si="12"/>
        <v>74.797297297297291</v>
      </c>
      <c r="Q84" s="1568">
        <f t="shared" si="13"/>
        <v>6.756756756756757</v>
      </c>
      <c r="R84" s="1568">
        <f t="shared" si="14"/>
        <v>881.8648648648649</v>
      </c>
      <c r="S84" s="1568">
        <f t="shared" si="15"/>
        <v>768.35810810810813</v>
      </c>
      <c r="T84" s="1568">
        <f t="shared" si="16"/>
        <v>16.337837837837839</v>
      </c>
      <c r="U84" s="1568">
        <f t="shared" si="17"/>
        <v>1.2027027027027026</v>
      </c>
      <c r="V84" s="1568">
        <f t="shared" si="18"/>
        <v>839.8851351351351</v>
      </c>
      <c r="W84" s="1568">
        <f t="shared" si="19"/>
        <v>1348.7770270270271</v>
      </c>
      <c r="X84" s="1568">
        <f t="shared" si="20"/>
        <v>4.9256756756756754</v>
      </c>
      <c r="Y84" s="1568">
        <f t="shared" si="21"/>
        <v>155.66891891891891</v>
      </c>
      <c r="Z84" s="1568">
        <f t="shared" si="22"/>
        <v>0</v>
      </c>
      <c r="AA84" s="1568">
        <f t="shared" si="23"/>
        <v>0</v>
      </c>
      <c r="AB84" s="1568">
        <f t="shared" si="24"/>
        <v>226.83108108108109</v>
      </c>
      <c r="AC84" s="1568">
        <f t="shared" si="25"/>
        <v>4.7297297297297298</v>
      </c>
      <c r="AD84" s="1568">
        <f t="shared" si="26"/>
        <v>449.58783783783781</v>
      </c>
      <c r="AE84" s="1568">
        <f t="shared" si="27"/>
        <v>32.283783783783782</v>
      </c>
      <c r="AF84" s="1568">
        <f t="shared" si="28"/>
        <v>553.76351351351354</v>
      </c>
      <c r="AG84" s="1568">
        <f t="shared" si="29"/>
        <v>2233.0743243243242</v>
      </c>
      <c r="AH84" s="1568">
        <f t="shared" si="30"/>
        <v>432.16216216216219</v>
      </c>
      <c r="AI84" s="1575">
        <f t="shared" si="31"/>
        <v>17447.970680993069</v>
      </c>
    </row>
    <row r="85" spans="2:35">
      <c r="F85" s="1559" t="s">
        <v>402</v>
      </c>
      <c r="G85" s="1601">
        <v>153</v>
      </c>
      <c r="H85" s="1571">
        <f t="shared" si="4"/>
        <v>5043.9084967320259</v>
      </c>
      <c r="I85" s="1568">
        <f t="shared" si="5"/>
        <v>0</v>
      </c>
      <c r="J85" s="1568">
        <f t="shared" si="6"/>
        <v>381.69934640522877</v>
      </c>
      <c r="K85" s="1568">
        <f t="shared" si="7"/>
        <v>216</v>
      </c>
      <c r="L85" s="1568">
        <f t="shared" si="8"/>
        <v>225</v>
      </c>
      <c r="M85" s="1568">
        <f t="shared" si="9"/>
        <v>288</v>
      </c>
      <c r="N85" s="1568">
        <f t="shared" si="10"/>
        <v>2085.2521610794856</v>
      </c>
      <c r="O85" s="1568">
        <f t="shared" si="11"/>
        <v>607</v>
      </c>
      <c r="P85" s="1568">
        <f t="shared" si="12"/>
        <v>104</v>
      </c>
      <c r="Q85" s="1568">
        <f t="shared" si="13"/>
        <v>0</v>
      </c>
      <c r="R85" s="1568">
        <f t="shared" si="14"/>
        <v>1496.7124183006536</v>
      </c>
      <c r="S85" s="1568">
        <f t="shared" si="15"/>
        <v>920.24836601307186</v>
      </c>
      <c r="T85" s="1568">
        <f t="shared" si="16"/>
        <v>0</v>
      </c>
      <c r="U85" s="1568">
        <f t="shared" si="17"/>
        <v>2.2875816993464051</v>
      </c>
      <c r="V85" s="1568">
        <f t="shared" si="18"/>
        <v>1010.5882352941177</v>
      </c>
      <c r="W85" s="1568">
        <f t="shared" si="19"/>
        <v>1622.9215686274511</v>
      </c>
      <c r="X85" s="1568">
        <f t="shared" si="20"/>
        <v>4.4575163398692812</v>
      </c>
      <c r="Y85" s="1568">
        <f t="shared" si="21"/>
        <v>86</v>
      </c>
      <c r="Z85" s="1568">
        <f t="shared" si="22"/>
        <v>0</v>
      </c>
      <c r="AA85" s="1568">
        <f t="shared" si="23"/>
        <v>0</v>
      </c>
      <c r="AB85" s="1568">
        <f t="shared" si="24"/>
        <v>272.83006535947715</v>
      </c>
      <c r="AC85" s="1568">
        <f t="shared" si="25"/>
        <v>4.5751633986928102</v>
      </c>
      <c r="AD85" s="1568">
        <f t="shared" si="26"/>
        <v>540.96732026143786</v>
      </c>
      <c r="AE85" s="1568">
        <f t="shared" si="27"/>
        <v>36.941176470588232</v>
      </c>
      <c r="AF85" s="1568">
        <f t="shared" si="28"/>
        <v>381.77124183006538</v>
      </c>
      <c r="AG85" s="1568">
        <f t="shared" si="29"/>
        <v>2686.9477124183009</v>
      </c>
      <c r="AH85" s="1568">
        <f t="shared" si="30"/>
        <v>520</v>
      </c>
      <c r="AI85" s="1575">
        <f t="shared" si="31"/>
        <v>18859.711459950551</v>
      </c>
    </row>
    <row r="86" spans="2:35">
      <c r="F86" s="1559" t="s">
        <v>404</v>
      </c>
      <c r="G86" s="1601">
        <v>27</v>
      </c>
      <c r="H86" s="1571">
        <f t="shared" si="4"/>
        <v>5043.9259259259261</v>
      </c>
      <c r="I86" s="1568">
        <f t="shared" si="5"/>
        <v>2182.3333333333335</v>
      </c>
      <c r="J86" s="1568">
        <f t="shared" si="6"/>
        <v>520.2962962962963</v>
      </c>
      <c r="K86" s="1568">
        <f t="shared" si="7"/>
        <v>216</v>
      </c>
      <c r="L86" s="1568">
        <f t="shared" si="8"/>
        <v>225</v>
      </c>
      <c r="M86" s="1568">
        <f t="shared" si="9"/>
        <v>288</v>
      </c>
      <c r="N86" s="1568">
        <f t="shared" si="10"/>
        <v>7092.0387822377361</v>
      </c>
      <c r="O86" s="1568">
        <f t="shared" si="11"/>
        <v>607</v>
      </c>
      <c r="P86" s="1568">
        <f t="shared" si="12"/>
        <v>114</v>
      </c>
      <c r="Q86" s="1568">
        <f t="shared" si="13"/>
        <v>0</v>
      </c>
      <c r="R86" s="1568">
        <f t="shared" si="14"/>
        <v>5559.2222222222226</v>
      </c>
      <c r="S86" s="1568">
        <f t="shared" si="15"/>
        <v>1308.7037037037037</v>
      </c>
      <c r="T86" s="1568">
        <f t="shared" si="16"/>
        <v>0</v>
      </c>
      <c r="U86" s="1568">
        <f t="shared" si="17"/>
        <v>2.3333333333333335</v>
      </c>
      <c r="V86" s="1568">
        <f t="shared" si="18"/>
        <v>1010.5925925925926</v>
      </c>
      <c r="W86" s="1568">
        <f t="shared" si="19"/>
        <v>1622.9259259259259</v>
      </c>
      <c r="X86" s="1568">
        <f t="shared" si="20"/>
        <v>4.4444444444444446</v>
      </c>
      <c r="Y86" s="1568">
        <f t="shared" si="21"/>
        <v>414.62962962962962</v>
      </c>
      <c r="Z86" s="1568">
        <f t="shared" si="22"/>
        <v>846</v>
      </c>
      <c r="AA86" s="1568">
        <f t="shared" si="23"/>
        <v>846</v>
      </c>
      <c r="AB86" s="1568">
        <f t="shared" si="24"/>
        <v>322.92592592592592</v>
      </c>
      <c r="AC86" s="1568">
        <f t="shared" si="25"/>
        <v>25.925925925925927</v>
      </c>
      <c r="AD86" s="1568">
        <f t="shared" si="26"/>
        <v>540.96296296296293</v>
      </c>
      <c r="AE86" s="1568">
        <f t="shared" si="27"/>
        <v>115.81481481481481</v>
      </c>
      <c r="AF86" s="1568">
        <f t="shared" si="28"/>
        <v>4536</v>
      </c>
      <c r="AG86" s="1568">
        <f t="shared" si="29"/>
        <v>2686.962962962963</v>
      </c>
      <c r="AH86" s="1568">
        <f t="shared" si="30"/>
        <v>520</v>
      </c>
      <c r="AI86" s="1575">
        <f t="shared" si="31"/>
        <v>37628.456290655246</v>
      </c>
    </row>
    <row r="87" spans="2:35">
      <c r="F87" s="1559" t="s">
        <v>406</v>
      </c>
      <c r="G87" s="1601">
        <v>99</v>
      </c>
      <c r="H87" s="1571">
        <f t="shared" si="4"/>
        <v>5043.909090909091</v>
      </c>
      <c r="I87" s="1568">
        <f t="shared" si="5"/>
        <v>0</v>
      </c>
      <c r="J87" s="1568">
        <f t="shared" si="6"/>
        <v>441.1010101010101</v>
      </c>
      <c r="K87" s="1568">
        <f t="shared" si="7"/>
        <v>216</v>
      </c>
      <c r="L87" s="1568">
        <f t="shared" si="8"/>
        <v>225</v>
      </c>
      <c r="M87" s="1568">
        <f t="shared" si="9"/>
        <v>288</v>
      </c>
      <c r="N87" s="1568">
        <f t="shared" si="10"/>
        <v>1790.2089338258106</v>
      </c>
      <c r="O87" s="1568">
        <f t="shared" si="11"/>
        <v>607</v>
      </c>
      <c r="P87" s="1568">
        <f t="shared" si="12"/>
        <v>104</v>
      </c>
      <c r="Q87" s="1568">
        <f t="shared" si="13"/>
        <v>0</v>
      </c>
      <c r="R87" s="1568">
        <f t="shared" si="14"/>
        <v>1592.6666666666667</v>
      </c>
      <c r="S87" s="1568">
        <f t="shared" si="15"/>
        <v>683.69696969696975</v>
      </c>
      <c r="T87" s="1568">
        <f t="shared" si="16"/>
        <v>0</v>
      </c>
      <c r="U87" s="1568">
        <f t="shared" si="17"/>
        <v>2.5454545454545454</v>
      </c>
      <c r="V87" s="1568">
        <f t="shared" si="18"/>
        <v>1010.5858585858585</v>
      </c>
      <c r="W87" s="1568">
        <f t="shared" si="19"/>
        <v>1622.9191919191919</v>
      </c>
      <c r="X87" s="1568">
        <f t="shared" si="20"/>
        <v>4.4545454545454541</v>
      </c>
      <c r="Y87" s="1568">
        <f t="shared" si="21"/>
        <v>150.05050505050505</v>
      </c>
      <c r="Z87" s="1568">
        <f t="shared" si="22"/>
        <v>0</v>
      </c>
      <c r="AA87" s="1568">
        <f t="shared" si="23"/>
        <v>0</v>
      </c>
      <c r="AB87" s="1568">
        <f t="shared" si="24"/>
        <v>275.70707070707073</v>
      </c>
      <c r="AC87" s="1568">
        <f t="shared" si="25"/>
        <v>7.0707070707070709</v>
      </c>
      <c r="AD87" s="1568">
        <f t="shared" si="26"/>
        <v>540.969696969697</v>
      </c>
      <c r="AE87" s="1568">
        <f t="shared" si="27"/>
        <v>37.838383838383841</v>
      </c>
      <c r="AF87" s="1568">
        <f t="shared" si="28"/>
        <v>716.5151515151515</v>
      </c>
      <c r="AG87" s="1568">
        <f t="shared" si="29"/>
        <v>2686.9494949494951</v>
      </c>
      <c r="AH87" s="1568">
        <f t="shared" si="30"/>
        <v>520</v>
      </c>
      <c r="AI87" s="1575">
        <f t="shared" si="31"/>
        <v>19064.211688646748</v>
      </c>
    </row>
    <row r="88" spans="2:35">
      <c r="F88" s="1559" t="s">
        <v>1295</v>
      </c>
      <c r="G88" s="1601">
        <v>148</v>
      </c>
      <c r="H88" s="1571">
        <f t="shared" si="4"/>
        <v>852.01351351351354</v>
      </c>
      <c r="I88" s="1568">
        <f t="shared" si="5"/>
        <v>0</v>
      </c>
      <c r="J88" s="1568">
        <f t="shared" si="6"/>
        <v>0</v>
      </c>
      <c r="K88" s="1568">
        <f t="shared" si="7"/>
        <v>36.486486486486484</v>
      </c>
      <c r="L88" s="1568">
        <f t="shared" si="8"/>
        <v>38.006756756756758</v>
      </c>
      <c r="M88" s="1568">
        <f t="shared" si="9"/>
        <v>48.648648648648646</v>
      </c>
      <c r="N88" s="1568">
        <f t="shared" si="10"/>
        <v>718.50542794770195</v>
      </c>
      <c r="O88" s="1568">
        <f t="shared" si="11"/>
        <v>102.53378378378379</v>
      </c>
      <c r="P88" s="1568">
        <f t="shared" si="12"/>
        <v>15.202702702702704</v>
      </c>
      <c r="Q88" s="1568">
        <f t="shared" si="13"/>
        <v>21.114864864864863</v>
      </c>
      <c r="R88" s="1568">
        <f t="shared" si="14"/>
        <v>0</v>
      </c>
      <c r="S88" s="1568">
        <f t="shared" si="15"/>
        <v>156.17567567567568</v>
      </c>
      <c r="T88" s="1568">
        <f t="shared" si="16"/>
        <v>51.054054054054056</v>
      </c>
      <c r="U88" s="1568">
        <f t="shared" si="17"/>
        <v>0</v>
      </c>
      <c r="V88" s="1568">
        <f t="shared" si="18"/>
        <v>170.70945945945945</v>
      </c>
      <c r="W88" s="1568">
        <f t="shared" si="19"/>
        <v>274.14189189189187</v>
      </c>
      <c r="X88" s="1568">
        <f t="shared" si="20"/>
        <v>2.0270270270270272</v>
      </c>
      <c r="Y88" s="1568">
        <f t="shared" si="21"/>
        <v>0</v>
      </c>
      <c r="Z88" s="1568">
        <f t="shared" si="22"/>
        <v>0</v>
      </c>
      <c r="AA88" s="1568">
        <f t="shared" si="23"/>
        <v>0</v>
      </c>
      <c r="AB88" s="1568">
        <f t="shared" si="24"/>
        <v>47.385135135135137</v>
      </c>
      <c r="AC88" s="1568">
        <f t="shared" si="25"/>
        <v>0</v>
      </c>
      <c r="AD88" s="1568">
        <f t="shared" si="26"/>
        <v>91.378378378378372</v>
      </c>
      <c r="AE88" s="1568">
        <f t="shared" si="27"/>
        <v>10.554054054054054</v>
      </c>
      <c r="AF88" s="1568">
        <f t="shared" si="28"/>
        <v>0</v>
      </c>
      <c r="AG88" s="1568">
        <f t="shared" si="29"/>
        <v>453.87837837837839</v>
      </c>
      <c r="AH88" s="1568">
        <f t="shared" si="30"/>
        <v>87.837837837837839</v>
      </c>
      <c r="AI88" s="1575">
        <f t="shared" si="31"/>
        <v>3177.6540765963509</v>
      </c>
    </row>
    <row r="89" spans="2:35">
      <c r="F89" s="1575" t="s">
        <v>2673</v>
      </c>
      <c r="G89" s="1603">
        <f>SUM(G77:G88)</f>
        <v>2174</v>
      </c>
      <c r="H89" s="1598">
        <f>H74/G89</f>
        <v>4700.5344986200553</v>
      </c>
      <c r="I89" s="1575">
        <f>I74/G89</f>
        <v>38.494480220791168</v>
      </c>
      <c r="J89" s="1575">
        <f>J74/G89</f>
        <v>298.48712051517941</v>
      </c>
      <c r="K89" s="1575">
        <f>K74/G89</f>
        <v>201.2953081876725</v>
      </c>
      <c r="L89" s="1575">
        <f>L74/G89</f>
        <v>209.68261269549217</v>
      </c>
      <c r="M89" s="1575">
        <f>M74/G89</f>
        <v>268.39374425022999</v>
      </c>
      <c r="N89" s="1575">
        <f>N74/G89</f>
        <v>2731.9713345877603</v>
      </c>
      <c r="O89" s="1575">
        <f>O74/G89</f>
        <v>565.6770929162833</v>
      </c>
      <c r="P89" s="1575">
        <f>P74/G89</f>
        <v>96.48022079116835</v>
      </c>
      <c r="Q89" s="1575">
        <f>Q74/G89</f>
        <v>11.55703771849126</v>
      </c>
      <c r="R89" s="1575">
        <f>R74/G89</f>
        <v>1027.966881324747</v>
      </c>
      <c r="S89" s="1575">
        <f>S74/G89</f>
        <v>1036.7713891444341</v>
      </c>
      <c r="T89" s="1575">
        <f>T74/G89</f>
        <v>27.942962281508741</v>
      </c>
      <c r="U89" s="1575">
        <f>U74/G89</f>
        <v>1.6678932842686292</v>
      </c>
      <c r="V89" s="1575">
        <f>V74/G89</f>
        <v>941.79208831646736</v>
      </c>
      <c r="W89" s="1575">
        <f>W74/G89</f>
        <v>1512.4360625574977</v>
      </c>
      <c r="X89" s="1575">
        <f>X74/G89</f>
        <v>5.703311867525299</v>
      </c>
      <c r="Y89" s="1575">
        <f>Y74/G89</f>
        <v>101.07129714811407</v>
      </c>
      <c r="Z89" s="1575">
        <f>AA74/G89</f>
        <v>148.31370745170193</v>
      </c>
      <c r="AA89" s="1575">
        <f>AA74/G89</f>
        <v>148.31370745170193</v>
      </c>
      <c r="AB89" s="1575">
        <f>AB74/G89</f>
        <v>284.74609015639373</v>
      </c>
      <c r="AC89" s="1575">
        <f>AC74/G89</f>
        <v>3.8638454461821525</v>
      </c>
      <c r="AD89" s="1575">
        <f>AD74/G89</f>
        <v>504.14167433302669</v>
      </c>
      <c r="AE89" s="1575">
        <f>AE74/G89</f>
        <v>40.373965041398343</v>
      </c>
      <c r="AF89" s="1575">
        <f>AF74/G89</f>
        <v>862.2552897884085</v>
      </c>
      <c r="AG89" s="1575">
        <f>AG74/G89</f>
        <v>2504.0298988040477</v>
      </c>
      <c r="AH89" s="1575">
        <f>AH74/G89</f>
        <v>484.59981600735972</v>
      </c>
      <c r="AI89" s="1575">
        <f t="shared" si="31"/>
        <v>18829.802521340283</v>
      </c>
    </row>
    <row r="90" spans="2:35">
      <c r="Y90" t="e">
        <f t="shared" si="21"/>
        <v>#DIV/0!</v>
      </c>
      <c r="AH90" s="1606" t="s">
        <v>2685</v>
      </c>
      <c r="AI90" s="1606">
        <f>(AI77+AI78+AI79+AI80+AI81+AI82+AI83+AI84+AI85+AI86+AI87)/11</f>
        <v>22339.291932655669</v>
      </c>
    </row>
    <row r="93" spans="2:35">
      <c r="I93" s="1568"/>
      <c r="J93" s="1568"/>
      <c r="K93" s="1608" t="s">
        <v>2671</v>
      </c>
      <c r="L93" s="1568"/>
      <c r="M93" s="1568"/>
    </row>
    <row r="94" spans="2:35" ht="16">
      <c r="I94" s="1568"/>
      <c r="J94" s="1595" t="s">
        <v>250</v>
      </c>
      <c r="K94" s="1595" t="s">
        <v>252</v>
      </c>
      <c r="L94" s="1595" t="s">
        <v>254</v>
      </c>
      <c r="M94" s="1596" t="s">
        <v>72</v>
      </c>
      <c r="P94" s="1568"/>
      <c r="Q94" s="1597" t="s">
        <v>890</v>
      </c>
      <c r="V94" s="1597" t="s">
        <v>2672</v>
      </c>
      <c r="W94" s="1591"/>
    </row>
    <row r="95" spans="2:35">
      <c r="I95" s="1559" t="s">
        <v>388</v>
      </c>
      <c r="J95" s="1572">
        <v>174796</v>
      </c>
      <c r="K95" s="1572">
        <v>6491.64</v>
      </c>
      <c r="L95" s="1572">
        <v>14954</v>
      </c>
      <c r="M95" s="1598">
        <f>L95+K95+J95</f>
        <v>196241.64</v>
      </c>
      <c r="P95" s="1559" t="s">
        <v>388</v>
      </c>
      <c r="Q95" s="1572">
        <v>442807</v>
      </c>
      <c r="V95" s="1559" t="s">
        <v>388</v>
      </c>
      <c r="W95" s="1572">
        <v>106958</v>
      </c>
    </row>
    <row r="96" spans="2:35">
      <c r="I96" s="1559" t="s">
        <v>390</v>
      </c>
      <c r="J96" s="1572">
        <v>215658</v>
      </c>
      <c r="K96" s="1572">
        <v>8655.52</v>
      </c>
      <c r="L96" s="1572">
        <v>23922</v>
      </c>
      <c r="M96" s="1598">
        <f t="shared" ref="M96:M107" si="32">L96+K96+J96</f>
        <v>248235.51999999999</v>
      </c>
      <c r="P96" s="1559" t="s">
        <v>390</v>
      </c>
      <c r="Q96" s="1572">
        <v>448716</v>
      </c>
      <c r="V96" s="1559" t="s">
        <v>390</v>
      </c>
      <c r="W96" s="1572">
        <v>245054</v>
      </c>
    </row>
    <row r="97" spans="8:23">
      <c r="I97" s="1559" t="s">
        <v>392</v>
      </c>
      <c r="J97" s="1572">
        <v>800237</v>
      </c>
      <c r="K97" s="1572">
        <v>23802.68</v>
      </c>
      <c r="L97" s="1572">
        <v>68836</v>
      </c>
      <c r="M97" s="1598">
        <f t="shared" si="32"/>
        <v>892875.67999999993</v>
      </c>
      <c r="P97" s="1559" t="s">
        <v>392</v>
      </c>
      <c r="Q97" s="1572">
        <v>245820</v>
      </c>
      <c r="V97" s="1559" t="s">
        <v>392</v>
      </c>
      <c r="W97" s="1572">
        <v>526788</v>
      </c>
    </row>
    <row r="98" spans="8:23">
      <c r="I98" s="1559" t="s">
        <v>394</v>
      </c>
      <c r="J98" s="1572">
        <v>381031</v>
      </c>
      <c r="K98" s="1572">
        <v>12983.280000000002</v>
      </c>
      <c r="L98" s="1572">
        <v>48066</v>
      </c>
      <c r="M98" s="1598">
        <f t="shared" si="32"/>
        <v>442080.28</v>
      </c>
      <c r="P98" s="1559" t="s">
        <v>394</v>
      </c>
      <c r="Q98" s="1572">
        <v>187588</v>
      </c>
      <c r="V98" s="1559" t="s">
        <v>394</v>
      </c>
      <c r="W98" s="1572">
        <v>566880</v>
      </c>
    </row>
    <row r="99" spans="8:23">
      <c r="I99" s="1559" t="s">
        <v>396</v>
      </c>
      <c r="J99" s="1572">
        <v>57114</v>
      </c>
      <c r="K99" s="1572">
        <v>2163.88</v>
      </c>
      <c r="L99" s="1572">
        <v>6179</v>
      </c>
      <c r="M99" s="1598">
        <f t="shared" si="32"/>
        <v>65456.880000000005</v>
      </c>
      <c r="P99" s="1559" t="s">
        <v>396</v>
      </c>
      <c r="Q99" s="1572">
        <v>437887</v>
      </c>
      <c r="V99" s="1559" t="s">
        <v>396</v>
      </c>
      <c r="W99" s="1572">
        <v>60818</v>
      </c>
    </row>
    <row r="100" spans="8:23">
      <c r="I100" s="1559" t="s">
        <v>320</v>
      </c>
      <c r="J100" s="1572">
        <v>604777</v>
      </c>
      <c r="K100" s="1572">
        <v>24884.620000000003</v>
      </c>
      <c r="L100" s="1572">
        <v>34233</v>
      </c>
      <c r="M100" s="1598">
        <f t="shared" si="32"/>
        <v>663894.62</v>
      </c>
      <c r="P100" s="1559" t="s">
        <v>320</v>
      </c>
      <c r="Q100" s="1572">
        <v>130595</v>
      </c>
      <c r="V100" s="1559" t="s">
        <v>320</v>
      </c>
      <c r="W100" s="1572">
        <v>0</v>
      </c>
    </row>
    <row r="101" spans="8:23">
      <c r="I101" s="1559" t="s">
        <v>398</v>
      </c>
      <c r="J101" s="1572">
        <v>289241</v>
      </c>
      <c r="K101" s="1572">
        <v>11901.34</v>
      </c>
      <c r="L101" s="1572">
        <v>16152</v>
      </c>
      <c r="M101" s="1598">
        <f t="shared" si="32"/>
        <v>317294.34000000003</v>
      </c>
      <c r="P101" s="1559" t="s">
        <v>398</v>
      </c>
      <c r="Q101" s="1572">
        <v>142749</v>
      </c>
      <c r="V101" s="1559" t="s">
        <v>398</v>
      </c>
      <c r="W101" s="1572">
        <v>0</v>
      </c>
    </row>
    <row r="102" spans="8:23">
      <c r="I102" s="1559" t="s">
        <v>1295</v>
      </c>
      <c r="J102" s="1572">
        <v>491830</v>
      </c>
      <c r="K102" s="1572">
        <v>16770.07</v>
      </c>
      <c r="L102" s="1572">
        <v>29966</v>
      </c>
      <c r="M102" s="1598">
        <f t="shared" si="32"/>
        <v>538566.06999999995</v>
      </c>
      <c r="P102" s="1559" t="s">
        <v>1295</v>
      </c>
      <c r="Q102" s="1572">
        <v>287593</v>
      </c>
      <c r="V102" s="1559" t="s">
        <v>1295</v>
      </c>
      <c r="W102" s="1572">
        <v>15164</v>
      </c>
    </row>
    <row r="103" spans="8:23">
      <c r="I103" s="1559" t="s">
        <v>402</v>
      </c>
      <c r="J103" s="1572">
        <v>1070411</v>
      </c>
      <c r="K103" s="1572">
        <v>36785.96</v>
      </c>
      <c r="L103" s="1572">
        <v>64015</v>
      </c>
      <c r="M103" s="1598">
        <f t="shared" si="32"/>
        <v>1171211.96</v>
      </c>
      <c r="P103" s="1559" t="s">
        <v>402</v>
      </c>
      <c r="Q103" s="1572">
        <v>377964</v>
      </c>
      <c r="V103" s="1559" t="s">
        <v>402</v>
      </c>
      <c r="W103" s="1572">
        <v>0</v>
      </c>
    </row>
    <row r="104" spans="8:23">
      <c r="I104" s="1559" t="s">
        <v>404</v>
      </c>
      <c r="J104" s="1572">
        <v>368145</v>
      </c>
      <c r="K104" s="1572">
        <v>9737.4600000000009</v>
      </c>
      <c r="L104" s="1572">
        <v>21582</v>
      </c>
      <c r="M104" s="1598">
        <f t="shared" si="32"/>
        <v>399464.46</v>
      </c>
      <c r="P104" s="1559" t="s">
        <v>404</v>
      </c>
      <c r="Q104" s="1572">
        <v>130923</v>
      </c>
      <c r="V104" s="1559" t="s">
        <v>404</v>
      </c>
      <c r="W104" s="1572">
        <v>0</v>
      </c>
    </row>
    <row r="105" spans="8:23">
      <c r="I105" s="1559" t="s">
        <v>406</v>
      </c>
      <c r="J105" s="1572">
        <v>581706</v>
      </c>
      <c r="K105" s="1572">
        <v>22179.77</v>
      </c>
      <c r="L105" s="1572">
        <v>35654</v>
      </c>
      <c r="M105" s="1598">
        <f t="shared" si="32"/>
        <v>639539.77</v>
      </c>
      <c r="P105" s="1559" t="s">
        <v>406</v>
      </c>
      <c r="Q105" s="1572">
        <v>222361</v>
      </c>
      <c r="V105" s="1559" t="s">
        <v>406</v>
      </c>
      <c r="W105" s="1572">
        <v>30328</v>
      </c>
    </row>
    <row r="106" spans="8:23">
      <c r="I106" s="1559" t="s">
        <v>1295</v>
      </c>
      <c r="J106" s="1573"/>
      <c r="K106" s="1568"/>
      <c r="L106" s="1568"/>
      <c r="M106" s="1599">
        <f t="shared" si="32"/>
        <v>0</v>
      </c>
      <c r="P106" s="1559" t="s">
        <v>1295</v>
      </c>
      <c r="Q106" s="1568"/>
      <c r="V106" s="1559" t="s">
        <v>1295</v>
      </c>
      <c r="W106" s="1568"/>
    </row>
    <row r="107" spans="8:23">
      <c r="I107" s="1575" t="s">
        <v>2673</v>
      </c>
      <c r="J107" s="1574">
        <v>5034946</v>
      </c>
      <c r="K107" s="1574">
        <v>176356.22</v>
      </c>
      <c r="L107" s="1574">
        <v>363559</v>
      </c>
      <c r="M107" s="1598">
        <f t="shared" si="32"/>
        <v>5574861.2199999997</v>
      </c>
      <c r="P107" s="1575" t="s">
        <v>2673</v>
      </c>
      <c r="Q107" s="1574">
        <v>3055003</v>
      </c>
      <c r="V107" s="1575" t="s">
        <v>2673</v>
      </c>
      <c r="W107" s="1600">
        <f>SUBTOTAL(109,Table31[4. PHP/STUDENT ACCOMMODATION])</f>
        <v>1551990</v>
      </c>
    </row>
    <row r="108" spans="8:23">
      <c r="O108" s="1559" t="s">
        <v>2674</v>
      </c>
      <c r="P108" s="1568"/>
      <c r="Q108" s="1559" t="s">
        <v>2675</v>
      </c>
      <c r="U108" s="1559" t="s">
        <v>2674</v>
      </c>
      <c r="V108" s="1568"/>
      <c r="W108" s="1559" t="s">
        <v>2675</v>
      </c>
    </row>
    <row r="109" spans="8:23">
      <c r="H109" s="1559" t="s">
        <v>2674</v>
      </c>
      <c r="I109" s="1568"/>
      <c r="J109" s="1559" t="s">
        <v>2675</v>
      </c>
      <c r="K109" s="1559" t="s">
        <v>2675</v>
      </c>
      <c r="L109" s="1559" t="s">
        <v>2675</v>
      </c>
      <c r="M109" s="1559" t="s">
        <v>2676</v>
      </c>
      <c r="O109" s="1559" t="s">
        <v>388</v>
      </c>
      <c r="P109" s="1601">
        <v>435</v>
      </c>
      <c r="Q109" s="1598">
        <f>Q95/P109</f>
        <v>1017.9471264367816</v>
      </c>
      <c r="U109" s="1559" t="s">
        <v>388</v>
      </c>
      <c r="V109" s="1601">
        <v>435</v>
      </c>
      <c r="W109" s="1598">
        <f>W95/V109</f>
        <v>245.88045977011495</v>
      </c>
    </row>
    <row r="110" spans="8:23">
      <c r="H110" s="1559" t="s">
        <v>388</v>
      </c>
      <c r="I110" s="1601">
        <v>435</v>
      </c>
      <c r="J110" s="1571">
        <f>J95/I110</f>
        <v>401.82988505747124</v>
      </c>
      <c r="K110" s="1571">
        <f>K95/I110</f>
        <v>14.923310344827588</v>
      </c>
      <c r="L110" s="1571">
        <f>L95/I110</f>
        <v>34.377011494252876</v>
      </c>
      <c r="M110" s="1598">
        <f>M95/I110</f>
        <v>451.13020689655178</v>
      </c>
      <c r="O110" s="1559" t="s">
        <v>390</v>
      </c>
      <c r="P110" s="1601">
        <v>398</v>
      </c>
      <c r="Q110" s="1598">
        <f t="shared" ref="Q110:Q121" si="33">Q96/P110</f>
        <v>1127.427135678392</v>
      </c>
      <c r="U110" s="1559" t="s">
        <v>390</v>
      </c>
      <c r="V110" s="1601">
        <v>398</v>
      </c>
      <c r="W110" s="1598">
        <f t="shared" ref="W110:W121" si="34">W96/V110</f>
        <v>615.713567839196</v>
      </c>
    </row>
    <row r="111" spans="8:23">
      <c r="H111" s="1559" t="s">
        <v>390</v>
      </c>
      <c r="I111" s="1601">
        <v>398</v>
      </c>
      <c r="J111" s="1571">
        <f t="shared" ref="J111:J122" si="35">J96/I111</f>
        <v>541.8542713567839</v>
      </c>
      <c r="K111" s="1571">
        <f t="shared" ref="K111:K122" si="36">K96/I111</f>
        <v>21.747537688442211</v>
      </c>
      <c r="L111" s="1571">
        <f t="shared" ref="L111:L122" si="37">L96/I111</f>
        <v>60.105527638190956</v>
      </c>
      <c r="M111" s="1598">
        <f t="shared" ref="M111:M122" si="38">M96/I111</f>
        <v>623.70733668341711</v>
      </c>
      <c r="O111" s="1559" t="s">
        <v>392</v>
      </c>
      <c r="P111" s="1601">
        <v>194</v>
      </c>
      <c r="Q111" s="1598">
        <f t="shared" si="33"/>
        <v>1267.1134020618556</v>
      </c>
      <c r="U111" s="1559" t="s">
        <v>392</v>
      </c>
      <c r="V111" s="1601">
        <v>194</v>
      </c>
      <c r="W111" s="1598">
        <f t="shared" si="34"/>
        <v>2715.4020618556701</v>
      </c>
    </row>
    <row r="112" spans="8:23">
      <c r="H112" s="1559" t="s">
        <v>392</v>
      </c>
      <c r="I112" s="1601">
        <v>194</v>
      </c>
      <c r="J112" s="1571">
        <f t="shared" si="35"/>
        <v>4124.932989690722</v>
      </c>
      <c r="K112" s="1571">
        <f t="shared" si="36"/>
        <v>122.69422680412372</v>
      </c>
      <c r="L112" s="1571">
        <f t="shared" si="37"/>
        <v>354.82474226804123</v>
      </c>
      <c r="M112" s="1598">
        <f t="shared" si="38"/>
        <v>4602.4519587628865</v>
      </c>
      <c r="O112" s="1559" t="s">
        <v>394</v>
      </c>
      <c r="P112" s="1601">
        <v>142</v>
      </c>
      <c r="Q112" s="1598">
        <f t="shared" si="33"/>
        <v>1321.0422535211267</v>
      </c>
      <c r="U112" s="1559" t="s">
        <v>394</v>
      </c>
      <c r="V112" s="1601">
        <v>142</v>
      </c>
      <c r="W112" s="1598">
        <f t="shared" si="34"/>
        <v>3992.1126760563379</v>
      </c>
    </row>
    <row r="113" spans="8:23">
      <c r="H113" s="1559" t="s">
        <v>394</v>
      </c>
      <c r="I113" s="1601">
        <v>142</v>
      </c>
      <c r="J113" s="1571">
        <f t="shared" si="35"/>
        <v>2683.3169014084506</v>
      </c>
      <c r="K113" s="1571">
        <f t="shared" si="36"/>
        <v>91.431549295774659</v>
      </c>
      <c r="L113" s="1571">
        <f t="shared" si="37"/>
        <v>338.49295774647885</v>
      </c>
      <c r="M113" s="1598">
        <f t="shared" si="38"/>
        <v>3113.2414084507045</v>
      </c>
      <c r="O113" s="1559" t="s">
        <v>396</v>
      </c>
      <c r="P113" s="1601">
        <v>303</v>
      </c>
      <c r="Q113" s="1598">
        <f t="shared" si="33"/>
        <v>1445.1716171617161</v>
      </c>
      <c r="U113" s="1559" t="s">
        <v>396</v>
      </c>
      <c r="V113" s="1601">
        <v>303</v>
      </c>
      <c r="W113" s="1598">
        <f t="shared" si="34"/>
        <v>200.71947194719471</v>
      </c>
    </row>
    <row r="114" spans="8:23">
      <c r="H114" s="1559" t="s">
        <v>396</v>
      </c>
      <c r="I114" s="1601">
        <v>303</v>
      </c>
      <c r="J114" s="1571">
        <f t="shared" si="35"/>
        <v>188.49504950495049</v>
      </c>
      <c r="K114" s="1571">
        <f t="shared" si="36"/>
        <v>7.1415181518151822</v>
      </c>
      <c r="L114" s="1571">
        <f t="shared" si="37"/>
        <v>20.392739273927393</v>
      </c>
      <c r="M114" s="1598">
        <f t="shared" si="38"/>
        <v>216.02930693069308</v>
      </c>
      <c r="O114" s="1559" t="s">
        <v>320</v>
      </c>
      <c r="P114" s="1602">
        <v>41</v>
      </c>
      <c r="Q114" s="1598">
        <f t="shared" si="33"/>
        <v>3185.2439024390242</v>
      </c>
      <c r="U114" s="1559" t="s">
        <v>320</v>
      </c>
      <c r="V114" s="1602">
        <v>41</v>
      </c>
      <c r="W114" s="1598">
        <f t="shared" si="34"/>
        <v>0</v>
      </c>
    </row>
    <row r="115" spans="8:23">
      <c r="H115" s="1559" t="s">
        <v>320</v>
      </c>
      <c r="I115" s="1602">
        <v>41</v>
      </c>
      <c r="J115" s="1571">
        <f t="shared" si="35"/>
        <v>14750.658536585366</v>
      </c>
      <c r="K115" s="1571">
        <f t="shared" si="36"/>
        <v>606.94195121951225</v>
      </c>
      <c r="L115" s="1571">
        <f t="shared" si="37"/>
        <v>834.95121951219517</v>
      </c>
      <c r="M115" s="1598">
        <f t="shared" si="38"/>
        <v>16192.551707317072</v>
      </c>
      <c r="O115" s="1559" t="s">
        <v>398</v>
      </c>
      <c r="P115" s="1601">
        <v>86</v>
      </c>
      <c r="Q115" s="1598">
        <f t="shared" si="33"/>
        <v>1659.8720930232557</v>
      </c>
      <c r="U115" s="1559" t="s">
        <v>398</v>
      </c>
      <c r="V115" s="1601">
        <v>86</v>
      </c>
      <c r="W115" s="1598">
        <f t="shared" si="34"/>
        <v>0</v>
      </c>
    </row>
    <row r="116" spans="8:23">
      <c r="H116" s="1559" t="s">
        <v>398</v>
      </c>
      <c r="I116" s="1601">
        <v>86</v>
      </c>
      <c r="J116" s="1571">
        <f t="shared" si="35"/>
        <v>3363.2674418604652</v>
      </c>
      <c r="K116" s="1571">
        <f t="shared" si="36"/>
        <v>138.38767441860466</v>
      </c>
      <c r="L116" s="1571">
        <f t="shared" si="37"/>
        <v>187.81395348837211</v>
      </c>
      <c r="M116" s="1598">
        <f t="shared" si="38"/>
        <v>3689.4690697674423</v>
      </c>
      <c r="O116" s="1559" t="s">
        <v>1295</v>
      </c>
      <c r="P116" s="1601">
        <v>148</v>
      </c>
      <c r="Q116" s="1598">
        <f t="shared" si="33"/>
        <v>1943.1959459459461</v>
      </c>
      <c r="U116" s="1559" t="s">
        <v>1295</v>
      </c>
      <c r="V116" s="1601">
        <v>148</v>
      </c>
      <c r="W116" s="1598">
        <f t="shared" si="34"/>
        <v>102.45945945945945</v>
      </c>
    </row>
    <row r="117" spans="8:23">
      <c r="H117" s="1559" t="s">
        <v>1295</v>
      </c>
      <c r="I117" s="1601">
        <v>148</v>
      </c>
      <c r="J117" s="1571">
        <f t="shared" si="35"/>
        <v>3323.1756756756758</v>
      </c>
      <c r="K117" s="1571">
        <f t="shared" si="36"/>
        <v>113.31128378378378</v>
      </c>
      <c r="L117" s="1571">
        <f t="shared" si="37"/>
        <v>202.47297297297297</v>
      </c>
      <c r="M117" s="1598">
        <f t="shared" si="38"/>
        <v>3638.9599324324322</v>
      </c>
      <c r="O117" s="1559" t="s">
        <v>402</v>
      </c>
      <c r="P117" s="1601">
        <v>153</v>
      </c>
      <c r="Q117" s="1598">
        <f t="shared" si="33"/>
        <v>2470.3529411764707</v>
      </c>
      <c r="U117" s="1559" t="s">
        <v>402</v>
      </c>
      <c r="V117" s="1601">
        <v>153</v>
      </c>
      <c r="W117" s="1598">
        <f t="shared" si="34"/>
        <v>0</v>
      </c>
    </row>
    <row r="118" spans="8:23">
      <c r="H118" s="1559" t="s">
        <v>402</v>
      </c>
      <c r="I118" s="1601">
        <v>153</v>
      </c>
      <c r="J118" s="1571">
        <f t="shared" si="35"/>
        <v>6996.1503267973858</v>
      </c>
      <c r="K118" s="1571">
        <f t="shared" si="36"/>
        <v>240.43111111111111</v>
      </c>
      <c r="L118" s="1571">
        <f t="shared" si="37"/>
        <v>418.39869281045753</v>
      </c>
      <c r="M118" s="1598">
        <f t="shared" si="38"/>
        <v>7654.9801307189537</v>
      </c>
      <c r="O118" s="1559" t="s">
        <v>404</v>
      </c>
      <c r="P118" s="1601">
        <v>27</v>
      </c>
      <c r="Q118" s="1598">
        <f t="shared" si="33"/>
        <v>4849</v>
      </c>
      <c r="U118" s="1559" t="s">
        <v>404</v>
      </c>
      <c r="V118" s="1601">
        <v>27</v>
      </c>
      <c r="W118" s="1598">
        <f t="shared" si="34"/>
        <v>0</v>
      </c>
    </row>
    <row r="119" spans="8:23">
      <c r="H119" s="1559" t="s">
        <v>404</v>
      </c>
      <c r="I119" s="1601">
        <v>27</v>
      </c>
      <c r="J119" s="1571">
        <f t="shared" si="35"/>
        <v>13635</v>
      </c>
      <c r="K119" s="1571">
        <f t="shared" si="36"/>
        <v>360.6466666666667</v>
      </c>
      <c r="L119" s="1571">
        <f t="shared" si="37"/>
        <v>799.33333333333337</v>
      </c>
      <c r="M119" s="1598">
        <f t="shared" si="38"/>
        <v>14794.980000000001</v>
      </c>
      <c r="O119" s="1559" t="s">
        <v>406</v>
      </c>
      <c r="P119" s="1601">
        <v>99</v>
      </c>
      <c r="Q119" s="1598">
        <f t="shared" si="33"/>
        <v>2246.0707070707072</v>
      </c>
      <c r="U119" s="1559" t="s">
        <v>406</v>
      </c>
      <c r="V119" s="1601">
        <v>99</v>
      </c>
      <c r="W119" s="1598">
        <f t="shared" si="34"/>
        <v>306.34343434343435</v>
      </c>
    </row>
    <row r="120" spans="8:23">
      <c r="H120" s="1559" t="s">
        <v>406</v>
      </c>
      <c r="I120" s="1601">
        <v>99</v>
      </c>
      <c r="J120" s="1571">
        <f t="shared" si="35"/>
        <v>5875.818181818182</v>
      </c>
      <c r="K120" s="1571">
        <f t="shared" si="36"/>
        <v>224.03808080808082</v>
      </c>
      <c r="L120" s="1571">
        <f t="shared" si="37"/>
        <v>360.14141414141415</v>
      </c>
      <c r="M120" s="1598">
        <f t="shared" si="38"/>
        <v>6459.9976767676771</v>
      </c>
      <c r="O120" s="1559" t="s">
        <v>1295</v>
      </c>
      <c r="P120" s="1601">
        <v>148</v>
      </c>
      <c r="Q120" s="1598">
        <f t="shared" si="33"/>
        <v>0</v>
      </c>
      <c r="U120" s="1559" t="s">
        <v>1295</v>
      </c>
      <c r="V120" s="1601">
        <v>148</v>
      </c>
      <c r="W120" s="1598">
        <f t="shared" si="34"/>
        <v>0</v>
      </c>
    </row>
    <row r="121" spans="8:23">
      <c r="H121" s="1559" t="s">
        <v>1295</v>
      </c>
      <c r="I121" s="1601">
        <v>148</v>
      </c>
      <c r="J121" s="1571">
        <f t="shared" si="35"/>
        <v>0</v>
      </c>
      <c r="K121" s="1571">
        <f t="shared" si="36"/>
        <v>0</v>
      </c>
      <c r="L121" s="1571">
        <f t="shared" si="37"/>
        <v>0</v>
      </c>
      <c r="M121" s="1598">
        <f t="shared" si="38"/>
        <v>0</v>
      </c>
      <c r="O121" s="1575" t="s">
        <v>2673</v>
      </c>
      <c r="P121" s="1603">
        <f>SUM(P109:P120)</f>
        <v>2174</v>
      </c>
      <c r="Q121" s="1598">
        <f t="shared" si="33"/>
        <v>1405.2451701931923</v>
      </c>
      <c r="U121" s="1575" t="s">
        <v>2673</v>
      </c>
      <c r="V121" s="1603">
        <f>SUM(V109:V120)</f>
        <v>2174</v>
      </c>
      <c r="W121" s="1598">
        <f t="shared" si="34"/>
        <v>713.88684452621897</v>
      </c>
    </row>
    <row r="122" spans="8:23">
      <c r="H122" s="1575" t="s">
        <v>2673</v>
      </c>
      <c r="I122" s="1603">
        <f>SUM(I110:I121)</f>
        <v>2174</v>
      </c>
      <c r="J122" s="1598">
        <f t="shared" si="35"/>
        <v>2315.9825206991723</v>
      </c>
      <c r="K122" s="1598">
        <f t="shared" si="36"/>
        <v>81.12061637534498</v>
      </c>
      <c r="L122" s="1598">
        <f t="shared" si="37"/>
        <v>167.23045078196873</v>
      </c>
      <c r="M122" s="1598">
        <f t="shared" si="38"/>
        <v>2564.3335878564858</v>
      </c>
      <c r="P122" s="1606" t="s">
        <v>2685</v>
      </c>
      <c r="Q122" s="1607">
        <f>(Q109+Q110+Q111+Q112+Q113+Q114+Q115+Q116+Q117+Q118+Q119)/11</f>
        <v>2048.4033749559344</v>
      </c>
      <c r="V122" s="1606" t="s">
        <v>2685</v>
      </c>
      <c r="W122" s="1607">
        <f>(W109+W110+W111+W112+W113+W116+W119)/11</f>
        <v>743.51192102467348</v>
      </c>
    </row>
    <row r="123" spans="8:23">
      <c r="L123" s="1606" t="s">
        <v>2685</v>
      </c>
      <c r="M123" s="1607">
        <f>(M110+M111+M112+M113+M114+M115+M116+M117+M118+M119+M120)/11</f>
        <v>5585.2271577025303</v>
      </c>
    </row>
  </sheetData>
  <mergeCells count="2">
    <mergeCell ref="A54:F54"/>
    <mergeCell ref="A19:G22"/>
  </mergeCells>
  <pageMargins left="0.7" right="0.7" top="0.75" bottom="0.75" header="0.3" footer="0.3"/>
  <pageSetup scale="74" orientation="portrait" r:id="rId1"/>
  <headerFooter>
    <oddHeader>&amp;R&amp;12E&amp;&amp;OE</oddHeader>
    <oddFooter>&amp;C&amp;P of &amp;N&amp;L&amp;"Times New Roman"&amp;8NCR#10476723 - v3</oddFooter>
  </headerFooter>
  <colBreaks count="1" manualBreakCount="1">
    <brk id="7" max="1048575" man="1"/>
  </col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39997558519241921"/>
    <pageSetUpPr fitToPage="1"/>
  </sheetPr>
  <dimension ref="A1:BC38"/>
  <sheetViews>
    <sheetView topLeftCell="A4" workbookViewId="0">
      <pane xSplit="2" ySplit="7" topLeftCell="AJ11" activePane="bottomRight" state="frozen"/>
      <selection pane="topRight" activeCell="C4" sqref="C4"/>
      <selection pane="bottomLeft" activeCell="A11" sqref="A11"/>
      <selection pane="bottomRight" activeCell="AS10" sqref="AS10"/>
    </sheetView>
  </sheetViews>
  <sheetFormatPr baseColWidth="10" defaultColWidth="9" defaultRowHeight="14" outlineLevelCol="2"/>
  <cols>
    <col min="2" max="2" width="22.59765625" customWidth="1"/>
    <col min="3" max="13" width="16.796875" style="397" hidden="1" customWidth="1" outlineLevel="2"/>
    <col min="14" max="14" width="16.796875" style="397" hidden="1" customWidth="1" outlineLevel="1"/>
    <col min="15" max="26" width="14.19921875" style="397" hidden="1" customWidth="1" outlineLevel="2"/>
    <col min="27" max="27" width="15.59765625" style="397" hidden="1" customWidth="1" outlineLevel="1"/>
    <col min="28" max="28" width="15.796875" style="397" hidden="1" customWidth="1" outlineLevel="1"/>
    <col min="29" max="35" width="13.796875" style="397" hidden="1" customWidth="1" outlineLevel="1"/>
    <col min="36" max="36" width="20" style="397" customWidth="1" collapsed="1"/>
    <col min="37" max="38" width="20" style="397" customWidth="1"/>
    <col min="39" max="41" width="17" style="397" customWidth="1"/>
    <col min="42" max="42" width="18.796875" style="397" customWidth="1"/>
    <col min="43" max="43" width="17" style="397" customWidth="1"/>
    <col min="44" max="44" width="18" style="397" customWidth="1"/>
    <col min="45" max="45" width="18" customWidth="1"/>
    <col min="46" max="46" width="12.796875" customWidth="1"/>
    <col min="47" max="47" width="13" customWidth="1"/>
    <col min="48" max="48" width="12.796875" customWidth="1"/>
    <col min="49" max="49" width="3.3984375" customWidth="1"/>
    <col min="50" max="50" width="9.796875" bestFit="1" customWidth="1"/>
    <col min="52" max="55" width="16.59765625" customWidth="1"/>
  </cols>
  <sheetData>
    <row r="1" spans="1:55">
      <c r="A1" s="137" t="s">
        <v>277</v>
      </c>
    </row>
    <row r="3" spans="1:55" ht="19">
      <c r="A3" s="33" t="s">
        <v>278</v>
      </c>
    </row>
    <row r="4" spans="1:55" ht="15">
      <c r="A4" s="1161" t="s">
        <v>279</v>
      </c>
    </row>
    <row r="5" spans="1:55" ht="15">
      <c r="A5" s="333" t="s">
        <v>280</v>
      </c>
      <c r="B5" s="128"/>
      <c r="C5" s="903"/>
      <c r="D5" s="903"/>
      <c r="E5" s="903"/>
      <c r="F5" s="903"/>
      <c r="G5" s="903"/>
      <c r="H5" s="903"/>
      <c r="I5" s="903"/>
      <c r="J5" s="903"/>
    </row>
    <row r="6" spans="1:55" ht="15.5" customHeight="1">
      <c r="A6" s="248" t="s">
        <v>281</v>
      </c>
      <c r="AH6" s="1636" t="s">
        <v>282</v>
      </c>
      <c r="AI6" s="1636"/>
    </row>
    <row r="7" spans="1:55" ht="15.5" customHeight="1">
      <c r="A7" s="248" t="s">
        <v>283</v>
      </c>
      <c r="AH7" s="1636"/>
      <c r="AI7" s="1636"/>
    </row>
    <row r="8" spans="1:55">
      <c r="AH8" s="1636"/>
      <c r="AI8" s="1636"/>
    </row>
    <row r="9" spans="1:55">
      <c r="AH9" s="1636"/>
      <c r="AI9" s="1636"/>
      <c r="AK9" s="397">
        <f>+AL9+AM9+AO9+AQ9+AX9</f>
        <v>29966.053499999998</v>
      </c>
      <c r="AL9" s="397">
        <f>+AL11*0.05</f>
        <v>838.50350000000003</v>
      </c>
      <c r="AM9" s="397">
        <f>+AM11*0.05</f>
        <v>24591.5</v>
      </c>
      <c r="AO9" s="397">
        <f>+AO11*0.05</f>
        <v>3746.8</v>
      </c>
      <c r="AQ9" s="397">
        <f>+AQ11*0.05</f>
        <v>758.2</v>
      </c>
      <c r="AX9" s="19">
        <f>+AX11*0.05</f>
        <v>31.05</v>
      </c>
      <c r="AZ9" t="s">
        <v>284</v>
      </c>
    </row>
    <row r="10" spans="1:55" ht="53.25" customHeight="1">
      <c r="A10" s="114" t="s">
        <v>285</v>
      </c>
      <c r="B10" s="114" t="s">
        <v>286</v>
      </c>
      <c r="C10" s="904" t="s">
        <v>240</v>
      </c>
      <c r="D10" s="904" t="s">
        <v>242</v>
      </c>
      <c r="E10" s="904" t="s">
        <v>244</v>
      </c>
      <c r="F10" s="904" t="s">
        <v>245</v>
      </c>
      <c r="G10" s="904" t="s">
        <v>246</v>
      </c>
      <c r="H10" s="904" t="s">
        <v>248</v>
      </c>
      <c r="I10" s="904" t="s">
        <v>287</v>
      </c>
      <c r="J10" s="904" t="s">
        <v>288</v>
      </c>
      <c r="K10" s="904" t="s">
        <v>253</v>
      </c>
      <c r="L10" s="904" t="s">
        <v>255</v>
      </c>
      <c r="M10" s="904" t="s">
        <v>256</v>
      </c>
      <c r="N10" s="905" t="s">
        <v>289</v>
      </c>
      <c r="O10" s="904" t="s">
        <v>259</v>
      </c>
      <c r="P10" s="904" t="s">
        <v>260</v>
      </c>
      <c r="Q10" s="904" t="s">
        <v>290</v>
      </c>
      <c r="R10" s="904" t="s">
        <v>291</v>
      </c>
      <c r="S10" s="904" t="s">
        <v>265</v>
      </c>
      <c r="T10" s="904" t="s">
        <v>292</v>
      </c>
      <c r="U10" s="904" t="s">
        <v>293</v>
      </c>
      <c r="V10" s="904" t="s">
        <v>269</v>
      </c>
      <c r="W10" s="904" t="s">
        <v>270</v>
      </c>
      <c r="X10" s="904" t="s">
        <v>271</v>
      </c>
      <c r="Y10" s="904" t="s">
        <v>272</v>
      </c>
      <c r="Z10" s="904" t="s">
        <v>273</v>
      </c>
      <c r="AA10" s="905" t="s">
        <v>294</v>
      </c>
      <c r="AB10" s="904" t="s">
        <v>295</v>
      </c>
      <c r="AC10" s="904" t="s">
        <v>296</v>
      </c>
      <c r="AD10" s="904" t="s">
        <v>297</v>
      </c>
      <c r="AE10" s="904" t="s">
        <v>298</v>
      </c>
      <c r="AF10" s="904" t="s">
        <v>241</v>
      </c>
      <c r="AG10" s="904" t="s">
        <v>243</v>
      </c>
      <c r="AH10" s="1078" t="s">
        <v>275</v>
      </c>
      <c r="AI10" s="1078" t="s">
        <v>299</v>
      </c>
      <c r="AJ10" s="906" t="s">
        <v>300</v>
      </c>
      <c r="AK10" s="907" t="s">
        <v>301</v>
      </c>
      <c r="AL10" s="907" t="s">
        <v>302</v>
      </c>
      <c r="AM10" s="907" t="s">
        <v>303</v>
      </c>
      <c r="AN10" s="908" t="s">
        <v>304</v>
      </c>
      <c r="AO10" s="908" t="s">
        <v>305</v>
      </c>
      <c r="AP10" s="908" t="s">
        <v>306</v>
      </c>
      <c r="AQ10" s="909" t="s">
        <v>307</v>
      </c>
      <c r="AR10" s="905" t="s">
        <v>308</v>
      </c>
      <c r="AS10" s="410" t="s">
        <v>309</v>
      </c>
      <c r="AT10" s="410" t="s">
        <v>310</v>
      </c>
      <c r="AU10" s="410" t="s">
        <v>311</v>
      </c>
      <c r="AV10" s="218" t="s">
        <v>312</v>
      </c>
      <c r="AX10" t="s">
        <v>313</v>
      </c>
      <c r="AZ10" s="901" t="s">
        <v>314</v>
      </c>
      <c r="BA10" s="901" t="s">
        <v>315</v>
      </c>
      <c r="BB10" s="901" t="s">
        <v>316</v>
      </c>
      <c r="BC10" s="901" t="s">
        <v>317</v>
      </c>
    </row>
    <row r="11" spans="1:55">
      <c r="A11">
        <f>'D. 19-20 Enrolment by FN'!A7</f>
        <v>261</v>
      </c>
      <c r="B11" t="str">
        <f>'D. 19-20 Enrolment by FN'!B7</f>
        <v>Brokenhead Ojibway</v>
      </c>
      <c r="C11" s="397">
        <f>SUMIF('-B1-'!$A$11:$A$22,'FNSS Summary Breakdown'!$A11,'-B1-'!$F$11:$F$22)</f>
        <v>285196</v>
      </c>
      <c r="D11" s="397">
        <f>SUMIF('-B2-'!$A$11:$A$21,'FNSS Summary Breakdown'!$A11,'-B2-'!$I$11:$I$21)</f>
        <v>0</v>
      </c>
      <c r="E11" s="397">
        <f>SUMIF('-B3-'!$A$11:$A$22,'FNSS Summary Breakdown'!$A11,'-B3-'!$J$11:$J$22)</f>
        <v>55763</v>
      </c>
      <c r="F11" s="397">
        <f>SUMIF('-B4-'!$A$11:$A$22,'FNSS Summary Breakdown'!$A11,'-B4-'!$F$11:$F$22)</f>
        <v>8880</v>
      </c>
      <c r="G11" s="397">
        <f>SUMIF('-B5-'!$A$11:$A$22,'FNSS Summary Breakdown'!$A11,'-B5-'!$F$11:$F$22)</f>
        <v>9176</v>
      </c>
      <c r="H11" s="397">
        <f>SUMIF('-B6-'!$A$11:$A$22,'FNSS Summary Breakdown'!$A11,'-B6-'!$F$11:$F$22)</f>
        <v>13616</v>
      </c>
      <c r="I11" s="397">
        <f>SUMIF('-B7-'!$A$11:$A$22,'FNSS Summary Breakdown'!$A11,Table53[Rounded Total])</f>
        <v>318734</v>
      </c>
      <c r="J11" s="397">
        <f>SUMIF('-B8-'!$A$11:$A$22,'FNSS Summary Breakdown'!$A11,'-B8-'!$F$11:$F$22)</f>
        <v>12284</v>
      </c>
      <c r="K11" s="397">
        <f>SUMIF('-B9-'!$A$11:$A$22,'FNSS Summary Breakdown'!$A11,'-B9-'!$G$11:$G$22)</f>
        <v>5772</v>
      </c>
      <c r="L11" s="397">
        <f>SUMIF('-B10-'!$A$11:$A$22,'FNSS Summary Breakdown'!$A11,'-B10-'!$F$11:$F$22)</f>
        <v>4125</v>
      </c>
      <c r="M11" s="397">
        <f>SUMIF('-B11-'!$A$25:$A$36,'FNSS Summary Breakdown'!$A11,'-B11-'!$G$25:$G$36)</f>
        <v>39517</v>
      </c>
      <c r="N11" s="730">
        <f t="shared" ref="N11:N21" si="0">SUM(C11:M11)</f>
        <v>753063</v>
      </c>
      <c r="O11" s="730">
        <f>SUMIF(Table44[Band '#],Table31[[#This Row],[Band '#]],Table44[TOTAL Board &amp; Room Band-Op Schools &lt;18])</f>
        <v>0</v>
      </c>
      <c r="P11" s="730">
        <f>SUMIF(Table13[Band '#],Table31[[#This Row],[Band '#]],Table13[[Special Needs TOTAL ]])</f>
        <v>91362</v>
      </c>
      <c r="Q11" s="730">
        <f>SUMIF(Table14[Band '#],Table31[[#This Row],[Band '#]],Table14[TOTAL])</f>
        <v>9974</v>
      </c>
      <c r="R11" s="730">
        <f>SUMIF(Table15[Band '#],Table31[[#This Row],[Band '#]],Table15[TOTAL])</f>
        <v>136</v>
      </c>
      <c r="S11" s="730">
        <f>SUMIF(Table16[Band '#],Table31[[#This Row],[Band '#]],Table16[Comparability TOTAL])</f>
        <v>69856</v>
      </c>
      <c r="T11" s="730">
        <f>SUMIF(Table20[Band '#],Table31[[#This Row],[Band '#]],Table20[ENHANCED Aboriginal Languages TOTAL])</f>
        <v>240192</v>
      </c>
      <c r="U11" s="730">
        <f>SUMIF(Table21[Band '#],Table31[[#This Row],[Band '#]],Table21[TOTAL])</f>
        <v>1029</v>
      </c>
      <c r="V11" s="730">
        <f>SUMIF(Table22[Band '#],Table31[[#This Row],[Band '#]],Table22[TOTAL])</f>
        <v>13788</v>
      </c>
      <c r="W11" s="730">
        <f>IF(Table31[[#This Row],[Band '#]]=3548,Table23[[#Totals],[Greater of A and B TOTAL ENROLMENT CHANGE SUPPORT]],0)</f>
        <v>0</v>
      </c>
      <c r="X11" s="730">
        <f>SUMIF(Table24[Band '#],Table31[[#This Row],[Band '#]],Table24[TOTAL])</f>
        <v>0</v>
      </c>
      <c r="Y11" s="730">
        <f>SUMIF(Table25[Band '#],Table31[[#This Row],[Band '#]],Table25[TOTAL])</f>
        <v>12316</v>
      </c>
      <c r="Z11" s="730">
        <f>SUMIF(Table26[Band '#],Table31[[#This Row],[Band '#]],Table26[TOTAL])</f>
        <v>1400</v>
      </c>
      <c r="AA11" s="730">
        <f>SUM(Table31[[#This Row],[2. Board and Room]:[13. Education for Sustainable Development]])</f>
        <v>440053</v>
      </c>
      <c r="AB11" s="397">
        <f>SUMIF(Table27[Band '#],Table31[[#This Row],[Band '#]],Table27[TOTAL])</f>
        <v>6340</v>
      </c>
      <c r="AC11" s="910"/>
      <c r="AD11" s="910"/>
      <c r="AE11" s="397">
        <f>SUMIF(Table30[Band '#],Table31[[#This Row],[Band '#]],Table30[TOTAL PENSIONS])</f>
        <v>172075</v>
      </c>
      <c r="AF11" s="910"/>
      <c r="AG11" s="910"/>
      <c r="AH11" s="1137"/>
      <c r="AI11" s="1137"/>
      <c r="AJ11" s="903">
        <f t="shared" ref="AJ11:AJ21" si="1">SUM(N11,AA11,AB11:AI11)</f>
        <v>1371531</v>
      </c>
      <c r="AK11"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ACCOMMODATION]]+AX11)*0.05),0)</f>
        <v>29966</v>
      </c>
      <c r="AL11" s="911">
        <f>SUMIF(Table35[Band No.],Table31[[#This Row],[Band '#]],Table35[Provincial Student Supports])+SUMIF(Table42[Band No.],Table31[[#This Row],[Band '#]],Table42[Provincial Student Supports])</f>
        <v>16770.07</v>
      </c>
      <c r="AM11" s="911">
        <f>SUMIF(Table35[Band No.],Table31[[#This Row],[Band '#]],Table35[TOTAL Tuition Funding])+SUMIF(Table42[Band No.],Table31[[#This Row],[Band '#]],Table42[TOTAL Tuition Funding])</f>
        <v>491830</v>
      </c>
      <c r="AN11" s="539">
        <f>INDEX('Transportation Calc'!$AR$11:$AR$21,MATCH(Table31[[#This Row],[Band '#]],Table12[Band '#],0))</f>
        <v>212657</v>
      </c>
      <c r="AO11" s="539">
        <f>INDEX('Transportation Calc'!$AS$11:$AS$21,MATCH(Table31[[#This Row],[First Nation]],Table12[First Nation],0))</f>
        <v>74936</v>
      </c>
      <c r="AP11" s="539">
        <f>Table31[[#This Row],[Band-Operated Transportation]]+Table31[[#This Row],[Provincial Transportation]]</f>
        <v>287593</v>
      </c>
      <c r="AQ11" s="912">
        <f>SUMIF(StuAccomUnder18[Band Number],Table31[[#This Row],[Band '#]],StuAccomUnder18[TOTAL Student Accommodation &lt;18])+SUMIF(StudAccom1821[Band No.],Table31[[#This Row],[Band '#]],StudAccom1821[TOTAL 18-21 PHP/Student Accommodation])</f>
        <v>15164</v>
      </c>
      <c r="AR11" s="397">
        <f>Table31[[#This Row],[1. FN SCHOOLS (Excludes Transportation)]]+Table31[[#This Row],[Tuition Administration Support]]+Table31[[#This Row],[Supports for Tuition Students]]+Table31[[#This Row],[2. TUITION (Excludes Transportation)]]+Table31[[#This Row],[3. TRANSPORTATION]]+Table31[[#This Row],[4. PHP/STUDENT ACCOMMODATION]]</f>
        <v>2212854.0700000003</v>
      </c>
      <c r="AS11"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1</v>
      </c>
      <c r="AT11" s="172">
        <f>SUMIF(TableAFNSchools[Band No '#],Table31[[#This Row],[Band '#]],TableAFNSchools[Total FTE])</f>
        <v>148</v>
      </c>
      <c r="AU11" s="172">
        <f>SUMIF('B. 20-21 Prov&amp;Priv Enrolment&lt;22'!$A$8:$A$54,Table31[[#This Row],[Band '#]],'B. 20-21 Prov&amp;Priv Enrolment&lt;22'!$Y$8:$Y$54)+SUMIF('C. 20-21 Prov&amp;Priv 22+'!$A$7:$A$7,Table31[[#This Row],[Band '#]],'C. 20-21 Prov&amp;Priv 22+'!$Q$7:$Q$7)</f>
        <v>31</v>
      </c>
      <c r="AV11" s="173">
        <f ca="1">(Table31[[#This Row],[GRAND TOTAL]]+AR23)/(Table31[[#This Row],[FN Schools Enrolment]]+Table31[[#This Row],[Prov/Priv Enrolment]])</f>
        <v>21538.911005586593</v>
      </c>
      <c r="AX11" s="397">
        <f>INDEX(Table54[[Provincial School Total ]],MATCH(Table31[[#This Row],[Band '#]],Table54[Band no],0))</f>
        <v>621</v>
      </c>
      <c r="AZ11" s="397">
        <f ca="1">SUMIF($A$11:$A$33,Table31[[#This Row],[Band '#]],$AJ$11:$AJ$33)+Table31[[#This Row],[Band-Operated Transportation]]-BA11</f>
        <v>2479616</v>
      </c>
      <c r="BA11" s="397">
        <f>SUMIF($A$11:$A$33,Table31[[#This Row],[Band '#]],$I$11:$I$33)+SUMIF($A$11:$A$33,Table31[[#This Row],[Band '#]],$P$11:$P$33)</f>
        <v>747183</v>
      </c>
      <c r="BB11" s="397">
        <f>Table31[[#This Row],[Provincial Transportation]]+Table31[[#This Row],[2. TUITION (Excludes Transportation)]]+Table31[[#This Row],[Supports for Tuition Students]]+Table31[[#This Row],[4. PHP/STUDENT ACCOMMODATION]]</f>
        <v>598700.06999999995</v>
      </c>
      <c r="BC11" s="397">
        <f>Table31[[#This Row],[Tuition Administration Support]]</f>
        <v>29966</v>
      </c>
    </row>
    <row r="12" spans="1:55">
      <c r="A12">
        <f>'D. 19-20 Enrolment by FN'!A8</f>
        <v>267</v>
      </c>
      <c r="B12" t="str">
        <f>'D. 19-20 Enrolment by FN'!B8</f>
        <v>Bloodvein</v>
      </c>
      <c r="C12" s="397">
        <f>SUMIF('-B1-'!$A$11:$A$22,'FNSS Summary Breakdown'!$A12,'-B1-'!$F$11:$F$22)</f>
        <v>373838</v>
      </c>
      <c r="D12" s="397">
        <f>SUMIF('-B2-'!$A$11:$A$22,'FNSS Summary Breakdown'!$A12,'-B2-'!$I$11:$I$22)</f>
        <v>0</v>
      </c>
      <c r="E12" s="397">
        <f>SUMIF('-B3-'!$A$11:$A$22,'FNSS Summary Breakdown'!$A12,'-B3-'!$J$11:$J$22)</f>
        <v>74854</v>
      </c>
      <c r="F12" s="397">
        <f>SUMIF('-B4-'!$A$11:$A$22,'FNSS Summary Breakdown'!$A12,'-B4-'!$F$11:$F$22)</f>
        <v>11640</v>
      </c>
      <c r="G12" s="397">
        <f>SUMIF('-B5-'!$A$11:$A$22,'FNSS Summary Breakdown'!$A12,'-B5-'!$F$11:$F$22)</f>
        <v>12028</v>
      </c>
      <c r="H12" s="397">
        <f>SUMIF('-B6-'!$A$11:$A$22,'FNSS Summary Breakdown'!$A12,'-B6-'!$F$11:$F$22)</f>
        <v>17848</v>
      </c>
      <c r="I12" s="397">
        <f>SUMIF('-B7-'!$A$11:$A$22,'FNSS Summary Breakdown'!$A12,Table53[Rounded Total])</f>
        <v>174458</v>
      </c>
      <c r="J12" s="397">
        <f>SUMIF('-B8-'!$A$11:$A$22,'FNSS Summary Breakdown'!$A12,'-B8-'!$F$11:$F$22)</f>
        <v>16102</v>
      </c>
      <c r="K12" s="397">
        <f>SUMIF('-B9-'!$A$11:$A$22,'FNSS Summary Breakdown'!$A12,'-B9-'!$G$11:$G$22)</f>
        <v>8924</v>
      </c>
      <c r="L12" s="397">
        <f>SUMIF('-B10-'!$A$11:$A$22,'FNSS Summary Breakdown'!$A12,'-B10-'!$F$11:$F$22)</f>
        <v>250</v>
      </c>
      <c r="M12" s="397">
        <f>SUMIF('-B11-'!$A$25:$A$36,'FNSS Summary Breakdown'!$A12,'-B11-'!$G$25:$G$36)</f>
        <v>87704</v>
      </c>
      <c r="N12" s="730">
        <f t="shared" si="0"/>
        <v>777646</v>
      </c>
      <c r="O12" s="730">
        <f>SUMIF(Table44[Band '#],Table31[[#This Row],[Band '#]],Table44[TOTAL Board &amp; Room Band-Op Schools &lt;18])</f>
        <v>0</v>
      </c>
      <c r="P12" s="730">
        <f>SUMIF(Table13[Band '#],Table31[[#This Row],[Band '#]],Table13[[Special Needs TOTAL ]])</f>
        <v>188029</v>
      </c>
      <c r="Q12" s="730">
        <f>SUMIF(Table14[Band '#],Table31[[#This Row],[Band '#]],Table14[TOTAL])</f>
        <v>604</v>
      </c>
      <c r="R12" s="730">
        <f>SUMIF(Table15[Band '#],Table31[[#This Row],[Band '#]],Table15[TOTAL])</f>
        <v>303</v>
      </c>
      <c r="S12" s="730">
        <f>SUMIF(Table16[Band '#],Table31[[#This Row],[Band '#]],Table16[Comparability TOTAL])</f>
        <v>91568</v>
      </c>
      <c r="T12" s="730">
        <f>SUMIF(Table20[Band '#],Table31[[#This Row],[Band '#]],Table20[ENHANCED Aboriginal Languages TOTAL])</f>
        <v>314846</v>
      </c>
      <c r="U12" s="730">
        <f>SUMIF(Table21[Band '#],Table31[[#This Row],[Band '#]],Table21[TOTAL])</f>
        <v>1000</v>
      </c>
      <c r="V12" s="730">
        <f>SUMIF(Table22[Band '#],Table31[[#This Row],[Band '#]],Table22[TOTAL])</f>
        <v>10552</v>
      </c>
      <c r="W12" s="730">
        <f>IF(Table31[[#This Row],[Band '#]]=3548,Table23[[#Totals],[Greater of A and B TOTAL ENROLMENT CHANGE SUPPORT]],0)</f>
        <v>0</v>
      </c>
      <c r="X12" s="730">
        <f>SUMIF(Table24[Band '#],Table31[[#This Row],[Band '#]],Table24[TOTAL])</f>
        <v>129980</v>
      </c>
      <c r="Y12" s="730">
        <f>SUMIF(Table25[Band '#],Table31[[#This Row],[Band '#]],Table25[TOTAL])</f>
        <v>16243</v>
      </c>
      <c r="Z12" s="730">
        <f>SUMIF(Table26[Band '#],Table31[[#This Row],[Band '#]],Table26[TOTAL])</f>
        <v>700</v>
      </c>
      <c r="AA12" s="730">
        <f>SUM(Table31[[#This Row],[2. Board and Room]:[13. Education for Sustainable Development]])</f>
        <v>753825</v>
      </c>
      <c r="AB12" s="397">
        <f>SUMIF(Table27[Band '#],Table31[[#This Row],[Band '#]],Table27[TOTAL])</f>
        <v>7991</v>
      </c>
      <c r="AC12" s="910"/>
      <c r="AD12" s="910"/>
      <c r="AE12" s="397">
        <f>SUMIF(Table30[Band '#],Table31[[#This Row],[Band '#]],Table30[TOTAL PENSIONS])</f>
        <v>177692</v>
      </c>
      <c r="AF12" s="910"/>
      <c r="AG12" s="910"/>
      <c r="AH12" s="1137"/>
      <c r="AI12" s="1137"/>
      <c r="AJ12" s="903">
        <f t="shared" si="1"/>
        <v>1717154</v>
      </c>
      <c r="AK12"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ACCOMMODATION]]+AX12)*0.05),0)</f>
        <v>68836</v>
      </c>
      <c r="AL12" s="911">
        <f>SUMIF(Table35[Band No.],Table31[[#This Row],[Band '#]],Table35[Provincial Student Supports])+SUMIF(Table42[Band No.],Table31[[#This Row],[Band '#]],Table42[Provincial Student Supports])</f>
        <v>23802.68</v>
      </c>
      <c r="AM12" s="911">
        <f>SUMIF(Table35[Band No.],Table31[[#This Row],[Band '#]],Table35[TOTAL Tuition Funding])+SUMIF(Table42[Band No.],Table31[[#This Row],[Band '#]],Table42[TOTAL Tuition Funding])</f>
        <v>800237</v>
      </c>
      <c r="AN12" s="539">
        <f>INDEX('Transportation Calc'!$AR$11:$AR$21,MATCH(Table31[[#This Row],[Band '#]],Table12[Band '#],0))</f>
        <v>221940</v>
      </c>
      <c r="AO12" s="539">
        <f>INDEX('Transportation Calc'!$AS$11:$AS$21,MATCH(Table31[[#This Row],[First Nation]],Table12[First Nation],0))</f>
        <v>23880</v>
      </c>
      <c r="AP12" s="539">
        <f>Table31[[#This Row],[Band-Operated Transportation]]+Table31[[#This Row],[Provincial Transportation]]</f>
        <v>245820</v>
      </c>
      <c r="AQ12" s="912">
        <f>SUMIF(StuAccomUnder18[Band Number],Table31[[#This Row],[Band '#]],StuAccomUnder18[TOTAL Student Accommodation &lt;18])+SUMIF(StudAccom1821[Band No.],Table31[[#This Row],[Band '#]],StudAccom1821[TOTAL 18-21 PHP/Student Accommodation])</f>
        <v>526788</v>
      </c>
      <c r="AR12" s="397">
        <f>Table31[[#This Row],[1. FN SCHOOLS (Excludes Transportation)]]+Table31[[#This Row],[Tuition Administration Support]]+Table31[[#This Row],[Supports for Tuition Students]]+Table31[[#This Row],[2. TUITION (Excludes Transportation)]]+Table31[[#This Row],[3. TRANSPORTATION]]+Table31[[#This Row],[4. PHP/STUDENT ACCOMMODATION]]</f>
        <v>3382637.6799999997</v>
      </c>
      <c r="AS12"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25</v>
      </c>
      <c r="AT12" s="172">
        <f>SUMIF(TableAFNSchools[Band No '#],Table31[[#This Row],[Band '#]],TableAFNSchools[Total FTE])</f>
        <v>194</v>
      </c>
      <c r="AU12" s="172">
        <f>SUMIF('B. 20-21 Prov&amp;Priv Enrolment&lt;22'!$A$8:$A$54,Table31[[#This Row],[Band '#]],'B. 20-21 Prov&amp;Priv Enrolment&lt;22'!$Y$8:$Y$54)+SUMIF('C. 20-21 Prov&amp;Priv 22+'!$A$7:$A$7,Table31[[#This Row],[Band '#]],'C. 20-21 Prov&amp;Priv 22+'!$Q$7:$Q$7)</f>
        <v>44</v>
      </c>
      <c r="AV12" s="173">
        <f ca="1">(Table31[[#This Row],[GRAND TOTAL]]+AR24)/(Table31[[#This Row],[FN Schools Enrolment]]+Table31[[#This Row],[Prov/Priv Enrolment]])</f>
        <v>24312.414621848737</v>
      </c>
      <c r="AX12" s="397">
        <f>INDEX(Table54[[Provincial School Total ]],MATCH(Table31[[#This Row],[Band '#]],Table54[Band no],0))</f>
        <v>2001</v>
      </c>
      <c r="AZ12" s="397">
        <f ca="1">SUMIF($A$11:$A$33,Table31[[#This Row],[Band '#]],$AJ$11:$AJ$33)+Table31[[#This Row],[Band-Operated Transportation]]-BA12</f>
        <v>3492080</v>
      </c>
      <c r="BA12" s="397">
        <f>SUMIF($A$11:$A$33,Table31[[#This Row],[Band '#]],$I$11:$I$33)+SUMIF($A$11:$A$33,Table31[[#This Row],[Band '#]],$P$11:$P$33)</f>
        <v>850731</v>
      </c>
      <c r="BB12" s="397">
        <f>Table31[[#This Row],[Provincial Transportation]]+Table31[[#This Row],[2. TUITION (Excludes Transportation)]]+Table31[[#This Row],[Supports for Tuition Students]]+Table31[[#This Row],[4. PHP/STUDENT ACCOMMODATION]]</f>
        <v>1374707.6800000002</v>
      </c>
      <c r="BC12" s="397">
        <f>Table31[[#This Row],[Tuition Administration Support]]</f>
        <v>68836</v>
      </c>
    </row>
    <row r="13" spans="1:55">
      <c r="A13">
        <f>'D. 19-20 Enrolment by FN'!A9</f>
        <v>271</v>
      </c>
      <c r="B13" t="str">
        <f>'D. 19-20 Enrolment by FN'!B9</f>
        <v>Lake Manitoba</v>
      </c>
      <c r="C13" s="397">
        <f>SUMIF('-B1-'!$A$11:$A$22,'FNSS Summary Breakdown'!$A13,'-B1-'!$F$11:$F$22)</f>
        <v>583881</v>
      </c>
      <c r="D13" s="397">
        <f>SUMIF('-B2-'!$A$11:$A$21,'FNSS Summary Breakdown'!$A13,'-B2-'!$I$11:$I$21)</f>
        <v>0</v>
      </c>
      <c r="E13" s="397">
        <f>SUMIF('-B3-'!$A$11:$A$22,'FNSS Summary Breakdown'!$A13,'-B3-'!$J$11:$J$22)</f>
        <v>94514</v>
      </c>
      <c r="F13" s="397">
        <f>SUMIF('-B4-'!$A$11:$A$22,'FNSS Summary Breakdown'!$A13,'-B4-'!$F$11:$F$22)</f>
        <v>18180</v>
      </c>
      <c r="G13" s="397">
        <f>SUMIF('-B5-'!$A$11:$A$22,'FNSS Summary Breakdown'!$A13,'-B5-'!$F$11:$F$22)</f>
        <v>18786</v>
      </c>
      <c r="H13" s="397">
        <f>SUMIF('-B6-'!$A$11:$A$22,'FNSS Summary Breakdown'!$A13,'-B6-'!$F$11:$F$22)</f>
        <v>27876</v>
      </c>
      <c r="I13" s="397">
        <f>SUMIF('-B7-'!$A$11:$A$22,'FNSS Summary Breakdown'!$A13,Table53[Rounded Total])</f>
        <v>343671</v>
      </c>
      <c r="J13" s="397">
        <f>SUMIF('-B8-'!$A$11:$A$22,'FNSS Summary Breakdown'!$A13,'-B8-'!$F$11:$F$22)</f>
        <v>25149</v>
      </c>
      <c r="K13" s="397">
        <f>SUMIF('-B9-'!$A$11:$A$22,'FNSS Summary Breakdown'!$A13,'-B9-'!$G$11:$G$22)</f>
        <v>13938</v>
      </c>
      <c r="L13" s="397">
        <f>SUMIF('-B10-'!$A$11:$A$22,'FNSS Summary Breakdown'!$A13,'-B10-'!$F$11:$F$22)</f>
        <v>6000</v>
      </c>
      <c r="M13" s="397">
        <f>SUMIF('-B11-'!$A$25:$A$36,'FNSS Summary Breakdown'!$A13,'-B11-'!$G$25:$G$36)</f>
        <v>105771</v>
      </c>
      <c r="N13" s="730">
        <f t="shared" si="0"/>
        <v>1237766</v>
      </c>
      <c r="O13" s="730">
        <f>SUMIF(Table44[Band '#],Table31[[#This Row],[Band '#]],Table44[TOTAL Board &amp; Room Band-Op Schools &lt;18])</f>
        <v>0</v>
      </c>
      <c r="P13" s="730">
        <f>SUMIF(Table13[Band '#],Table31[[#This Row],[Band '#]],Table13[[Special Needs TOTAL ]])</f>
        <v>242052</v>
      </c>
      <c r="Q13" s="730">
        <f>SUMIF(Table14[Band '#],Table31[[#This Row],[Band '#]],Table14[TOTAL])</f>
        <v>14507</v>
      </c>
      <c r="R13" s="730">
        <f>SUMIF(Table15[Band '#],Table31[[#This Row],[Band '#]],Table15[TOTAL])</f>
        <v>369</v>
      </c>
      <c r="S13" s="730">
        <f>SUMIF(Table16[Band '#],Table31[[#This Row],[Band '#]],Table16[Comparability TOTAL])</f>
        <v>143016</v>
      </c>
      <c r="T13" s="730">
        <f>SUMIF(Table20[Band '#],Table31[[#This Row],[Band '#]],Table20[ENHANCED Aboriginal Languages TOTAL])</f>
        <v>491745</v>
      </c>
      <c r="U13" s="730">
        <f>SUMIF(Table21[Band '#],Table31[[#This Row],[Band '#]],Table21[TOTAL])</f>
        <v>2052</v>
      </c>
      <c r="V13" s="730">
        <f>SUMIF(Table22[Band '#],Table31[[#This Row],[Band '#]],Table22[TOTAL])</f>
        <v>18485</v>
      </c>
      <c r="W13" s="730">
        <f>IF(Table31[[#This Row],[Band '#]]=3548,Table23[[#Totals],[Greater of A and B TOTAL ENROLMENT CHANGE SUPPORT]],0)</f>
        <v>0</v>
      </c>
      <c r="X13" s="730">
        <f>SUMIF(Table24[Band '#],Table31[[#This Row],[Band '#]],Table24[TOTAL])</f>
        <v>0</v>
      </c>
      <c r="Y13" s="730">
        <f>SUMIF(Table25[Band '#],Table31[[#This Row],[Band '#]],Table25[TOTAL])</f>
        <v>24608</v>
      </c>
      <c r="Z13" s="730">
        <f>SUMIF(Table26[Band '#],Table31[[#This Row],[Band '#]],Table26[TOTAL])</f>
        <v>700</v>
      </c>
      <c r="AA13" s="730">
        <f>SUM(Table31[[#This Row],[2. Board and Room]:[13. Education for Sustainable Development]])</f>
        <v>937534</v>
      </c>
      <c r="AB13" s="397">
        <f>SUMIF(Table27[Band '#],Table31[[#This Row],[Band '#]],Table27[TOTAL])</f>
        <v>12967</v>
      </c>
      <c r="AC13" s="910"/>
      <c r="AD13" s="910"/>
      <c r="AE13" s="397">
        <f>SUMIF(Table30[Band '#],Table31[[#This Row],[Band '#]],Table30[TOTAL PENSIONS])</f>
        <v>282830</v>
      </c>
      <c r="AF13" s="910"/>
      <c r="AG13" s="910"/>
      <c r="AH13" s="1137"/>
      <c r="AI13" s="1137"/>
      <c r="AJ13" s="903">
        <f t="shared" si="1"/>
        <v>2471097</v>
      </c>
      <c r="AK13"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ACCOMMODATION]]+AX13)*0.05),0)</f>
        <v>6179</v>
      </c>
      <c r="AL13" s="911">
        <f>SUMIF(Table35[Band No.],Table31[[#This Row],[Band '#]],Table35[Provincial Student Supports])+SUMIF(Table42[Band No.],Table31[[#This Row],[Band '#]],Table42[Provincial Student Supports])</f>
        <v>2163.88</v>
      </c>
      <c r="AM13" s="911">
        <f>SUMIF(Table35[Band No.],Table31[[#This Row],[Band '#]],Table35[TOTAL Tuition Funding])+SUMIF(Table42[Band No.],Table31[[#This Row],[Band '#]],Table42[TOTAL Tuition Funding])</f>
        <v>57114</v>
      </c>
      <c r="AN13" s="539">
        <f>INDEX('Transportation Calc'!$AR$11:$AR$21,MATCH(Table31[[#This Row],[Band '#]],Table12[Band '#],0))</f>
        <v>434595</v>
      </c>
      <c r="AO13" s="539">
        <f>INDEX('Transportation Calc'!$AS$11:$AS$21,MATCH(Table31[[#This Row],[First Nation]],Table12[First Nation],0))</f>
        <v>3292</v>
      </c>
      <c r="AP13" s="539">
        <f>Table31[[#This Row],[Band-Operated Transportation]]+Table31[[#This Row],[Provincial Transportation]]</f>
        <v>437887</v>
      </c>
      <c r="AQ13" s="912">
        <f>SUMIF(StuAccomUnder18[Band Number],Table31[[#This Row],[Band '#]],StuAccomUnder18[TOTAL Student Accommodation &lt;18])+SUMIF(StudAccom1821[Band No.],Table31[[#This Row],[Band '#]],StudAccom1821[TOTAL 18-21 PHP/Student Accommodation])</f>
        <v>60818</v>
      </c>
      <c r="AR13" s="397">
        <f>Table31[[#This Row],[1. FN SCHOOLS (Excludes Transportation)]]+Table31[[#This Row],[Tuition Administration Support]]+Table31[[#This Row],[Supports for Tuition Students]]+Table31[[#This Row],[2. TUITION (Excludes Transportation)]]+Table31[[#This Row],[3. TRANSPORTATION]]+Table31[[#This Row],[4. PHP/STUDENT ACCOMMODATION]]</f>
        <v>3035258.8799999999</v>
      </c>
      <c r="AS13"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4</v>
      </c>
      <c r="AT13" s="172">
        <f>SUMIF(TableAFNSchools[Band No '#],Table31[[#This Row],[Band '#]],TableAFNSchools[Total FTE])</f>
        <v>303</v>
      </c>
      <c r="AU13" s="172">
        <f>SUMIF('B. 20-21 Prov&amp;Priv Enrolment&lt;22'!$A$8:$A$54,Table31[[#This Row],[Band '#]],'B. 20-21 Prov&amp;Priv Enrolment&lt;22'!$Y$8:$Y$54)+SUMIF('C. 20-21 Prov&amp;Priv 22+'!$A$7:$A$7,Table31[[#This Row],[Band '#]],'C. 20-21 Prov&amp;Priv 22+'!$Q$7:$Q$7)</f>
        <v>4</v>
      </c>
      <c r="AV13" s="173">
        <f ca="1">(Table31[[#This Row],[GRAND TOTAL]]+AR25)/(Table31[[#This Row],[FN Schools Enrolment]]+Table31[[#This Row],[Prov/Priv Enrolment]])</f>
        <v>20606.090814332249</v>
      </c>
      <c r="AX13" s="397">
        <f>INDEX(Table54[[Provincial School Total ]],MATCH(Table31[[#This Row],[Band '#]],Table54[Band no],0))</f>
        <v>207</v>
      </c>
      <c r="AZ13" s="397">
        <f ca="1">SUMIF($A$11:$A$33,Table31[[#This Row],[Band '#]],$AJ$11:$AJ$33)+Table31[[#This Row],[Band-Operated Transportation]]-BA13</f>
        <v>4983073</v>
      </c>
      <c r="BA13" s="397">
        <f>SUMIF($A$11:$A$33,Table31[[#This Row],[Band '#]],$I$11:$I$33)+SUMIF($A$11:$A$33,Table31[[#This Row],[Band '#]],$P$11:$P$33)</f>
        <v>1213430</v>
      </c>
      <c r="BB13" s="397">
        <f>Table31[[#This Row],[Provincial Transportation]]+Table31[[#This Row],[2. TUITION (Excludes Transportation)]]+Table31[[#This Row],[Supports for Tuition Students]]+Table31[[#This Row],[4. PHP/STUDENT ACCOMMODATION]]</f>
        <v>123387.88</v>
      </c>
      <c r="BC13" s="397">
        <f>Table31[[#This Row],[Tuition Administration Support]]</f>
        <v>6179</v>
      </c>
    </row>
    <row r="14" spans="1:55">
      <c r="A14">
        <f>'D. 19-20 Enrolment by FN'!A10</f>
        <v>272</v>
      </c>
      <c r="B14" t="str">
        <f>'D. 19-20 Enrolment by FN'!B10</f>
        <v>Pinaymootang</v>
      </c>
      <c r="C14" s="397">
        <f>SUMIF('-B1-'!$A$11:$A$22,'FNSS Summary Breakdown'!$A14,'-B1-'!$F$11:$F$22)</f>
        <v>838245</v>
      </c>
      <c r="D14" s="397">
        <f>SUMIF('-B2-'!$A$11:$A$21,'FNSS Summary Breakdown'!$A14,'-B2-'!$I$11:$I$21)</f>
        <v>0</v>
      </c>
      <c r="E14" s="397">
        <f>SUMIF('-B3-'!$A$11:$A$22,'FNSS Summary Breakdown'!$A14,'-B3-'!$J$11:$J$22)</f>
        <v>90573</v>
      </c>
      <c r="F14" s="397">
        <f>SUMIF('-B4-'!$A$11:$A$22,'FNSS Summary Breakdown'!$A14,'-B4-'!$F$11:$F$22)</f>
        <v>26100</v>
      </c>
      <c r="G14" s="397">
        <f>SUMIF('-B5-'!$A$11:$A$22,'FNSS Summary Breakdown'!$A14,'-B5-'!$F$11:$F$22)</f>
        <v>26970</v>
      </c>
      <c r="H14" s="397">
        <f>SUMIF('-B6-'!$A$11:$A$22,'FNSS Summary Breakdown'!$A14,'-B6-'!$F$11:$F$22)</f>
        <v>40020</v>
      </c>
      <c r="I14" s="397">
        <f>SUMIF('-B7-'!$A$11:$A$22,'FNSS Summary Breakdown'!$A14,Table53[Rounded Total])</f>
        <v>389424</v>
      </c>
      <c r="J14" s="397">
        <f>SUMIF('-B8-'!$A$11:$A$22,'FNSS Summary Breakdown'!$A14,'-B8-'!$F$11:$F$22)</f>
        <v>36105</v>
      </c>
      <c r="K14" s="397">
        <f>SUMIF('-B9-'!$A$11:$A$22,'FNSS Summary Breakdown'!$A14,'-B9-'!$G$11:$G$22)</f>
        <v>20010</v>
      </c>
      <c r="L14" s="397">
        <f>SUMIF('-B10-'!$A$11:$A$22,'FNSS Summary Breakdown'!$A14,'-B10-'!$F$11:$F$22)</f>
        <v>11000</v>
      </c>
      <c r="M14" s="397">
        <f>SUMIF('-B11-'!$A$25:$A$36,'FNSS Summary Breakdown'!$A14,'-B11-'!$G$25:$G$36)</f>
        <v>173843</v>
      </c>
      <c r="N14" s="730">
        <f t="shared" si="0"/>
        <v>1652290</v>
      </c>
      <c r="O14" s="730">
        <f>SUMIF(Table44[Band '#],Table31[[#This Row],[Band '#]],Table44[TOTAL Board &amp; Room Band-Op Schools &lt;18])</f>
        <v>0</v>
      </c>
      <c r="P14" s="730">
        <f>SUMIF(Table13[Band '#],Table31[[#This Row],[Band '#]],Table13[[Special Needs TOTAL ]])</f>
        <v>347500</v>
      </c>
      <c r="Q14" s="730">
        <f>SUMIF(Table14[Band '#],Table31[[#This Row],[Band '#]],Table14[TOTAL])</f>
        <v>26596</v>
      </c>
      <c r="R14" s="730">
        <f>SUMIF(Table15[Band '#],Table31[[#This Row],[Band '#]],Table15[TOTAL])</f>
        <v>509</v>
      </c>
      <c r="S14" s="730">
        <f>SUMIF(Table16[Band '#],Table31[[#This Row],[Band '#]],Table16[Comparability TOTAL])</f>
        <v>205320</v>
      </c>
      <c r="T14" s="730">
        <f>SUMIF(Table20[Band '#],Table31[[#This Row],[Band '#]],Table20[ENHANCED Aboriginal Languages TOTAL])</f>
        <v>705970</v>
      </c>
      <c r="U14" s="730">
        <f>SUMIF(Table21[Band '#],Table31[[#This Row],[Band '#]],Table21[TOTAL])</f>
        <v>3062</v>
      </c>
      <c r="V14" s="730">
        <f>SUMIF(Table22[Band '#],Table31[[#This Row],[Band '#]],Table22[TOTAL])</f>
        <v>15369</v>
      </c>
      <c r="W14" s="730">
        <f>IF(Table31[[#This Row],[Band '#]]=3548,Table23[[#Totals],[Greater of A and B TOTAL ENROLMENT CHANGE SUPPORT]],0)</f>
        <v>0</v>
      </c>
      <c r="X14" s="730">
        <f>SUMIF(Table24[Band '#],Table31[[#This Row],[Band '#]],Table24[TOTAL])</f>
        <v>0</v>
      </c>
      <c r="Y14" s="730">
        <f>SUMIF(Table25[Band '#],Table31[[#This Row],[Band '#]],Table25[TOTAL])</f>
        <v>35213</v>
      </c>
      <c r="Z14" s="730">
        <f>SUMIF(Table26[Band '#],Table31[[#This Row],[Band '#]],Table26[TOTAL])</f>
        <v>700</v>
      </c>
      <c r="AA14" s="730">
        <f>SUM(Table31[[#This Row],[2. Board and Room]:[13. Education for Sustainable Development]])</f>
        <v>1340239</v>
      </c>
      <c r="AB14" s="397">
        <f>SUMIF(Table27[Band '#],Table31[[#This Row],[Band '#]],Table27[TOTAL])</f>
        <v>20739</v>
      </c>
      <c r="AC14" s="910"/>
      <c r="AD14" s="910"/>
      <c r="AE14" s="397">
        <f>SUMIF(Table30[Band '#],Table31[[#This Row],[Band '#]],Table30[TOTAL PENSIONS])</f>
        <v>377548</v>
      </c>
      <c r="AF14" s="910"/>
      <c r="AG14" s="910"/>
      <c r="AH14" s="1137"/>
      <c r="AI14" s="1137"/>
      <c r="AJ14" s="903">
        <f t="shared" si="1"/>
        <v>3390816</v>
      </c>
      <c r="AK14"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ACCOMMODATION]]+AX14)*0.05),0)</f>
        <v>14954</v>
      </c>
      <c r="AL14" s="911">
        <f>SUMIF(Table35[Band No.],Table31[[#This Row],[Band '#]],Table35[Provincial Student Supports])+SUMIF(Table42[Band No.],Table31[[#This Row],[Band '#]],Table42[Provincial Student Supports])</f>
        <v>6491.64</v>
      </c>
      <c r="AM14" s="911">
        <f>SUMIF(Table35[Band No.],Table31[[#This Row],[Band '#]],Table35[TOTAL Tuition Funding])+SUMIF(Table42[Band No.],Table31[[#This Row],[Band '#]],Table42[TOTAL Tuition Funding])</f>
        <v>174796</v>
      </c>
      <c r="AN14" s="539">
        <f>INDEX('Transportation Calc'!$AR$11:$AR$21,MATCH(Table31[[#This Row],[Band '#]],Table12[Band '#],0))</f>
        <v>432657</v>
      </c>
      <c r="AO14" s="539">
        <f>INDEX('Transportation Calc'!$AS$11:$AS$21,MATCH(Table31[[#This Row],[First Nation]],Table12[First Nation],0))</f>
        <v>10150</v>
      </c>
      <c r="AP14" s="539">
        <f>Table31[[#This Row],[Band-Operated Transportation]]+Table31[[#This Row],[Provincial Transportation]]</f>
        <v>442807</v>
      </c>
      <c r="AQ14" s="912">
        <f>SUMIF(StuAccomUnder18[Band Number],Table31[[#This Row],[Band '#]],StuAccomUnder18[TOTAL Student Accommodation &lt;18])+SUMIF(StudAccom1821[Band No.],Table31[[#This Row],[Band '#]],StudAccom1821[TOTAL 18-21 PHP/Student Accommodation])</f>
        <v>106958</v>
      </c>
      <c r="AR14" s="397">
        <f>Table31[[#This Row],[1. FN SCHOOLS (Excludes Transportation)]]+Table31[[#This Row],[Tuition Administration Support]]+Table31[[#This Row],[Supports for Tuition Students]]+Table31[[#This Row],[2. TUITION (Excludes Transportation)]]+Table31[[#This Row],[3. TRANSPORTATION]]+Table31[[#This Row],[4. PHP/STUDENT ACCOMMODATION]]</f>
        <v>4136822.64</v>
      </c>
      <c r="AS14"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7</v>
      </c>
      <c r="AT14" s="172">
        <f>SUMIF(TableAFNSchools[Band No '#],Table31[[#This Row],[Band '#]],TableAFNSchools[Total FTE])</f>
        <v>435</v>
      </c>
      <c r="AU14" s="172">
        <f>SUMIF('B. 20-21 Prov&amp;Priv Enrolment&lt;22'!$A$8:$A$54,Table31[[#This Row],[Band '#]],'B. 20-21 Prov&amp;Priv Enrolment&lt;22'!$Y$8:$Y$54)+SUMIF('C. 20-21 Prov&amp;Priv 22+'!$A$7:$A$7,Table31[[#This Row],[Band '#]],'C. 20-21 Prov&amp;Priv 22+'!$Q$7:$Q$7)</f>
        <v>12</v>
      </c>
      <c r="AV14" s="173">
        <f ca="1">(Table31[[#This Row],[GRAND TOTAL]]+AR26)/(Table31[[#This Row],[FN Schools Enrolment]]+Table31[[#This Row],[Prov/Priv Enrolment]])</f>
        <v>19025.999194630873</v>
      </c>
      <c r="AX14" s="397">
        <f>INDEX(Table54[[Provincial School Total ]],MATCH(Table31[[#This Row],[Band '#]],Table54[Band no],0))</f>
        <v>690</v>
      </c>
      <c r="AZ14" s="397">
        <f ca="1">SUMIF($A$11:$A$33,Table31[[#This Row],[Band '#]],$AJ$11:$AJ$33)+Table31[[#This Row],[Band-Operated Transportation]]-BA14</f>
        <v>6553184</v>
      </c>
      <c r="BA14" s="397">
        <f>SUMIF($A$11:$A$33,Table31[[#This Row],[Band '#]],$I$11:$I$33)+SUMIF($A$11:$A$33,Table31[[#This Row],[Band '#]],$P$11:$P$33)</f>
        <v>1638088</v>
      </c>
      <c r="BB14" s="397">
        <f>Table31[[#This Row],[Provincial Transportation]]+Table31[[#This Row],[2. TUITION (Excludes Transportation)]]+Table31[[#This Row],[Supports for Tuition Students]]+Table31[[#This Row],[4. PHP/STUDENT ACCOMMODATION]]</f>
        <v>298395.64</v>
      </c>
      <c r="BC14" s="397">
        <f>Table31[[#This Row],[Tuition Administration Support]]</f>
        <v>14954</v>
      </c>
    </row>
    <row r="15" spans="1:55">
      <c r="A15">
        <f>'D. 19-20 Enrolment by FN'!A11</f>
        <v>273</v>
      </c>
      <c r="B15" t="str">
        <f>'D. 19-20 Enrolment by FN'!B11</f>
        <v>Roseau River</v>
      </c>
      <c r="C15" s="397">
        <f>SUMIF('-B1-'!$A$11:$A$22,'FNSS Summary Breakdown'!$A15,'-B1-'!$F$11:$F$22)</f>
        <v>294831</v>
      </c>
      <c r="D15" s="397">
        <f>SUMIF('-B2-'!$A$11:$A$21,'FNSS Summary Breakdown'!$A15,'-B2-'!$I$11:$I$21)</f>
        <v>0</v>
      </c>
      <c r="E15" s="397">
        <f>SUMIF('-B3-'!$A$11:$A$21,'FNSS Summary Breakdown'!$A15,'-B3-'!$J$11:$J$21)</f>
        <v>58400</v>
      </c>
      <c r="F15" s="397">
        <f>SUMIF('-B4-'!$A$11:$A$22,'FNSS Summary Breakdown'!$A15,'-B4-'!$F$11:$F$22)</f>
        <v>9180</v>
      </c>
      <c r="G15" s="397">
        <f>SUMIF('-B5-'!$A$11:$A$22,'FNSS Summary Breakdown'!$A15,'-B5-'!$F$11:$F$22)</f>
        <v>9486</v>
      </c>
      <c r="H15" s="397">
        <f>SUMIF('-B6-'!$A$11:$A$22,'FNSS Summary Breakdown'!$A15,'-B6-'!$F$11:$F$22)</f>
        <v>14076</v>
      </c>
      <c r="I15" s="397">
        <f>SUMIF('-B7-'!$A$11:$A$22,'FNSS Summary Breakdown'!$A15,Table53[Rounded Total])</f>
        <v>23824</v>
      </c>
      <c r="J15" s="397">
        <f>SUMIF('-B8-'!$A$11:$A$22,'FNSS Summary Breakdown'!$A15,'-B8-'!$F$11:$F$22)</f>
        <v>12699</v>
      </c>
      <c r="K15" s="397">
        <f>SUMIF('-B9-'!$A$11:$A$22,'FNSS Summary Breakdown'!$A15,'-B9-'!$G$11:$G$22)</f>
        <v>7038</v>
      </c>
      <c r="L15" s="397">
        <f>SUMIF('-B10-'!$A$11:$A$22,'FNSS Summary Breakdown'!$A15,'-B10-'!$F$11:$F$22)</f>
        <v>0</v>
      </c>
      <c r="M15" s="397">
        <f>SUMIF('-B11-'!$A$25:$A$36,'FNSS Summary Breakdown'!$A15,'-B11-'!$G$25:$G$36)</f>
        <v>78611</v>
      </c>
      <c r="N15" s="730">
        <f t="shared" si="0"/>
        <v>508145</v>
      </c>
      <c r="O15" s="730">
        <f>SUMIF(Table44[Band '#],Table31[[#This Row],[Band '#]],Table44[TOTAL Board &amp; Room Band-Op Schools &lt;18])</f>
        <v>0</v>
      </c>
      <c r="P15" s="730">
        <f>SUMIF(Table13[Band '#],Table31[[#This Row],[Band '#]],Table13[[Special Needs TOTAL ]])</f>
        <v>94767</v>
      </c>
      <c r="Q15" s="730">
        <f>SUMIF(Table14[Band '#],Table31[[#This Row],[Band '#]],Table14[TOTAL])</f>
        <v>0</v>
      </c>
      <c r="R15" s="730">
        <f>SUMIF(Table15[Band '#],Table31[[#This Row],[Band '#]],Table15[TOTAL])</f>
        <v>268</v>
      </c>
      <c r="S15" s="730">
        <f>SUMIF(Table16[Band '#],Table31[[#This Row],[Band '#]],Table16[Comparability TOTAL])</f>
        <v>72216</v>
      </c>
      <c r="T15" s="730">
        <f>SUMIF(Table20[Band '#],Table31[[#This Row],[Band '#]],Table20[ENHANCED Aboriginal Languages TOTAL])</f>
        <v>248307</v>
      </c>
      <c r="U15" s="730">
        <f>SUMIF(Table21[Band '#],Table31[[#This Row],[Band '#]],Table21[TOTAL])</f>
        <v>682</v>
      </c>
      <c r="V15" s="730">
        <f>SUMIF(Table22[Band '#],Table31[[#This Row],[Band '#]],Table22[TOTAL])</f>
        <v>7745</v>
      </c>
      <c r="W15" s="730">
        <f>IF(Table31[[#This Row],[Band '#]]=3548,Table23[[#Totals],[Greater of A and B TOTAL ENROLMENT CHANGE SUPPORT]],0)</f>
        <v>0</v>
      </c>
      <c r="X15" s="730">
        <f>SUMIF(Table24[Band '#],Table31[[#This Row],[Band '#]],Table24[TOTAL])</f>
        <v>0</v>
      </c>
      <c r="Y15" s="730">
        <f>SUMIF(Table25[Band '#],Table31[[#This Row],[Band '#]],Table25[TOTAL])</f>
        <v>12520</v>
      </c>
      <c r="Z15" s="730">
        <f>SUMIF(Table26[Band '#],Table31[[#This Row],[Band '#]],Table26[TOTAL])</f>
        <v>700</v>
      </c>
      <c r="AA15" s="730">
        <f>SUM(Table31[[#This Row],[2. Board and Room]:[13. Education for Sustainable Development]])</f>
        <v>437205</v>
      </c>
      <c r="AB15" s="397">
        <f>SUMIF(Table27[Band '#],Table31[[#This Row],[Band '#]],Table27[TOTAL])</f>
        <v>5652</v>
      </c>
      <c r="AC15" s="910"/>
      <c r="AD15" s="910"/>
      <c r="AE15" s="397">
        <f>SUMIF(Table30[Band '#],Table31[[#This Row],[Band '#]],Table30[TOTAL PENSIONS])</f>
        <v>116111</v>
      </c>
      <c r="AF15" s="910"/>
      <c r="AG15" s="910"/>
      <c r="AH15" s="1137"/>
      <c r="AI15" s="1137"/>
      <c r="AJ15" s="903">
        <f t="shared" si="1"/>
        <v>1067113</v>
      </c>
      <c r="AK15"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ACCOMMODATION]]+AX15)*0.05),0)</f>
        <v>64015</v>
      </c>
      <c r="AL15" s="911">
        <f>SUMIF(Table35[Band No.],Table31[[#This Row],[Band '#]],Table35[Provincial Student Supports])+SUMIF(Table42[Band No.],Table31[[#This Row],[Band '#]],Table42[Provincial Student Supports])</f>
        <v>36785.96</v>
      </c>
      <c r="AM15" s="911">
        <f>SUMIF(Table35[Band No.],Table31[[#This Row],[Band '#]],Table35[TOTAL Tuition Funding])+SUMIF(Table42[Band No.],Table31[[#This Row],[Band '#]],Table42[TOTAL Tuition Funding])</f>
        <v>1070411</v>
      </c>
      <c r="AN15" s="539">
        <f>INDEX('Transportation Calc'!$AR$11:$AR$21,MATCH(Table31[[#This Row],[Band '#]],Table12[Band '#],0))</f>
        <v>207018</v>
      </c>
      <c r="AO15" s="539">
        <f>INDEX('Transportation Calc'!$AS$11:$AS$21,MATCH(Table31[[#This Row],[First Nation]],Table12[First Nation],0))</f>
        <v>170946</v>
      </c>
      <c r="AP15" s="539">
        <f>Table31[[#This Row],[Band-Operated Transportation]]+Table31[[#This Row],[Provincial Transportation]]</f>
        <v>377964</v>
      </c>
      <c r="AQ15" s="912">
        <f>SUMIF(StuAccomUnder18[Band Number],Table31[[#This Row],[Band '#]],StuAccomUnder18[TOTAL Student Accommodation &lt;18])+SUMIF(StudAccom1821[Band No.],Table31[[#This Row],[Band '#]],StudAccom1821[TOTAL 18-21 PHP/Student Accommodation])</f>
        <v>0</v>
      </c>
      <c r="AR15" s="397">
        <f>Table31[[#This Row],[1. FN SCHOOLS (Excludes Transportation)]]+Table31[[#This Row],[Tuition Administration Support]]+Table31[[#This Row],[Supports for Tuition Students]]+Table31[[#This Row],[2. TUITION (Excludes Transportation)]]+Table31[[#This Row],[3. TRANSPORTATION]]+Table31[[#This Row],[4. PHP/STUDENT ACCOMMODATION]]</f>
        <v>2616288.96</v>
      </c>
      <c r="AS15"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5" s="172">
        <f>SUMIF(TableAFNSchools[Band No '#],Table31[[#This Row],[Band '#]],TableAFNSchools[Total FTE])</f>
        <v>153</v>
      </c>
      <c r="AU15" s="172">
        <f>SUMIF('B. 20-21 Prov&amp;Priv Enrolment&lt;22'!$A$8:$A$54,Table31[[#This Row],[Band '#]],'B. 20-21 Prov&amp;Priv Enrolment&lt;22'!$Y$8:$Y$54)+SUMIF('C. 20-21 Prov&amp;Priv 22+'!$A$7:$A$7,Table31[[#This Row],[Band '#]],'C. 20-21 Prov&amp;Priv 22+'!$Q$7:$Q$7)</f>
        <v>68</v>
      </c>
      <c r="AV15" s="173">
        <f ca="1">(Table31[[#This Row],[GRAND TOTAL]]+AR27)/(Table31[[#This Row],[FN Schools Enrolment]]+Table31[[#This Row],[Prov/Priv Enrolment]])</f>
        <v>19730.493031674207</v>
      </c>
      <c r="AX15" s="397">
        <f>INDEX(Table54[[Provincial School Total ]],MATCH(Table31[[#This Row],[Band '#]],Table54[Band no],0))</f>
        <v>2139</v>
      </c>
      <c r="AZ15" s="397">
        <f ca="1">SUMIF($A$11:$A$33,Table31[[#This Row],[Band '#]],$AJ$11:$AJ$33)+Table31[[#This Row],[Band-Operated Transportation]]-BA15</f>
        <v>2558439</v>
      </c>
      <c r="BA15" s="397">
        <f>SUMIF($A$11:$A$33,Table31[[#This Row],[Band '#]],$I$11:$I$33)+SUMIF($A$11:$A$33,Table31[[#This Row],[Band '#]],$P$11:$P$33)</f>
        <v>459842</v>
      </c>
      <c r="BB15" s="397">
        <f>Table31[[#This Row],[Provincial Transportation]]+Table31[[#This Row],[2. TUITION (Excludes Transportation)]]+Table31[[#This Row],[Supports for Tuition Students]]+Table31[[#This Row],[4. PHP/STUDENT ACCOMMODATION]]</f>
        <v>1278142.96</v>
      </c>
      <c r="BC15" s="397">
        <f>Table31[[#This Row],[Tuition Administration Support]]</f>
        <v>64015</v>
      </c>
    </row>
    <row r="16" spans="1:55">
      <c r="A16">
        <f>'D. 19-20 Enrolment by FN'!A12</f>
        <v>275</v>
      </c>
      <c r="B16" t="str">
        <f>'D. 19-20 Enrolment by FN'!B12</f>
        <v>Lake St. Martin</v>
      </c>
      <c r="C16" s="397">
        <f>SUMIF('-B1-'!$A$11:$A$22,'FNSS Summary Breakdown'!$A16,'-B1-'!$F$11:$F$22)</f>
        <v>766946</v>
      </c>
      <c r="D16" s="397">
        <f>SUMIF('-B2-'!$A$11:$A$21,'FNSS Summary Breakdown'!$A16,'-B2-'!$I$11:$I$21)</f>
        <v>0</v>
      </c>
      <c r="E16" s="397">
        <f>SUMIF('-B3-'!$A$11:$A$22,'FNSS Summary Breakdown'!$A16,'-B3-'!$J$11:$J$22)</f>
        <v>94440</v>
      </c>
      <c r="F16" s="397">
        <f>SUMIF('-B4-'!$A$11:$A$22,'FNSS Summary Breakdown'!$A16,'-B4-'!$F$11:$F$22)</f>
        <v>23880</v>
      </c>
      <c r="G16" s="397">
        <f>SUMIF('-B5-'!$A$11:$A$22,'FNSS Summary Breakdown'!$A16,'-B5-'!$F$11:$F$22)</f>
        <v>24676</v>
      </c>
      <c r="H16" s="397">
        <f>SUMIF('-B6-'!$A$11:$A$22,'FNSS Summary Breakdown'!$A16,'-B6-'!$F$11:$F$22)</f>
        <v>36616</v>
      </c>
      <c r="I16" s="397">
        <f>SUMIF('-B7-'!$A$11:$A$22,'FNSS Summary Breakdown'!$A16,Table53[Rounded Total])</f>
        <v>345953</v>
      </c>
      <c r="J16" s="397">
        <f>SUMIF('-B8-'!$A$11:$A$22,'FNSS Summary Breakdown'!$A16,'-B8-'!$F$11:$F$22)</f>
        <v>33034</v>
      </c>
      <c r="K16" s="397">
        <f>SUMIF('-B9-'!$A$11:$A$22,'FNSS Summary Breakdown'!$A16,'-B9-'!$G$11:$G$22)</f>
        <v>18308</v>
      </c>
      <c r="L16" s="397">
        <f>SUMIF('-B10-'!$A$11:$A$22,'FNSS Summary Breakdown'!$A16,'-B10-'!$F$11:$F$22)</f>
        <v>2125</v>
      </c>
      <c r="M16" s="397">
        <f>SUMIF('-B11-'!$A$25:$A$36,'FNSS Summary Breakdown'!$A16,'-B11-'!$G$25:$G$36)</f>
        <v>123420</v>
      </c>
      <c r="N16" s="730">
        <f t="shared" si="0"/>
        <v>1469398</v>
      </c>
      <c r="O16" s="730">
        <f>SUMIF(Table44[Band '#],Table31[[#This Row],[Band '#]],Table44[TOTAL Board &amp; Room Band-Op Schools &lt;18])</f>
        <v>0</v>
      </c>
      <c r="P16" s="730">
        <f>SUMIF(Table13[Band '#],Table31[[#This Row],[Band '#]],Table13[[Special Needs TOTAL ]])</f>
        <v>385750</v>
      </c>
      <c r="Q16" s="730">
        <f>SUMIF(Table14[Band '#],Table31[[#This Row],[Band '#]],Table14[TOTAL])</f>
        <v>5138</v>
      </c>
      <c r="R16" s="730">
        <f>SUMIF(Table15[Band '#],Table31[[#This Row],[Band '#]],Table15[TOTAL])</f>
        <v>566</v>
      </c>
      <c r="S16" s="730">
        <f>SUMIF(Table16[Band '#],Table31[[#This Row],[Band '#]],Table16[Comparability TOTAL])</f>
        <v>187856</v>
      </c>
      <c r="T16" s="730">
        <f>SUMIF(Table20[Band '#],Table31[[#This Row],[Band '#]],Table20[ENHANCED Aboriginal Languages TOTAL])</f>
        <v>645922</v>
      </c>
      <c r="U16" s="730">
        <f>SUMIF(Table21[Band '#],Table31[[#This Row],[Band '#]],Table21[TOTAL])</f>
        <v>2505</v>
      </c>
      <c r="V16" s="730">
        <f>SUMIF(Table22[Band '#],Table31[[#This Row],[Band '#]],Table22[TOTAL])</f>
        <v>18538</v>
      </c>
      <c r="W16" s="730">
        <f>IF(Table31[[#This Row],[Band '#]]=3548,Table23[[#Totals],[Greater of A and B TOTAL ENROLMENT CHANGE SUPPORT]],0)</f>
        <v>0</v>
      </c>
      <c r="X16" s="730">
        <f>SUMIF(Table24[Band '#],Table31[[#This Row],[Band '#]],Table24[TOTAL])</f>
        <v>0</v>
      </c>
      <c r="Y16" s="730">
        <f>SUMIF(Table25[Band '#],Table31[[#This Row],[Band '#]],Table25[TOTAL])</f>
        <v>32304</v>
      </c>
      <c r="Z16" s="730">
        <f>SUMIF(Table26[Band '#],Table31[[#This Row],[Band '#]],Table26[TOTAL])</f>
        <v>700</v>
      </c>
      <c r="AA16" s="730">
        <f>SUM(Table31[[#This Row],[2. Board and Room]:[13. Education for Sustainable Development]])</f>
        <v>1279279</v>
      </c>
      <c r="AB16" s="397">
        <f>SUMIF(Table27[Band '#],Table31[[#This Row],[Band '#]],Table27[TOTAL])</f>
        <v>15871</v>
      </c>
      <c r="AC16" s="910"/>
      <c r="AD16" s="910"/>
      <c r="AE16" s="397">
        <f>SUMIF(Table30[Band '#],Table31[[#This Row],[Band '#]],Table30[TOTAL PENSIONS])</f>
        <v>335757</v>
      </c>
      <c r="AF16" s="910"/>
      <c r="AG16" s="910"/>
      <c r="AH16" s="1137"/>
      <c r="AI16" s="1137"/>
      <c r="AJ16" s="903">
        <f t="shared" si="1"/>
        <v>3100305</v>
      </c>
      <c r="AK16"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ACCOMMODATION]]+AX16)*0.05),0)</f>
        <v>23922</v>
      </c>
      <c r="AL16" s="911">
        <f>SUMIF(Table35[Band No.],Table31[[#This Row],[Band '#]],Table35[Provincial Student Supports])+SUMIF(Table42[Band No.],Table31[[#This Row],[Band '#]],Table42[Provincial Student Supports])</f>
        <v>8655.52</v>
      </c>
      <c r="AM16" s="911">
        <f>SUMIF(Table35[Band No.],Table31[[#This Row],[Band '#]],Table35[TOTAL Tuition Funding])+SUMIF(Table42[Band No.],Table31[[#This Row],[Band '#]],Table42[TOTAL Tuition Funding])</f>
        <v>215658</v>
      </c>
      <c r="AN16" s="539">
        <f>INDEX('Transportation Calc'!$AR$11:$AR$21,MATCH(Table31[[#This Row],[Band '#]],Table12[Band '#],0))</f>
        <v>440063</v>
      </c>
      <c r="AO16" s="539">
        <f>INDEX('Transportation Calc'!$AS$11:$AS$21,MATCH(Table31[[#This Row],[First Nation]],Table12[First Nation],0))</f>
        <v>8653</v>
      </c>
      <c r="AP16" s="539">
        <f>Table31[[#This Row],[Band-Operated Transportation]]+Table31[[#This Row],[Provincial Transportation]]</f>
        <v>448716</v>
      </c>
      <c r="AQ16" s="912">
        <f>SUMIF(StuAccomUnder18[Band Number],Table31[[#This Row],[Band '#]],StuAccomUnder18[TOTAL Student Accommodation &lt;18])+SUMIF(StudAccom1821[Band No.],Table31[[#This Row],[Band '#]],StudAccom1821[TOTAL 18-21 PHP/Student Accommodation])</f>
        <v>245054</v>
      </c>
      <c r="AR16" s="397">
        <f>Table31[[#This Row],[1. FN SCHOOLS (Excludes Transportation)]]+Table31[[#This Row],[Tuition Administration Support]]+Table31[[#This Row],[Supports for Tuition Students]]+Table31[[#This Row],[2. TUITION (Excludes Transportation)]]+Table31[[#This Row],[3. TRANSPORTATION]]+Table31[[#This Row],[4. PHP/STUDENT ACCOMMODATION]]</f>
        <v>4042310.52</v>
      </c>
      <c r="AS16"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16</v>
      </c>
      <c r="AT16" s="172">
        <f>SUMIF(TableAFNSchools[Band No '#],Table31[[#This Row],[Band '#]],TableAFNSchools[Total FTE])</f>
        <v>398</v>
      </c>
      <c r="AU16" s="172">
        <f>SUMIF('B. 20-21 Prov&amp;Priv Enrolment&lt;22'!$A$8:$A$54,Table31[[#This Row],[Band '#]],'B. 20-21 Prov&amp;Priv Enrolment&lt;22'!$Y$8:$Y$54)+SUMIF('C. 20-21 Prov&amp;Priv 22+'!$A$7:$A$7,Table31[[#This Row],[Band '#]],'C. 20-21 Prov&amp;Priv 22+'!$Q$7:$Q$7)</f>
        <v>16</v>
      </c>
      <c r="AV16" s="173">
        <f ca="1">(Table31[[#This Row],[GRAND TOTAL]]+AR28)/(Table31[[#This Row],[FN Schools Enrolment]]+Table31[[#This Row],[Prov/Priv Enrolment]])</f>
        <v>20717.839420289853</v>
      </c>
      <c r="AX16" s="397">
        <f>INDEX(Table54[[Provincial School Total ]],MATCH(Table31[[#This Row],[Band '#]],Table54[Band no],0))</f>
        <v>414</v>
      </c>
      <c r="AZ16" s="397">
        <f ca="1">SUMIF($A$11:$A$33,Table31[[#This Row],[Band '#]],$AJ$11:$AJ$33)+Table31[[#This Row],[Band-Operated Transportation]]-BA16</f>
        <v>6341884</v>
      </c>
      <c r="BA16" s="397">
        <f>SUMIF($A$11:$A$33,Table31[[#This Row],[Band '#]],$I$11:$I$33)+SUMIF($A$11:$A$33,Table31[[#This Row],[Band '#]],$P$11:$P$33)</f>
        <v>1733359</v>
      </c>
      <c r="BB16" s="397">
        <f>Table31[[#This Row],[Provincial Transportation]]+Table31[[#This Row],[2. TUITION (Excludes Transportation)]]+Table31[[#This Row],[Supports for Tuition Students]]+Table31[[#This Row],[4. PHP/STUDENT ACCOMMODATION]]</f>
        <v>478020.52</v>
      </c>
      <c r="BC16" s="397">
        <f>Table31[[#This Row],[Tuition Administration Support]]</f>
        <v>23922</v>
      </c>
    </row>
    <row r="17" spans="1:55">
      <c r="A17">
        <f>'D. 19-20 Enrolment by FN'!A13</f>
        <v>286</v>
      </c>
      <c r="B17" t="str">
        <f>'D. 19-20 Enrolment by FN'!B13</f>
        <v>Keeseekoowenin</v>
      </c>
      <c r="C17" s="397">
        <f>SUMIF('-B1-'!$A$11:$A$22,'FNSS Summary Breakdown'!$A17,'-B1-'!$F$11:$F$22)</f>
        <v>190773</v>
      </c>
      <c r="D17" s="397">
        <f>SUMIF('-B2-'!$A$11:$A$21,'FNSS Summary Breakdown'!$A17,'-B2-'!$I$11:$I$21)</f>
        <v>0</v>
      </c>
      <c r="E17" s="397">
        <f>SUMIF('-B3-'!$A$11:$A$22,'FNSS Summary Breakdown'!$A17,'-B3-'!$J$11:$J$22)</f>
        <v>43669</v>
      </c>
      <c r="F17" s="397">
        <f>SUMIF('-B4-'!$A$11:$A$22,'FNSS Summary Breakdown'!$A17,'-B4-'!$F$11:$F$22)</f>
        <v>5940</v>
      </c>
      <c r="G17" s="397">
        <f>SUMIF('-B5-'!$A$11:$A$22,'FNSS Summary Breakdown'!$A17,'-B5-'!$F$11:$F$22)</f>
        <v>6138</v>
      </c>
      <c r="H17" s="397">
        <f>SUMIF('-B6-'!$A$11:$A$22,'FNSS Summary Breakdown'!$A17,'-B6-'!$F$11:$F$22)</f>
        <v>9108</v>
      </c>
      <c r="I17" s="397">
        <f>SUMIF('-B7-'!$A$11:$A$22,'FNSS Summary Breakdown'!$A17,Table53[Rounded Total])</f>
        <v>15032</v>
      </c>
      <c r="J17" s="397">
        <f>SUMIF('-B8-'!$A$11:$A$22,'FNSS Summary Breakdown'!$A17,'-B8-'!$F$11:$F$22)</f>
        <v>8217</v>
      </c>
      <c r="K17" s="397">
        <f>SUMIF('-B9-'!$A$11:$A$22,'FNSS Summary Breakdown'!$A17,'-B9-'!$G$11:$G$22)</f>
        <v>4554</v>
      </c>
      <c r="L17" s="397">
        <f>SUMIF('-B10-'!$A$11:$A$22,'FNSS Summary Breakdown'!$A17,'-B10-'!$F$11:$F$22)</f>
        <v>0</v>
      </c>
      <c r="M17" s="397">
        <f>SUMIF('-B11-'!$A$25:$A$36,'FNSS Summary Breakdown'!$A17,'-B11-'!$G$25:$G$36)</f>
        <v>61229</v>
      </c>
      <c r="N17" s="730">
        <f t="shared" si="0"/>
        <v>344660</v>
      </c>
      <c r="O17" s="730">
        <f>SUMIF(Table44[Band '#],Table31[[#This Row],[Band '#]],Table44[TOTAL Board &amp; Room Band-Op Schools &lt;18])</f>
        <v>0</v>
      </c>
      <c r="P17" s="730">
        <f>SUMIF(Table13[Band '#],Table31[[#This Row],[Band '#]],Table13[[Special Needs TOTAL ]])</f>
        <v>42396</v>
      </c>
      <c r="Q17" s="730">
        <f>SUMIF(Table14[Band '#],Table31[[#This Row],[Band '#]],Table14[TOTAL])</f>
        <v>0</v>
      </c>
      <c r="R17" s="730">
        <f>SUMIF(Table15[Band '#],Table31[[#This Row],[Band '#]],Table15[TOTAL])</f>
        <v>193</v>
      </c>
      <c r="S17" s="730">
        <f>SUMIF(Table16[Band '#],Table31[[#This Row],[Band '#]],Table16[Comparability TOTAL])</f>
        <v>46728</v>
      </c>
      <c r="T17" s="730">
        <f>SUMIF(Table20[Band '#],Table31[[#This Row],[Band '#]],Table20[ENHANCED Aboriginal Languages TOTAL])</f>
        <v>160669</v>
      </c>
      <c r="U17" s="730">
        <f>SUMIF(Table21[Band '#],Table31[[#This Row],[Band '#]],Table21[TOTAL])</f>
        <v>441</v>
      </c>
      <c r="V17" s="730">
        <f>SUMIF(Table22[Band '#],Table31[[#This Row],[Band '#]],Table22[TOTAL])</f>
        <v>8700</v>
      </c>
      <c r="W17" s="730">
        <f>IF(Table31[[#This Row],[Band '#]]=3548,Table23[[#Totals],[Greater of A and B TOTAL ENROLMENT CHANGE SUPPORT]],0)</f>
        <v>0</v>
      </c>
      <c r="X17" s="730">
        <f>SUMIF(Table24[Band '#],Table31[[#This Row],[Band '#]],Table24[TOTAL])</f>
        <v>0</v>
      </c>
      <c r="Y17" s="730">
        <f>SUMIF(Table25[Band '#],Table31[[#This Row],[Band '#]],Table25[TOTAL])</f>
        <v>8386</v>
      </c>
      <c r="Z17" s="730">
        <f>SUMIF(Table26[Band '#],Table31[[#This Row],[Band '#]],Table26[TOTAL])</f>
        <v>700</v>
      </c>
      <c r="AA17" s="730">
        <f>SUM(Table31[[#This Row],[2. Board and Room]:[13. Education for Sustainable Development]])</f>
        <v>268213</v>
      </c>
      <c r="AB17" s="397">
        <f>SUMIF(Table27[Band '#],Table31[[#This Row],[Band '#]],Table27[TOTAL])</f>
        <v>3746</v>
      </c>
      <c r="AC17" s="910"/>
      <c r="AD17" s="910"/>
      <c r="AE17" s="397">
        <f>SUMIF(Table30[Band '#],Table31[[#This Row],[Band '#]],Table30[TOTAL PENSIONS])</f>
        <v>78755</v>
      </c>
      <c r="AF17" s="910"/>
      <c r="AG17" s="910"/>
      <c r="AH17" s="1137"/>
      <c r="AI17" s="1137"/>
      <c r="AJ17" s="903">
        <f>SUM(N17,AA17,AB17:AI17)</f>
        <v>695374</v>
      </c>
      <c r="AK17"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ACCOMMODATION]]+AX17)*0.05),0)</f>
        <v>35654</v>
      </c>
      <c r="AL17" s="911">
        <f>SUMIF(Table35[Band No.],Table31[[#This Row],[Band '#]],Table35[Provincial Student Supports])+SUMIF(Table42[Band No.],Table31[[#This Row],[Band '#]],Table42[Provincial Student Supports])</f>
        <v>22179.77</v>
      </c>
      <c r="AM17" s="911">
        <f>SUMIF(Table35[Band No.],Table31[[#This Row],[Band '#]],Table35[TOTAL Tuition Funding])+SUMIF(Table42[Band No.],Table31[[#This Row],[Band '#]],Table42[TOTAL Tuition Funding])</f>
        <v>581706</v>
      </c>
      <c r="AN17" s="539">
        <f>INDEX('Transportation Calc'!$AR$11:$AR$21,MATCH(Table31[[#This Row],[Band '#]],Table12[Band '#],0))</f>
        <v>144744</v>
      </c>
      <c r="AO17" s="539">
        <f>INDEX('Transportation Calc'!$AS$11:$AS$21,MATCH(Table31[[#This Row],[First Nation]],Table12[First Nation],0))</f>
        <v>77617</v>
      </c>
      <c r="AP17" s="539">
        <f>Table31[[#This Row],[Band-Operated Transportation]]+Table31[[#This Row],[Provincial Transportation]]</f>
        <v>222361</v>
      </c>
      <c r="AQ17" s="912">
        <f>SUMIF(StuAccomUnder18[Band Number],Table31[[#This Row],[Band '#]],StuAccomUnder18[TOTAL Student Accommodation &lt;18])+SUMIF(StudAccom1821[Band No.],Table31[[#This Row],[Band '#]],StudAccom1821[TOTAL 18-21 PHP/Student Accommodation])</f>
        <v>30328</v>
      </c>
      <c r="AR17" s="397">
        <f>Table31[[#This Row],[1. FN SCHOOLS (Excludes Transportation)]]+Table31[[#This Row],[Tuition Administration Support]]+Table31[[#This Row],[Supports for Tuition Students]]+Table31[[#This Row],[2. TUITION (Excludes Transportation)]]+Table31[[#This Row],[3. TRANSPORTATION]]+Table31[[#This Row],[4. PHP/STUDENT ACCOMMODATION]]</f>
        <v>1587602.77</v>
      </c>
      <c r="AS17"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v>
      </c>
      <c r="AT17" s="172">
        <f>SUMIF(TableAFNSchools[Band No '#],Table31[[#This Row],[Band '#]],TableAFNSchools[Total FTE])</f>
        <v>99</v>
      </c>
      <c r="AU17" s="172">
        <f>SUMIF('B. 20-21 Prov&amp;Priv Enrolment&lt;22'!$A$8:$A$54,Table31[[#This Row],[Band '#]],'B. 20-21 Prov&amp;Priv Enrolment&lt;22'!$Y$8:$Y$54)+SUMIF('C. 20-21 Prov&amp;Priv 22+'!$A$7:$A$7,Table31[[#This Row],[Band '#]],'C. 20-21 Prov&amp;Priv 22+'!$Q$7:$Q$7)</f>
        <v>41</v>
      </c>
      <c r="AV17" s="173">
        <f ca="1">(Table31[[#This Row],[GRAND TOTAL]]+AR29)/(Table31[[#This Row],[FN Schools Enrolment]]+Table31[[#This Row],[Prov/Priv Enrolment]])</f>
        <v>19176.03407142857</v>
      </c>
      <c r="AX17" s="397">
        <f>INDEX(Table54[[Provincial School Total ]],MATCH(Table31[[#This Row],[Band '#]],Table54[Band no],0))</f>
        <v>1242</v>
      </c>
      <c r="AZ17" s="397">
        <f ca="1">SUMIF($A$11:$A$33,Table31[[#This Row],[Band '#]],$AJ$11:$AJ$33)+Table31[[#This Row],[Band-Operated Transportation]]-BA17</f>
        <v>1692243</v>
      </c>
      <c r="BA17" s="397">
        <f>SUMIF($A$11:$A$33,Table31[[#This Row],[Band '#]],$I$11:$I$33)+SUMIF($A$11:$A$33,Table31[[#This Row],[Band '#]],$P$11:$P$33)</f>
        <v>244917</v>
      </c>
      <c r="BB17" s="397">
        <f>Table31[[#This Row],[Provincial Transportation]]+Table31[[#This Row],[2. TUITION (Excludes Transportation)]]+Table31[[#This Row],[Supports for Tuition Students]]+Table31[[#This Row],[4. PHP/STUDENT ACCOMMODATION]]</f>
        <v>711830.77</v>
      </c>
      <c r="BC17" s="397">
        <f>Table31[[#This Row],[Tuition Administration Support]]</f>
        <v>35654</v>
      </c>
    </row>
    <row r="18" spans="1:55">
      <c r="A18">
        <f>'D. 19-20 Enrolment by FN'!A14</f>
        <v>288</v>
      </c>
      <c r="B18" t="str">
        <f>'D. 19-20 Enrolment by FN'!B14</f>
        <v>Dakota Plains</v>
      </c>
      <c r="C18" s="397">
        <f>SUMIF('-B1-'!$A$11:$A$22,'FNSS Summary Breakdown'!$A18,'-B1-'!$F$11:$F$22)</f>
        <v>165722</v>
      </c>
      <c r="D18" s="397">
        <f>SUMIF('-B2-'!$A$11:$A$21,'FNSS Summary Breakdown'!$A18,'-B2-'!$I$11:$I$21)</f>
        <v>0</v>
      </c>
      <c r="E18" s="397">
        <f>SUMIF('-B3-'!$A$11:$A$22,'FNSS Summary Breakdown'!$A18,'-B3-'!$J$11:$J$22)</f>
        <v>39164</v>
      </c>
      <c r="F18" s="397">
        <f>SUMIF('-B4-'!$A$11:$A$22,'FNSS Summary Breakdown'!$A18,'-B4-'!$F$11:$F$22)</f>
        <v>5160</v>
      </c>
      <c r="G18" s="397">
        <f>SUMIF('-B5-'!$A$11:$A$22,'FNSS Summary Breakdown'!$A18,'-B5-'!$F$11:$F$22)</f>
        <v>5332</v>
      </c>
      <c r="H18" s="397">
        <f>SUMIF('-B6-'!$A$11:$A$22,'FNSS Summary Breakdown'!$A18,'-B6-'!$F$11:$F$22)</f>
        <v>7912</v>
      </c>
      <c r="I18" s="397">
        <f>SUMIF('-B7-'!$A$11:$A$22,'FNSS Summary Breakdown'!$A18,Table53[Rounded Total])</f>
        <v>73956</v>
      </c>
      <c r="J18" s="397">
        <f>SUMIF('-B8-'!$A$11:$A$22,'FNSS Summary Breakdown'!$A18,'-B8-'!$F$11:$F$22)</f>
        <v>7138</v>
      </c>
      <c r="K18" s="397">
        <f>SUMIF('-B9-'!$A$11:$A$22,'FNSS Summary Breakdown'!$A18,'-B9-'!$G$11:$G$22)</f>
        <v>3956</v>
      </c>
      <c r="L18" s="397">
        <f>SUMIF('-B10-'!$A$11:$A$22,'FNSS Summary Breakdown'!$A18,'-B10-'!$F$11:$F$22)</f>
        <v>0</v>
      </c>
      <c r="M18" s="397">
        <f>SUMIF('-B11-'!$A$25:$A$36,'FNSS Summary Breakdown'!$A18,'-B11-'!$G$25:$G$36)</f>
        <v>50336</v>
      </c>
      <c r="N18" s="730">
        <f t="shared" si="0"/>
        <v>358676</v>
      </c>
      <c r="O18" s="730">
        <f>SUMIF(Table44[Band '#],Table31[[#This Row],[Band '#]],Table44[TOTAL Board &amp; Room Band-Op Schools &lt;18])</f>
        <v>0</v>
      </c>
      <c r="P18" s="730">
        <f>SUMIF(Table13[Band '#],Table31[[#This Row],[Band '#]],Table13[[Special Needs TOTAL ]])</f>
        <v>59051</v>
      </c>
      <c r="Q18" s="730">
        <f>SUMIF(Table14[Band '#],Table31[[#This Row],[Band '#]],Table14[TOTAL])</f>
        <v>0</v>
      </c>
      <c r="R18" s="730">
        <f>SUMIF(Table15[Band '#],Table31[[#This Row],[Band '#]],Table15[TOTAL])</f>
        <v>149</v>
      </c>
      <c r="S18" s="730">
        <f>SUMIF(Table16[Band '#],Table31[[#This Row],[Band '#]],Table16[Comparability TOTAL])</f>
        <v>40592</v>
      </c>
      <c r="T18" s="730">
        <f>SUMIF(Table20[Band '#],Table31[[#This Row],[Band '#]],Table20[ENHANCED Aboriginal Languages TOTAL])</f>
        <v>139571</v>
      </c>
      <c r="U18" s="730">
        <f>SUMIF(Table21[Band '#],Table31[[#This Row],[Band '#]],Table21[TOTAL])</f>
        <v>383</v>
      </c>
      <c r="V18" s="730">
        <f>SUMIF(Table22[Band '#],Table31[[#This Row],[Band '#]],Table22[TOTAL])</f>
        <v>8633</v>
      </c>
      <c r="W18" s="730">
        <f>IF(Table31[[#This Row],[Band '#]]=3548,Table23[[#Totals],[Greater of A and B TOTAL ENROLMENT CHANGE SUPPORT]],0)</f>
        <v>0</v>
      </c>
      <c r="X18" s="730">
        <f>SUMIF(Table24[Band '#],Table31[[#This Row],[Band '#]],Table24[TOTAL])</f>
        <v>0</v>
      </c>
      <c r="Y18" s="730">
        <f>SUMIF(Table25[Band '#],Table31[[#This Row],[Band '#]],Table25[TOTAL])</f>
        <v>7198</v>
      </c>
      <c r="Z18" s="730">
        <f>SUMIF(Table26[Band '#],Table31[[#This Row],[Band '#]],Table26[TOTAL])</f>
        <v>700</v>
      </c>
      <c r="AA18" s="730">
        <f>SUM(Table31[[#This Row],[2. Board and Room]:[13. Education for Sustainable Development]])</f>
        <v>256277</v>
      </c>
      <c r="AB18" s="397">
        <f>SUMIF(Table27[Band '#],Table31[[#This Row],[Band '#]],Table27[TOTAL])</f>
        <v>3810</v>
      </c>
      <c r="AC18" s="910"/>
      <c r="AD18" s="910"/>
      <c r="AE18" s="397">
        <f>SUMIF(Table30[Band '#],Table31[[#This Row],[Band '#]],Table30[TOTAL PENSIONS])</f>
        <v>81957</v>
      </c>
      <c r="AF18" s="910"/>
      <c r="AG18" s="910"/>
      <c r="AH18" s="1137"/>
      <c r="AI18" s="1137"/>
      <c r="AJ18" s="903">
        <f t="shared" si="1"/>
        <v>700720</v>
      </c>
      <c r="AK18"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ACCOMMODATION]]+AX18)*0.05),0)</f>
        <v>16152</v>
      </c>
      <c r="AL18" s="911">
        <f>SUMIF(Table35[Band No.],Table31[[#This Row],[Band '#]],Table35[Provincial Student Supports])+SUMIF(Table42[Band No.],Table31[[#This Row],[Band '#]],Table42[Provincial Student Supports])</f>
        <v>11901.34</v>
      </c>
      <c r="AM18" s="911">
        <f>SUMIF(Table35[Band No.],Table31[[#This Row],[Band '#]],Table35[TOTAL Tuition Funding])+SUMIF(Table42[Band No.],Table31[[#This Row],[Band '#]],Table42[TOTAL Tuition Funding])</f>
        <v>289241</v>
      </c>
      <c r="AN18" s="539">
        <f>INDEX('Transportation Calc'!$AR$11:$AR$21,MATCH(Table31[[#This Row],[Band '#]],Table12[Band '#],0))</f>
        <v>121661</v>
      </c>
      <c r="AO18" s="539">
        <f>INDEX('Transportation Calc'!$AS$11:$AS$21,MATCH(Table31[[#This Row],[First Nation]],Table12[First Nation],0))</f>
        <v>21088</v>
      </c>
      <c r="AP18" s="539">
        <f>Table31[[#This Row],[Band-Operated Transportation]]+Table31[[#This Row],[Provincial Transportation]]</f>
        <v>142749</v>
      </c>
      <c r="AQ18" s="912">
        <f>SUMIF(StuAccomUnder18[Band Number],Table31[[#This Row],[Band '#]],StuAccomUnder18[TOTAL Student Accommodation &lt;18])+SUMIF(StudAccom1821[Band No.],Table31[[#This Row],[Band '#]],StudAccom1821[TOTAL 18-21 PHP/Student Accommodation])</f>
        <v>0</v>
      </c>
      <c r="AR18" s="397">
        <f>Table31[[#This Row],[1. FN SCHOOLS (Excludes Transportation)]]+Table31[[#This Row],[Tuition Administration Support]]+Table31[[#This Row],[Supports for Tuition Students]]+Table31[[#This Row],[2. TUITION (Excludes Transportation)]]+Table31[[#This Row],[3. TRANSPORTATION]]+Table31[[#This Row],[4. PHP/STUDENT ACCOMMODATION]]</f>
        <v>1160763.3399999999</v>
      </c>
      <c r="AS18"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8" s="172">
        <f>SUMIF(TableAFNSchools[Band No '#],Table31[[#This Row],[Band '#]],TableAFNSchools[Total FTE])</f>
        <v>86</v>
      </c>
      <c r="AU18" s="172">
        <f>SUMIF('B. 20-21 Prov&amp;Priv Enrolment&lt;22'!$A$8:$A$54,Table31[[#This Row],[Band '#]],'B. 20-21 Prov&amp;Priv Enrolment&lt;22'!$Y$8:$Y$54)+SUMIF('C. 20-21 Prov&amp;Priv 22+'!$A$7:$A$7,Table31[[#This Row],[Band '#]],'C. 20-21 Prov&amp;Priv 22+'!$Q$7:$Q$7)</f>
        <v>22</v>
      </c>
      <c r="AV18" s="173">
        <f ca="1">(Table31[[#This Row],[GRAND TOTAL]]+AR30)/(Table31[[#This Row],[FN Schools Enrolment]]+Table31[[#This Row],[Prov/Priv Enrolment]])</f>
        <v>19554.59574074074</v>
      </c>
      <c r="AX18" s="397">
        <f>INDEX(Table54[[Provincial School Total ]],MATCH(Table31[[#This Row],[Band '#]],Table54[Band no],0))</f>
        <v>828</v>
      </c>
      <c r="AZ18" s="397">
        <f ca="1">SUMIF($A$11:$A$33,Table31[[#This Row],[Band '#]],$AJ$11:$AJ$33)+Table31[[#This Row],[Band-Operated Transportation]]-BA18</f>
        <v>1491272</v>
      </c>
      <c r="BA18" s="397">
        <f>SUMIF($A$11:$A$33,Table31[[#This Row],[Band '#]],$I$11:$I$33)+SUMIF($A$11:$A$33,Table31[[#This Row],[Band '#]],$P$11:$P$33)</f>
        <v>282242</v>
      </c>
      <c r="BB18" s="397">
        <f>Table31[[#This Row],[Provincial Transportation]]+Table31[[#This Row],[2. TUITION (Excludes Transportation)]]+Table31[[#This Row],[Supports for Tuition Students]]+Table31[[#This Row],[4. PHP/STUDENT ACCOMMODATION]]</f>
        <v>322230.34000000003</v>
      </c>
      <c r="BC18" s="397">
        <f>Table31[[#This Row],[Tuition Administration Support]]</f>
        <v>16152</v>
      </c>
    </row>
    <row r="19" spans="1:55">
      <c r="A19">
        <f>'D. 19-20 Enrolment by FN'!A15</f>
        <v>295</v>
      </c>
      <c r="B19" t="str">
        <f>'D. 19-20 Enrolment by FN'!B15</f>
        <v>Dakota Tipi</v>
      </c>
      <c r="C19" s="730">
        <f>SUMIF('-B1-'!$A$11:$A$22,'FNSS Summary Breakdown'!$A19,'-B1-'!$F$11:$F$22)</f>
        <v>79007</v>
      </c>
      <c r="D19" s="730">
        <f>SUMIF('-B2-'!$A$11:$A$22,'FNSS Summary Breakdown'!$A19,'-B2-'!$I$11:$I$22)</f>
        <v>24764</v>
      </c>
      <c r="E19" s="730">
        <f>SUMIF('-B3-'!$A$11:$A$22,'FNSS Summary Breakdown'!$A19,'-B3-'!$J$11:$J$22)</f>
        <v>21229</v>
      </c>
      <c r="F19" s="730">
        <f>SUMIF('-B4-'!$A$11:$A$22,'FNSS Summary Breakdown'!$A19,'-B4-'!$F$11:$F$22)</f>
        <v>2460</v>
      </c>
      <c r="G19" s="730">
        <f>SUMIF('-B5-'!$A$11:$A$22,'FNSS Summary Breakdown'!$A19,'-B5-'!$F$11:$F$22)</f>
        <v>2542</v>
      </c>
      <c r="H19" s="730">
        <f>SUMIF('-B6-'!$A$11:$A$22,'FNSS Summary Breakdown'!$A19,'-B6-'!$F$11:$F$22)</f>
        <v>3772</v>
      </c>
      <c r="I19" s="730">
        <f>SUMIF('-B7-'!$A$11:$A$22,'FNSS Summary Breakdown'!$A19,Table53[Rounded Total])</f>
        <v>113816</v>
      </c>
      <c r="J19" s="730">
        <f>SUMIF('-B8-'!$A$11:$A$22,'FNSS Summary Breakdown'!$A19,'-B8-'!$F$11:$F$22)</f>
        <v>3403</v>
      </c>
      <c r="K19" s="730">
        <f>SUMIF('-B9-'!$A$11:$A$22,'FNSS Summary Breakdown'!$A19,'-B9-'!$G$11:$G$22)</f>
        <v>1599</v>
      </c>
      <c r="L19" s="730">
        <f>SUMIF('-B10-'!$A$11:$A$22,'FNSS Summary Breakdown'!$A19,'-B10-'!$F$11:$F$22)</f>
        <v>500</v>
      </c>
      <c r="M19" s="730">
        <f>SUMIF('-B11-'!$A$25:$A$36,'FNSS Summary Breakdown'!$A19,'-B11-'!$G$25:$G$36)</f>
        <v>2534</v>
      </c>
      <c r="N19" s="730">
        <f t="shared" si="0"/>
        <v>255626</v>
      </c>
      <c r="O19" s="730">
        <f>SUMIF(Table44[Band '#],Table31[[#This Row],[Band '#]],Table44[TOTAL Board &amp; Room Band-Op Schools &lt;18])</f>
        <v>0</v>
      </c>
      <c r="P19" s="730">
        <f>SUMIF(Table13[Band '#],Table31[[#This Row],[Band '#]],Table13[[Special Needs TOTAL ]])</f>
        <v>28152</v>
      </c>
      <c r="Q19" s="730">
        <f>SUMIF(Table14[Band '#],Table31[[#This Row],[Band '#]],Table14[TOTAL])</f>
        <v>1209</v>
      </c>
      <c r="R19" s="730">
        <f>SUMIF(Table15[Band '#],Table31[[#This Row],[Band '#]],Table15[TOTAL])</f>
        <v>61</v>
      </c>
      <c r="S19" s="730">
        <f>SUMIF(Table16[Band '#],Table31[[#This Row],[Band '#]],Table16[Comparability TOTAL])</f>
        <v>19352</v>
      </c>
      <c r="T19" s="730">
        <f>SUMIF(Table20[Band '#],Table31[[#This Row],[Band '#]],Table20[ENHANCED Aboriginal Languages TOTAL])</f>
        <v>66540</v>
      </c>
      <c r="U19" s="730">
        <f>SUMIF(Table21[Band '#],Table31[[#This Row],[Band '#]],Table21[TOTAL])</f>
        <v>258</v>
      </c>
      <c r="V19" s="730">
        <f>SUMIF(Table22[Band '#],Table31[[#This Row],[Band '#]],Table22[TOTAL])</f>
        <v>9001</v>
      </c>
      <c r="W19" s="730">
        <f>IF(Table31[[#This Row],[Band '#]]=3548,Table23[[#Totals],[Greater of A and B TOTAL ENROLMENT CHANGE SUPPORT]],0)</f>
        <v>0</v>
      </c>
      <c r="X19" s="730">
        <f>SUMIF(Table24[Band '#],Table31[[#This Row],[Band '#]],Table24[TOTAL])</f>
        <v>0</v>
      </c>
      <c r="Y19" s="730">
        <f>SUMIF(Table25[Band '#],Table31[[#This Row],[Band '#]],Table25[TOTAL])</f>
        <v>3598</v>
      </c>
      <c r="Z19" s="730">
        <f>SUMIF(Table26[Band '#],Table31[[#This Row],[Band '#]],Table26[TOTAL])</f>
        <v>700</v>
      </c>
      <c r="AA19" s="730">
        <f>SUM(Table31[[#This Row],[2. Board and Room]:[13. Education for Sustainable Development]])</f>
        <v>128871</v>
      </c>
      <c r="AB19" s="730">
        <f>SUMIF(Table27[Band '#],Table31[[#This Row],[Band '#]],Table27[TOTAL])</f>
        <v>870</v>
      </c>
      <c r="AC19" s="730"/>
      <c r="AD19" s="730"/>
      <c r="AE19" s="730">
        <f>SUMIF(Table30[Band '#],Table31[[#This Row],[Band '#]],Table30[TOTAL PENSIONS])</f>
        <v>58411</v>
      </c>
      <c r="AF19" s="910"/>
      <c r="AG19" s="910"/>
      <c r="AH19" s="1137"/>
      <c r="AI19" s="1137"/>
      <c r="AJ19" s="903">
        <f>SUM(N19,AA19,AB19:AI19)</f>
        <v>443778</v>
      </c>
      <c r="AK19"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ACCOMMODATION]]+AX19)*0.05),0)</f>
        <v>34233</v>
      </c>
      <c r="AL19" s="911">
        <f>SUMIF(Table35[Band No.],Table31[[#This Row],[Band '#]],Table35[Provincial Student Supports])+SUMIF(Table42[Band No.],Table31[[#This Row],[Band '#]],Table42[Provincial Student Supports])</f>
        <v>24884.620000000003</v>
      </c>
      <c r="AM19" s="911">
        <f>SUMIF(Table35[Band No.],Table31[[#This Row],[Band '#]],Table35[TOTAL Tuition Funding])+SUMIF(Table42[Band No.],Table31[[#This Row],[Band '#]],Table42[TOTAL Tuition Funding])</f>
        <v>604777</v>
      </c>
      <c r="AN19" s="539">
        <f>INDEX('Transportation Calc'!$AR$11:$AR$21,MATCH(Table31[[#This Row],[Band '#]],Table12[Band '#],0))</f>
        <v>76958</v>
      </c>
      <c r="AO19" s="539">
        <f>INDEX('Transportation Calc'!$AS$11:$AS$21,MATCH(Table31[[#This Row],[First Nation]],Table12[First Nation],0))</f>
        <v>53637</v>
      </c>
      <c r="AP19" s="539">
        <f>Table31[[#This Row],[Band-Operated Transportation]]+Table31[[#This Row],[Provincial Transportation]]</f>
        <v>130595</v>
      </c>
      <c r="AQ19" s="912">
        <f>SUMIF(StuAccomUnder18[Band Number],Table31[[#This Row],[Band '#]],StuAccomUnder18[TOTAL Student Accommodation &lt;18])+SUMIF(StudAccom1821[Band No.],Table31[[#This Row],[Band '#]],StudAccom1821[TOTAL 18-21 PHP/Student Accommodation])</f>
        <v>0</v>
      </c>
      <c r="AR19" s="730">
        <f>Table31[[#This Row],[1. FN SCHOOLS (Excludes Transportation)]]+Table31[[#This Row],[Tuition Administration Support]]+Table31[[#This Row],[Supports for Tuition Students]]+Table31[[#This Row],[2. TUITION (Excludes Transportation)]]+Table31[[#This Row],[3. TRANSPORTATION]]+Table31[[#This Row],[4. PHP/STUDENT ACCOMMODATION]]</f>
        <v>1238267.6200000001</v>
      </c>
      <c r="AS19" s="878">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19" s="878">
        <f>SUMIF(TableAFNSchools[Band No '#],Table31[[#This Row],[Band '#]],TableAFNSchools[Total FTE])</f>
        <v>41</v>
      </c>
      <c r="AU19" s="902">
        <f>SUMIF('B. 20-21 Prov&amp;Priv Enrolment&lt;22'!$A$8:$A$54,Table31[[#This Row],[Band '#]],'B. 20-21 Prov&amp;Priv Enrolment&lt;22'!$Y$8:$Y$54)+SUMIF('C. 20-21 Prov&amp;Priv 22+'!$A$7:$A$7,Table31[[#This Row],[Band '#]],'C. 20-21 Prov&amp;Priv 22+'!$Q$7:$Q$7)</f>
        <v>46</v>
      </c>
      <c r="AV19" s="173">
        <f ca="1">(Table31[[#This Row],[GRAND TOTAL]]+AR31)/(Table31[[#This Row],[FN Schools Enrolment]]+Table31[[#This Row],[Prov/Priv Enrolment]])</f>
        <v>19012.168045977014</v>
      </c>
      <c r="AX19" s="397">
        <f>INDEX(Table54[[Provincial School Total ]],MATCH(Table31[[#This Row],[Band '#]],Table54[Band no],0))</f>
        <v>1380</v>
      </c>
      <c r="AZ19" s="397">
        <f ca="1">SUMIF($A$11:$A$33,Table31[[#This Row],[Band '#]],$AJ$11:$AJ$33)+Table31[[#This Row],[Band-Operated Transportation]]-BA19</f>
        <v>723412</v>
      </c>
      <c r="BA19" s="397">
        <f>SUMIF($A$11:$A$33,Table31[[#This Row],[Band '#]],$I$11:$I$33)+SUMIF($A$11:$A$33,Table31[[#This Row],[Band '#]],$P$11:$P$33)</f>
        <v>213115</v>
      </c>
      <c r="BB19" s="397">
        <f>Table31[[#This Row],[Provincial Transportation]]+Table31[[#This Row],[2. TUITION (Excludes Transportation)]]+Table31[[#This Row],[Supports for Tuition Students]]+Table31[[#This Row],[4. PHP/STUDENT ACCOMMODATION]]</f>
        <v>683298.62</v>
      </c>
      <c r="BC19" s="397">
        <f>Table31[[#This Row],[Tuition Administration Support]]</f>
        <v>34233</v>
      </c>
    </row>
    <row r="20" spans="1:55">
      <c r="A20">
        <f>'D. 19-20 Enrolment by FN'!A16</f>
        <v>304</v>
      </c>
      <c r="B20" t="str">
        <f>'D. 19-20 Enrolment by FN'!B16</f>
        <v>York Factory</v>
      </c>
      <c r="C20" s="397">
        <f>SUMIF('-B1-'!$A$11:$A$22,'FNSS Summary Breakdown'!$A20,'-B1-'!$F$11:$F$22)</f>
        <v>273634</v>
      </c>
      <c r="D20" s="397">
        <f>SUMIF('-B2-'!$A$11:$A$22,'FNSS Summary Breakdown'!$A20,'-B2-'!$I$11:$I$22)</f>
        <v>0</v>
      </c>
      <c r="E20" s="397">
        <f>SUMIF('-B3-'!$A$11:$A$22,'FNSS Summary Breakdown'!$A20,'-B3-'!$J$11:$J$22)</f>
        <v>62257</v>
      </c>
      <c r="F20" s="397">
        <f>SUMIF('-B4-'!$A$11:$A$22,'FNSS Summary Breakdown'!$A20,'-B4-'!$F$11:$F$22)</f>
        <v>8520</v>
      </c>
      <c r="G20" s="397">
        <f>SUMIF('-B5-'!$A$11:$A$22,'FNSS Summary Breakdown'!$A20,'-B5-'!$F$11:$F$22)</f>
        <v>8804</v>
      </c>
      <c r="H20" s="397">
        <f>SUMIF('-B6-'!$A$11:$A$22,'FNSS Summary Breakdown'!$A20,'-B6-'!$F$11:$F$22)</f>
        <v>13064</v>
      </c>
      <c r="I20" s="397">
        <f>SUMIF('-B7-'!$A$11:$A$22,'FNSS Summary Breakdown'!$A20,Table53[Rounded Total])</f>
        <v>88516</v>
      </c>
      <c r="J20" s="397">
        <f>SUMIF('-B8-'!$A$11:$A$22,'FNSS Summary Breakdown'!$A20,'-B8-'!$F$11:$F$22)</f>
        <v>11786</v>
      </c>
      <c r="K20" s="397">
        <f>SUMIF('-B9-'!$A$11:$A$22,'FNSS Summary Breakdown'!$A20,'-B9-'!$G$11:$G$22)</f>
        <v>7242</v>
      </c>
      <c r="L20" s="397">
        <f>SUMIF('-B10-'!$A$11:$A$22,'FNSS Summary Breakdown'!$A20,'-B10-'!$F$11:$F$22)</f>
        <v>1125</v>
      </c>
      <c r="M20" s="397">
        <f>SUMIF('-B11-'!$A$25:$A$36,'FNSS Summary Breakdown'!$A20,'-B11-'!$G$25:$G$36)</f>
        <v>61036</v>
      </c>
      <c r="N20" s="730">
        <f t="shared" si="0"/>
        <v>535984</v>
      </c>
      <c r="O20" s="730">
        <f>SUMIF(Table44[Band '#],Table31[[#This Row],[Band '#]],Table44[TOTAL Board &amp; Room Band-Op Schools &lt;18])</f>
        <v>0</v>
      </c>
      <c r="P20" s="730">
        <f>SUMIF(Table13[Band '#],Table31[[#This Row],[Band '#]],Table13[[Special Needs TOTAL ]])</f>
        <v>137629</v>
      </c>
      <c r="Q20" s="730">
        <f>SUMIF(Table14[Band '#],Table31[[#This Row],[Band '#]],Table14[TOTAL])</f>
        <v>2720</v>
      </c>
      <c r="R20" s="730">
        <f>SUMIF(Table15[Band '#],Table31[[#This Row],[Band '#]],Table15[TOTAL])</f>
        <v>171</v>
      </c>
      <c r="S20" s="730">
        <f>SUMIF(Table16[Band '#],Table31[[#This Row],[Band '#]],Table16[Comparability TOTAL])</f>
        <v>67024</v>
      </c>
      <c r="T20" s="730">
        <f>SUMIF(Table20[Band '#],Table31[[#This Row],[Band '#]],Table20[ENHANCED Aboriginal Languages TOTAL])</f>
        <v>230455</v>
      </c>
      <c r="U20" s="730">
        <f>SUMIF(Table21[Band '#],Table31[[#This Row],[Band '#]],Table21[TOTAL])</f>
        <v>867</v>
      </c>
      <c r="V20" s="730">
        <f>SUMIF(Table22[Band '#],Table31[[#This Row],[Band '#]],Table22[TOTAL])</f>
        <v>15231</v>
      </c>
      <c r="W20" s="730">
        <f>IF(Table31[[#This Row],[Band '#]]=3548,Table23[[#Totals],[Greater of A and B TOTAL ENROLMENT CHANGE SUPPORT]],0)</f>
        <v>0</v>
      </c>
      <c r="X20" s="730">
        <f>SUMIF(Table24[Band '#],Table31[[#This Row],[Band '#]],Table24[TOTAL])</f>
        <v>95140</v>
      </c>
      <c r="Y20" s="730">
        <f>SUMIF(Table25[Band '#],Table31[[#This Row],[Band '#]],Table25[TOTAL])</f>
        <v>12874</v>
      </c>
      <c r="Z20" s="730">
        <f>SUMIF(Table26[Band '#],Table31[[#This Row],[Band '#]],Table26[TOTAL])</f>
        <v>700</v>
      </c>
      <c r="AA20" s="730">
        <f>SUM(Table31[[#This Row],[2. Board and Room]:[13. Education for Sustainable Development]])</f>
        <v>562811</v>
      </c>
      <c r="AB20" s="397">
        <f>SUMIF(Table27[Band '#],Table31[[#This Row],[Band '#]],Table27[TOTAL])</f>
        <v>6660</v>
      </c>
      <c r="AC20" s="910"/>
      <c r="AD20" s="910"/>
      <c r="AE20" s="397">
        <f>SUMIF(Table30[Band '#],Table31[[#This Row],[Band '#]],Table30[TOTAL PENSIONS])</f>
        <v>122472</v>
      </c>
      <c r="AF20" s="910"/>
      <c r="AG20" s="910"/>
      <c r="AH20" s="1137"/>
      <c r="AI20" s="1137"/>
      <c r="AJ20" s="903">
        <f t="shared" si="1"/>
        <v>1227927</v>
      </c>
      <c r="AK20"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ACCOMMODATION]]+AX20)*0.05),0)</f>
        <v>48066</v>
      </c>
      <c r="AL20" s="911">
        <f>SUMIF(Table35[Band No.],Table31[[#This Row],[Band '#]],Table35[Provincial Student Supports])+SUMIF(Table42[Band No.],Table31[[#This Row],[Band '#]],Table42[Provincial Student Supports])</f>
        <v>12983.280000000002</v>
      </c>
      <c r="AM20" s="911">
        <f>SUMIF(Table35[Band No.],Table31[[#This Row],[Band '#]],Table35[TOTAL Tuition Funding])+SUMIF(Table42[Band No.],Table31[[#This Row],[Band '#]],Table42[TOTAL Tuition Funding])</f>
        <v>381031</v>
      </c>
      <c r="AN20" s="539">
        <f>INDEX('Transportation Calc'!$AR$11:$AR$21,MATCH(Table31[[#This Row],[Band '#]],Table12[Band '#],0))</f>
        <v>187588</v>
      </c>
      <c r="AO20" s="539">
        <f>INDEX('Transportation Calc'!$AS$11:$AS$21,MATCH(Table31[[#This Row],[First Nation]],Table12[First Nation],0))</f>
        <v>0</v>
      </c>
      <c r="AP20" s="539">
        <f>Table31[[#This Row],[Band-Operated Transportation]]+Table31[[#This Row],[Provincial Transportation]]</f>
        <v>187588</v>
      </c>
      <c r="AQ20" s="912">
        <f>SUMIF(StuAccomUnder18[Band Number],Table31[[#This Row],[Band '#]],StuAccomUnder18[TOTAL Student Accommodation &lt;18])+SUMIF(StudAccom1821[Band No.],Table31[[#This Row],[Band '#]],StudAccom1821[TOTAL 18-21 PHP/Student Accommodation])</f>
        <v>566880</v>
      </c>
      <c r="AR20" s="397">
        <f>Table31[[#This Row],[1. FN SCHOOLS (Excludes Transportation)]]+Table31[[#This Row],[Tuition Administration Support]]+Table31[[#This Row],[Supports for Tuition Students]]+Table31[[#This Row],[2. TUITION (Excludes Transportation)]]+Table31[[#This Row],[3. TRANSPORTATION]]+Table31[[#This Row],[4. PHP/STUDENT ACCOMMODATION]]</f>
        <v>2424475.2800000003</v>
      </c>
      <c r="AS20"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24</v>
      </c>
      <c r="AT20" s="172">
        <f>SUMIF(TableAFNSchools[Band No '#],Table31[[#This Row],[Band '#]],TableAFNSchools[Total FTE])</f>
        <v>142</v>
      </c>
      <c r="AU20" s="172">
        <f>SUMIF('B. 20-21 Prov&amp;Priv Enrolment&lt;22'!$A$8:$A$54,Table31[[#This Row],[Band '#]],'B. 20-21 Prov&amp;Priv Enrolment&lt;22'!$Y$8:$Y$54)+SUMIF('C. 20-21 Prov&amp;Priv 22+'!$A$7:$A$7,Table31[[#This Row],[Band '#]],'C. 20-21 Prov&amp;Priv 22+'!$Q$7:$Q$7)</f>
        <v>24</v>
      </c>
      <c r="AV20" s="173">
        <f ca="1">(Table31[[#This Row],[GRAND TOTAL]]+AR32)/(Table31[[#This Row],[FN Schools Enrolment]]+Table31[[#This Row],[Prov/Priv Enrolment]])</f>
        <v>25238.194457831327</v>
      </c>
      <c r="AX20" s="397">
        <f>INDEX(Table54[[Provincial School Total ]],MATCH(Table31[[#This Row],[Band '#]],Table54[Band no],0))</f>
        <v>414</v>
      </c>
      <c r="AZ20" s="397">
        <f ca="1">SUMIF($A$11:$A$33,Table31[[#This Row],[Band '#]],$AJ$11:$AJ$33)+Table31[[#This Row],[Band-Operated Transportation]]-BA20</f>
        <v>2597060</v>
      </c>
      <c r="BA20" s="397">
        <f>SUMIF($A$11:$A$33,Table31[[#This Row],[Band '#]],$I$11:$I$33)+SUMIF($A$11:$A$33,Table31[[#This Row],[Band '#]],$P$11:$P$33)</f>
        <v>583520</v>
      </c>
      <c r="BB20" s="397">
        <f>Table31[[#This Row],[Provincial Transportation]]+Table31[[#This Row],[2. TUITION (Excludes Transportation)]]+Table31[[#This Row],[Supports for Tuition Students]]+Table31[[#This Row],[4. PHP/STUDENT ACCOMMODATION]]</f>
        <v>960894.28</v>
      </c>
      <c r="BC20" s="397">
        <f>Table31[[#This Row],[Tuition Administration Support]]</f>
        <v>48066</v>
      </c>
    </row>
    <row r="21" spans="1:55">
      <c r="A21">
        <f>'D. 19-20 Enrolment by FN'!A17</f>
        <v>305</v>
      </c>
      <c r="B21" t="str">
        <f>'D. 19-20 Enrolment by FN'!B17</f>
        <v>Fox Lake</v>
      </c>
      <c r="C21" s="397">
        <f>SUMIF('-B1-'!$A$11:$A$22,'FNSS Summary Breakdown'!$A21,'-B1-'!$F$11:$F$22)</f>
        <v>52029</v>
      </c>
      <c r="D21" s="397">
        <f>SUMIF('-B2-'!$A$11:$A$21,'FNSS Summary Breakdown'!$A21,'-B2-'!$I$11:$I$21)</f>
        <v>58923</v>
      </c>
      <c r="E21" s="397">
        <f>SUMIF('-B3-'!$A$11:$A$22,'FNSS Summary Breakdown'!$A21,'-B3-'!$J$11:$J$22)</f>
        <v>14048</v>
      </c>
      <c r="F21" s="397">
        <f>SUMIF('-B4-'!$A$11:$A$22,'FNSS Summary Breakdown'!$A21,'-B4-'!$F$11:$F$22)</f>
        <v>1620</v>
      </c>
      <c r="G21" s="397">
        <f>SUMIF('-B5-'!$A$11:$A$22,'FNSS Summary Breakdown'!$A21,'-B5-'!$F$11:$F$22)</f>
        <v>1674</v>
      </c>
      <c r="H21" s="397">
        <f>SUMIF('-B6-'!$A$11:$A$22,'FNSS Summary Breakdown'!$A21,'-B6-'!$F$11:$F$22)</f>
        <v>2484</v>
      </c>
      <c r="I21" s="397">
        <f>SUMIF('-B7-'!$A$11:$A$22,'FNSS Summary Breakdown'!$A21,Table53[Rounded Total])</f>
        <v>132699</v>
      </c>
      <c r="J21" s="397">
        <f>SUMIF('-B8-'!$A$11:$A$22,'FNSS Summary Breakdown'!$A21,'-B8-'!$F$11:$F$22)</f>
        <v>2241</v>
      </c>
      <c r="K21" s="397">
        <f>SUMIF('-B9-'!$A$11:$A$22,'FNSS Summary Breakdown'!$A21,'-B9-'!$G$11:$G$22)</f>
        <v>1377</v>
      </c>
      <c r="L21" s="397">
        <f>SUMIF('-B10-'!$A$11:$A$22,'FNSS Summary Breakdown'!$A21,'-B10-'!$F$11:$F$22)</f>
        <v>0</v>
      </c>
      <c r="M21" s="397">
        <f>SUMIF('-B11-'!$A$25:$A$36,'FNSS Summary Breakdown'!$A21,'-B11-'!$G$25:$G$36)</f>
        <v>43344</v>
      </c>
      <c r="N21" s="730">
        <f t="shared" si="0"/>
        <v>310439</v>
      </c>
      <c r="O21" s="730">
        <f>SUMIF(Table44[Band '#],Table31[[#This Row],[Band '#]],Table44[TOTAL Board &amp; Room Band-Op Schools &lt;18])</f>
        <v>0</v>
      </c>
      <c r="P21" s="730">
        <f>SUMIF(Table13[Band '#],Table31[[#This Row],[Band '#]],Table13[[Special Needs TOTAL ]])</f>
        <v>26169</v>
      </c>
      <c r="Q21" s="730">
        <f>SUMIF(Table14[Band '#],Table31[[#This Row],[Band '#]],Table14[TOTAL])</f>
        <v>0</v>
      </c>
      <c r="R21" s="730">
        <f>SUMIF(Table15[Band '#],Table31[[#This Row],[Band '#]],Table15[TOTAL])</f>
        <v>48</v>
      </c>
      <c r="S21" s="730">
        <f>SUMIF(Table16[Band '#],Table31[[#This Row],[Band '#]],Table16[Comparability TOTAL])</f>
        <v>12744</v>
      </c>
      <c r="T21" s="730">
        <f>SUMIF(Table20[Band '#],Table31[[#This Row],[Band '#]],Table20[ENHANCED Aboriginal Languages TOTAL])</f>
        <v>43819</v>
      </c>
      <c r="U21" s="730">
        <f>SUMIF(Table21[Band '#],Table31[[#This Row],[Band '#]],Table21[TOTAL])</f>
        <v>120</v>
      </c>
      <c r="V21" s="730">
        <f>SUMIF(Table22[Band '#],Table31[[#This Row],[Band '#]],Table22[TOTAL])</f>
        <v>6677</v>
      </c>
      <c r="W21" s="730">
        <f>IF(Table31[[#This Row],[Band '#]]=3548,Table23[[#Totals],[Greater of A and B TOTAL ENROLMENT CHANGE SUPPORT]],0)</f>
        <v>0</v>
      </c>
      <c r="X21" s="730">
        <f>SUMIF(Table24[Band '#],Table31[[#This Row],[Band '#]],Table24[TOTAL])</f>
        <v>18090</v>
      </c>
      <c r="Y21" s="730">
        <f>SUMIF(Table25[Band '#],Table31[[#This Row],[Band '#]],Table25[TOTAL])</f>
        <v>3562</v>
      </c>
      <c r="Z21" s="730">
        <f>SUMIF(Table26[Band '#],Table31[[#This Row],[Band '#]],Table26[TOTAL])</f>
        <v>700</v>
      </c>
      <c r="AA21" s="730">
        <f>SUM(Table31[[#This Row],[2. Board and Room]:[13. Education for Sustainable Development]])</f>
        <v>111929</v>
      </c>
      <c r="AB21" s="397">
        <f>SUMIF(Table27[Band '#],Table31[[#This Row],[Band '#]],Table27[TOTAL])</f>
        <v>3127</v>
      </c>
      <c r="AC21" s="910"/>
      <c r="AD21" s="910"/>
      <c r="AE21" s="397">
        <f>SUMIF(Table30[Band '#],Table31[[#This Row],[Band '#]],Table30[TOTAL PENSIONS])</f>
        <v>70935</v>
      </c>
      <c r="AF21" s="910"/>
      <c r="AG21" s="910"/>
      <c r="AH21" s="1137"/>
      <c r="AI21" s="1137"/>
      <c r="AJ21" s="903">
        <f t="shared" si="1"/>
        <v>496430</v>
      </c>
      <c r="AK21" s="911">
        <f>SUMIF(Table35[Band No.],Table31[[#This Row],[Band '#]],Table35[[Tuition Administration Support ]])+SUMIF(Table42[Band No.],Table31[[#This Row],[Band '#]],Table42[[Tuition Administration Support ]])+ROUND(((Table31[[#This Row],[Supports for Tuition Students]]+Table31[[#This Row],[Provincial Transportation]]+Table31[[#This Row],[4. PHP/STUDENT ACCOMMODATION]]+AX21)*0.05),0)</f>
        <v>21582</v>
      </c>
      <c r="AL21" s="911">
        <f>SUMIF(Table35[Band No.],Table31[[#This Row],[Band '#]],Table35[Provincial Student Supports])+SUMIF(Table42[Band No.],Table31[[#This Row],[Band '#]],Table42[Provincial Student Supports])</f>
        <v>9737.4600000000009</v>
      </c>
      <c r="AM21" s="911">
        <f>SUMIF(Table35[Band No.],Table31[[#This Row],[Band '#]],Table35[TOTAL Tuition Funding])+SUMIF(Table42[Band No.],Table31[[#This Row],[Band '#]],Table42[TOTAL Tuition Funding])</f>
        <v>368145</v>
      </c>
      <c r="AN21" s="539">
        <f>INDEX('Transportation Calc'!$AR$11:$AR$21,MATCH(Table31[[#This Row],[Band '#]],Table12[Band '#],0))</f>
        <v>77846</v>
      </c>
      <c r="AO21" s="539">
        <f>INDEX('Transportation Calc'!$AS$11:$AS$21,MATCH(Table31[[#This Row],[First Nation]],Table12[First Nation],0))</f>
        <v>53077</v>
      </c>
      <c r="AP21" s="539">
        <f>Table31[[#This Row],[Band-Operated Transportation]]+Table31[[#This Row],[Provincial Transportation]]</f>
        <v>130923</v>
      </c>
      <c r="AQ21" s="912">
        <f>SUMIF(StuAccomUnder18[Band Number],Table31[[#This Row],[Band '#]],StuAccomUnder18[TOTAL Student Accommodation &lt;18])+SUMIF(StudAccom1821[Band No.],Table31[[#This Row],[Band '#]],StudAccom1821[TOTAL 18-21 PHP/Student Accommodation])</f>
        <v>0</v>
      </c>
      <c r="AR21" s="397">
        <f>Table31[[#This Row],[1. FN SCHOOLS (Excludes Transportation)]]+Table31[[#This Row],[Tuition Administration Support]]+Table31[[#This Row],[Supports for Tuition Students]]+Table31[[#This Row],[2. TUITION (Excludes Transportation)]]+Table31[[#This Row],[3. TRANSPORTATION]]+Table31[[#This Row],[4. PHP/STUDENT ACCOMMODATION]]</f>
        <v>1026817.46</v>
      </c>
      <c r="AS21" s="172">
        <f>SUMIF(StudAccom1821[Band No.],Table31[[#This Row],[Band '#]],StudAccom1821[Mandatory PHP 18-21 Headcount])+SUMIF(StudAccom1821[Band No.],Table31[[#This Row],[Band '#]],StudAccom1821[Student Residence 18-21 Headcount])+SUMIF(StuAccomUnder18[Band Number],Table31[[#This Row],[Band '#]],StuAccomUnder18[Mandatory PHP &lt;18 Headcount])+SUMIF(StuAccomUnder18[Band Number],Table31[[#This Row],[Band '#]],StuAccomUnder18[Student Residence &lt;18 Headcount])</f>
        <v>0</v>
      </c>
      <c r="AT21" s="172">
        <f>SUMIF(TableAFNSchools[Band No '#],Table31[[#This Row],[Band '#]],TableAFNSchools[Total FTE])</f>
        <v>27</v>
      </c>
      <c r="AU21" s="172">
        <f>SUMIF('B. 20-21 Prov&amp;Priv Enrolment&lt;22'!$A$8:$A$54,Table31[[#This Row],[Band '#]],'B. 20-21 Prov&amp;Priv Enrolment&lt;22'!$Y$8:$Y$54)+SUMIF('C. 20-21 Prov&amp;Priv 22+'!$A$7:$A$7,Table31[[#This Row],[Band '#]],'C. 20-21 Prov&amp;Priv 22+'!$Q$7:$Q$7)</f>
        <v>18</v>
      </c>
      <c r="AV21" s="173">
        <f ca="1">(Table31[[#This Row],[GRAND TOTAL]]+AR33)/(Table31[[#This Row],[FN Schools Enrolment]]+Table31[[#This Row],[Prov/Priv Enrolment]])</f>
        <v>31800.165777777776</v>
      </c>
      <c r="AX21" s="397">
        <f>INDEX(Table54[[Provincial School Total ]],MATCH(Table31[[#This Row],[Band '#]],Table54[Band no],0))</f>
        <v>690</v>
      </c>
      <c r="AZ21" s="397">
        <f ca="1">SUMIF($A$11:$A$33,Table31[[#This Row],[Band '#]],$AJ$11:$AJ$33)+Table31[[#This Row],[Band-Operated Transportation]]-BA21</f>
        <v>751646</v>
      </c>
      <c r="BA21" s="397">
        <f>SUMIF($A$11:$A$33,Table31[[#This Row],[Band '#]],$I$11:$I$33)+SUMIF($A$11:$A$33,Table31[[#This Row],[Band '#]],$P$11:$P$33)</f>
        <v>226820</v>
      </c>
      <c r="BB21" s="397">
        <f>Table31[[#This Row],[Provincial Transportation]]+Table31[[#This Row],[2. TUITION (Excludes Transportation)]]+Table31[[#This Row],[Supports for Tuition Students]]+Table31[[#This Row],[4. PHP/STUDENT ACCOMMODATION]]</f>
        <v>430959.46</v>
      </c>
      <c r="BC21" s="397">
        <f>Table31[[#This Row],[Tuition Administration Support]]</f>
        <v>21582</v>
      </c>
    </row>
    <row r="22" spans="1:55" ht="15">
      <c r="A22" s="746" t="s">
        <v>318</v>
      </c>
      <c r="B22" s="1081" t="s">
        <v>319</v>
      </c>
      <c r="C22" s="1105">
        <f>SUBTOTAL(109,Table31[1. Instructional Support])</f>
        <v>3904102</v>
      </c>
      <c r="D22" s="1105">
        <f>SUBTOTAL(109,Table31[2. Additional Instructional Support for Small Schools])</f>
        <v>83687</v>
      </c>
      <c r="E22" s="1105">
        <f>SUBTOTAL(109,Table31[3. Sparsity Support])</f>
        <v>648911</v>
      </c>
      <c r="F22" s="1105">
        <f>SUBTOTAL(109,Table31[4. Curricular Materials])</f>
        <v>121560</v>
      </c>
      <c r="G22" s="1105">
        <f>SUBTOTAL(109,Table31[5. Information Technology])</f>
        <v>125612</v>
      </c>
      <c r="H22" s="1105">
        <f>SUBTOTAL(109,Table31[6. Library Services])</f>
        <v>186392</v>
      </c>
      <c r="I22" s="1105">
        <f>SUBTOTAL(109,Table31[7. Student Services Grant ])</f>
        <v>2020083</v>
      </c>
      <c r="J22" s="1105">
        <f>SUBTOTAL(109,Table31[8. Counselling and Guidance ])</f>
        <v>168158</v>
      </c>
      <c r="K22" s="1105">
        <f>SUBTOTAL(109,Table31[9. Professional Development])</f>
        <v>92718</v>
      </c>
      <c r="L22" s="1105">
        <f>SUBTOTAL(109,Table31[10. Physical Education])</f>
        <v>25125</v>
      </c>
      <c r="M22" s="1105">
        <f>SUBTOTAL(109,Table31[11. Occupancy])</f>
        <v>827345</v>
      </c>
      <c r="N22" s="1105">
        <f>SUBTOTAL(109,Table31[BASE SUPPORT SUBTOTAL])</f>
        <v>8203693</v>
      </c>
      <c r="O22" s="1105">
        <f>SUBTOTAL(109,Table31[2. Board and Room])</f>
        <v>0</v>
      </c>
      <c r="P22" s="1105">
        <f>SUBTOTAL(109,Table31[3. Special Needs])</f>
        <v>1642857</v>
      </c>
      <c r="Q22" s="1105">
        <f>SUBTOTAL(109,Table31[4. Senior Years Technology Education])</f>
        <v>60748</v>
      </c>
      <c r="R22" s="1105">
        <f>SUBTOTAL(109,Table31[5. English as an Additional Language])</f>
        <v>2773</v>
      </c>
      <c r="S22" s="1105">
        <f>SUBTOTAL(109,Table31[6. Aboriginal Academic Achievement])</f>
        <v>956272</v>
      </c>
      <c r="T22" s="1105">
        <f>SUBTOTAL(109,Table31[7. Aboriginal Languages])</f>
        <v>3288036</v>
      </c>
      <c r="U22" s="1105">
        <f>SUBTOTAL(109,Table31[8. French Langauge Education])</f>
        <v>12399</v>
      </c>
      <c r="V22" s="1105">
        <f>SUBTOTAL(109,Table31[9. Small Schools])</f>
        <v>132719</v>
      </c>
      <c r="W22" s="1105">
        <f>Table23[[#Totals],[Greater of A and B TOTAL ENROLMENT CHANGE SUPPORT]]</f>
        <v>541258</v>
      </c>
      <c r="X22" s="1105">
        <f>SUBTOTAL(109,Table31[11. Northern Allowance])</f>
        <v>243210</v>
      </c>
      <c r="Y22" s="1105">
        <f>SUBTOTAL(109,Table31[12. Literacy and Numeracy])+Table25[[#Totals],[RRTL Salary Allolcation]]</f>
        <v>232072</v>
      </c>
      <c r="Z22" s="1105">
        <f>SUBTOTAL(109,Table31[13. Education for Sustainable Development])</f>
        <v>8400</v>
      </c>
      <c r="AA22" s="1105">
        <f>SUM(Table31[[#Totals],[2. Board and Room]:[13. Education for Sustainable Development]])</f>
        <v>7120744</v>
      </c>
      <c r="AB22" s="1105">
        <f>SUBTOTAL(109,Table31[Minor Capital])</f>
        <v>87773</v>
      </c>
      <c r="AC22" s="1105">
        <f>SUBTOTAL(109,Table31[Property Tax])</f>
        <v>0</v>
      </c>
      <c r="AD22" s="1105">
        <f>SUBTOTAL(109,Table31[Other Revenue])</f>
        <v>0</v>
      </c>
      <c r="AE22" s="1105">
        <f>SUBTOTAL(109,Table31[Pensions])</f>
        <v>1874543</v>
      </c>
      <c r="AF22" s="1105"/>
      <c r="AG22" s="1105"/>
      <c r="AH22" s="1105">
        <f>SUBTOTAL(109,Table31[Menstrual Products])</f>
        <v>0</v>
      </c>
      <c r="AI22" s="1105">
        <f>SUBTOTAL(109,Table31[FN Student Supports])</f>
        <v>0</v>
      </c>
      <c r="AJ22" s="1105">
        <f>SUM(N22,AA22:AI22)</f>
        <v>17286753</v>
      </c>
      <c r="AK22" s="1105">
        <f>SUBTOTAL(109,Table31[Tuition Administration Support])</f>
        <v>363559</v>
      </c>
      <c r="AL22" s="1105">
        <f>SUBTOTAL(109,Table31[Supports for Tuition Students])</f>
        <v>176356.22</v>
      </c>
      <c r="AM22" s="1105">
        <f>SUBTOTAL(109,Table31[2. TUITION (Excludes Transportation)])</f>
        <v>5034946</v>
      </c>
      <c r="AN22" s="1105">
        <f>SUBTOTAL(109,Table31[Band-Operated Transportation])</f>
        <v>2557727</v>
      </c>
      <c r="AO22" s="1105">
        <f>SUBTOTAL(109,Table31[Provincial Transportation])</f>
        <v>497276</v>
      </c>
      <c r="AP22" s="1105">
        <f>SUBTOTAL(109,Table31[3. TRANSPORTATION])</f>
        <v>3055003</v>
      </c>
      <c r="AQ22" s="1105">
        <f>SUBTOTAL(109,Table31[4. PHP/STUDENT ACCOMMODATION])</f>
        <v>1551990</v>
      </c>
      <c r="AR22" s="1105">
        <f>SUM(Table31[[#Totals],[1. FN SCHOOLS (Excludes Transportation)]]+Table31[[#Totals],[Tuition Administration Support]]+Table31[[#Totals],[Supports for Tuition Students]]+Table31[[#Totals],[2. TUITION (Excludes Transportation)]]+Table31[[#Totals],[3. TRANSPORTATION]]+Table31[[#Totals],[4. PHP/STUDENT ACCOMMODATION]])</f>
        <v>27468607.219999999</v>
      </c>
      <c r="AS22" s="1194">
        <f>SUBTOTAL(109,Table31[Boarded Students])</f>
        <v>79</v>
      </c>
      <c r="AT22" s="1557">
        <f>SUBTOTAL(109,Table31[FN Schools Enrolment])</f>
        <v>2026</v>
      </c>
      <c r="AU22" s="747">
        <f>SUBTOTAL(109,Table31[Prov/Priv Enrolment])</f>
        <v>326</v>
      </c>
      <c r="AV22" s="1558">
        <f ca="1">AR36/(Table31[[#Totals],[FN Schools Enrolment]]+Table31[[#Totals],[Prov/Priv Enrolment]])</f>
        <v>21294.97926020408</v>
      </c>
      <c r="AZ22" s="730">
        <f>Table31[[#Totals],[10. Enrolment Change Support]]</f>
        <v>541258</v>
      </c>
    </row>
    <row r="23" spans="1:55">
      <c r="A23">
        <f t="shared" ref="A23:B30" si="2">A11</f>
        <v>261</v>
      </c>
      <c r="B23" t="str">
        <f t="shared" si="2"/>
        <v>Brokenhead Ojibway</v>
      </c>
      <c r="C23" s="397">
        <f ca="1">SUMIF(Table1[Band '#],A23,'-B1-'!$H$11:$H$21)</f>
        <v>461303</v>
      </c>
      <c r="D23" s="910"/>
      <c r="E23" s="910"/>
      <c r="F23" s="397">
        <f ca="1">SUMIF(Table4[Band '#],A23,'-B4-'!$H$11:$H$21)</f>
        <v>23088</v>
      </c>
      <c r="G23" s="397">
        <f ca="1">SUMIF(Table5[Band '#],A23,'-B5-'!$H$11:$H$21)</f>
        <v>24124</v>
      </c>
      <c r="H23" s="397">
        <f ca="1">SUMIF(Table6[Band '#],A23,'-B6-'!$H$11:$H$21)</f>
        <v>29008</v>
      </c>
      <c r="I23" s="397">
        <f>SUMIF('-B7-'!$A$11:$A$22,'FNSS Summary Breakdown'!A23,'-B7-'!$J$11:$J$22)</f>
        <v>291618</v>
      </c>
      <c r="J23" s="397">
        <f ca="1">SUMIF(Table8[Band '#],A23,'-B8-'!$H$11:$H$21)</f>
        <v>77552</v>
      </c>
      <c r="K23" s="397">
        <f ca="1">SUMIF(Table9[Band '#],A23,'-B9-'!$I$11:$I$21)</f>
        <v>7548</v>
      </c>
      <c r="L23" s="910"/>
      <c r="M23" s="397">
        <f ca="1">SUMIF(Table11[Band '#],A23,'-B11-'!$L$25:$L$35)</f>
        <v>90999</v>
      </c>
      <c r="N23" s="397">
        <f t="shared" ref="N23:N33" ca="1" si="3">SUM(C23:M23)</f>
        <v>1005240</v>
      </c>
      <c r="O23" s="910"/>
      <c r="P23" s="397">
        <f>SUMIF(Table13[Band '#],A23,'-C3-'!$K$30:$K$41)</f>
        <v>45469</v>
      </c>
      <c r="Q23" s="910"/>
      <c r="R23" s="397">
        <f>SUMIF(Table15[Band '#],A23,'-C5-'!$K$11:$K$22)</f>
        <v>42</v>
      </c>
      <c r="S23" s="397">
        <f>SUMIF(Table16[Band '#],A23,'-C6-'!$I$11:$I$22)</f>
        <v>79712</v>
      </c>
      <c r="T23" s="910"/>
      <c r="U23" s="910"/>
      <c r="V23" s="397">
        <f>SUMIF(Table22[Band '#],A23,'-C9-'!$V$11:$V$22)</f>
        <v>9251</v>
      </c>
      <c r="W23" s="910"/>
      <c r="X23" s="397">
        <f>SUMIF(Table24[Band '#],A23,'-C11-'!$J$11:$J$22)</f>
        <v>0</v>
      </c>
      <c r="Y23" s="397">
        <f>SUMIF(Table25[Band '#],A23,'-C12-'!$K$11:$K$22)</f>
        <v>28268</v>
      </c>
      <c r="Z23" s="910"/>
      <c r="AA23" s="397">
        <f>SUM(O23:Z23)</f>
        <v>162742</v>
      </c>
      <c r="AB23" s="910"/>
      <c r="AC23" s="910"/>
      <c r="AD23" s="910"/>
      <c r="AE23" s="910"/>
      <c r="AF23" s="730">
        <f>SUMIF(Table151[Band '#],A23,Table151[TOTAL TAX BASE])</f>
        <v>397669</v>
      </c>
      <c r="AG23" s="730">
        <f>SUMIF(Table15152[Band '#],A23,Table15152[TOTAL TAX BASE])</f>
        <v>76960</v>
      </c>
      <c r="AH23" s="730"/>
      <c r="AJ23" s="397">
        <f ca="1">AA23+N23+AF23+AG23</f>
        <v>1642611</v>
      </c>
      <c r="AM23" s="910"/>
      <c r="AN23" s="910"/>
      <c r="AO23" s="910"/>
      <c r="AP23" s="910"/>
      <c r="AQ23" s="910"/>
      <c r="AR23" s="397">
        <f t="shared" ref="AR23:AR33" ca="1" si="4">AJ23</f>
        <v>1642611</v>
      </c>
      <c r="AS23" s="139"/>
      <c r="AT23" s="139"/>
      <c r="AU23" s="139"/>
      <c r="AV23" s="139"/>
      <c r="AW23" s="139"/>
      <c r="AX23" s="139"/>
    </row>
    <row r="24" spans="1:55">
      <c r="A24">
        <f t="shared" si="2"/>
        <v>267</v>
      </c>
      <c r="B24" t="str">
        <f t="shared" si="2"/>
        <v>Bloodvein</v>
      </c>
      <c r="C24" s="397">
        <f ca="1">SUMIF(Table1[Band '#],A24,'-B1-'!$H$11:$H$21)</f>
        <v>604681</v>
      </c>
      <c r="D24" s="910"/>
      <c r="E24" s="910"/>
      <c r="F24" s="397">
        <f ca="1">SUMIF(Table4[Band '#],A24,'-B4-'!$H$11:$H$21)</f>
        <v>30264</v>
      </c>
      <c r="G24" s="397">
        <f ca="1">SUMIF(Table5[Band '#],A24,'-B5-'!$H$11:$H$21)</f>
        <v>31622</v>
      </c>
      <c r="H24" s="397">
        <f ca="1">SUMIF(Table6[Band '#],A24,'-B6-'!$H$11:$H$21)</f>
        <v>38024</v>
      </c>
      <c r="I24" s="397">
        <f>SUMIF('-B7-'!$A$11:$A$22,'FNSS Summary Breakdown'!A24,'-B7-'!$J$11:$J$22)</f>
        <v>422386</v>
      </c>
      <c r="J24" s="397">
        <f ca="1">SUMIF(Table8[Band '#],A24,'-B8-'!$H$11:$H$21)</f>
        <v>101656</v>
      </c>
      <c r="K24" s="397">
        <f ca="1">SUMIF(Table9[Band '#],A24,'-B9-'!$I$11:$I$21)</f>
        <v>11252</v>
      </c>
      <c r="L24" s="910"/>
      <c r="M24" s="397">
        <f ca="1">SUMIF(Table11[Band '#],A24,'-B11-'!$L$25:$L$35)</f>
        <v>293110</v>
      </c>
      <c r="N24" s="397">
        <f t="shared" ca="1" si="3"/>
        <v>1532995</v>
      </c>
      <c r="O24" s="910"/>
      <c r="P24" s="397">
        <f>SUMIF(Table13[Band '#],A24,'-C3-'!$K$30:$K$41)</f>
        <v>65858</v>
      </c>
      <c r="Q24" s="910"/>
      <c r="R24" s="397">
        <f>SUMIF(Table15[Band '#],A24,'-C5-'!$K$11:$K$22)</f>
        <v>93</v>
      </c>
      <c r="S24" s="397">
        <f>SUMIF(Table16[Band '#],A24,'-C6-'!$I$11:$I$22)</f>
        <v>104486</v>
      </c>
      <c r="T24" s="910"/>
      <c r="U24" s="910"/>
      <c r="V24" s="397">
        <f>SUMIF(Table22[Band '#],A24,'-C9-'!$V$11:$V$22)</f>
        <v>6939</v>
      </c>
      <c r="W24" s="910"/>
      <c r="X24" s="397">
        <f>SUMIF(Table24[Band '#],A24,'-C11-'!$J$11:$J$22)</f>
        <v>34144</v>
      </c>
      <c r="Y24" s="397">
        <f>SUMIF(Table25[Band '#],A24,'-C12-'!$K$11:$K$22)</f>
        <v>37054</v>
      </c>
      <c r="Z24" s="910"/>
      <c r="AA24" s="397">
        <f t="shared" ref="AA24:AA32" si="5">SUM(O24:Z24)</f>
        <v>248574</v>
      </c>
      <c r="AB24" s="910"/>
      <c r="AC24" s="910"/>
      <c r="AD24" s="910"/>
      <c r="AE24" s="910"/>
      <c r="AF24" s="730">
        <f>SUMIF(Table151[Band '#],A24,Table151[TOTAL TAX BASE])</f>
        <v>521268</v>
      </c>
      <c r="AG24" s="730">
        <f>SUMIF(Table15152[Band '#],A24,Table15152[TOTAL TAX BASE])</f>
        <v>100880</v>
      </c>
      <c r="AH24" s="730"/>
      <c r="AJ24" s="397">
        <f ca="1">AA24+N24+AF24+AG24</f>
        <v>2403717</v>
      </c>
      <c r="AM24" s="910"/>
      <c r="AN24" s="910"/>
      <c r="AO24" s="910"/>
      <c r="AP24" s="910"/>
      <c r="AQ24" s="910"/>
      <c r="AR24" s="397">
        <f t="shared" ca="1" si="4"/>
        <v>2403717</v>
      </c>
      <c r="AS24" s="139"/>
      <c r="AT24" s="139"/>
      <c r="AU24" s="139"/>
      <c r="AV24" s="139"/>
      <c r="AW24" s="139"/>
      <c r="AX24" s="139"/>
    </row>
    <row r="25" spans="1:55">
      <c r="A25">
        <f t="shared" si="2"/>
        <v>271</v>
      </c>
      <c r="B25" t="str">
        <f t="shared" si="2"/>
        <v>Lake Manitoba</v>
      </c>
      <c r="C25" s="397">
        <f ca="1">SUMIF(Table1[Band '#],A25,'-B1-'!$H$11:$H$21)</f>
        <v>944424</v>
      </c>
      <c r="D25" s="910"/>
      <c r="E25" s="910"/>
      <c r="F25" s="397">
        <f ca="1">SUMIF(Table4[Band '#],A25,'-B4-'!$H$11:$H$21)</f>
        <v>47268</v>
      </c>
      <c r="G25" s="397">
        <f ca="1">SUMIF(Table5[Band '#],A25,'-B5-'!$H$11:$H$21)</f>
        <v>49389</v>
      </c>
      <c r="H25" s="397">
        <f ca="1">SUMIF(Table6[Band '#],A25,'-B6-'!$H$11:$H$21)</f>
        <v>59388</v>
      </c>
      <c r="I25" s="397">
        <f>SUMIF('-B7-'!$A$11:$A$22,'FNSS Summary Breakdown'!A25,'-B7-'!$J$11:$J$22)</f>
        <v>543037</v>
      </c>
      <c r="J25" s="397">
        <f ca="1">SUMIF(Table8[Band '#],A25,'-B8-'!$H$11:$H$21)</f>
        <v>158772</v>
      </c>
      <c r="K25" s="397">
        <f ca="1">SUMIF(Table9[Band '#],A25,'-B9-'!$I$11:$I$21)</f>
        <v>17574</v>
      </c>
      <c r="L25" s="910"/>
      <c r="M25" s="397">
        <f ca="1">SUMIF(Table11[Band '#],A25,'-B11-'!$L$25:$L$35)</f>
        <v>181952</v>
      </c>
      <c r="N25" s="397">
        <f t="shared" ca="1" si="3"/>
        <v>2001804</v>
      </c>
      <c r="O25" s="910"/>
      <c r="P25" s="397">
        <f>SUMIF(Table13[Band '#],A25,'-C3-'!$K$30:$K$41)</f>
        <v>84670</v>
      </c>
      <c r="Q25" s="910"/>
      <c r="R25" s="397">
        <f>SUMIF(Table15[Band '#],A25,'-C5-'!$K$11:$K$22)</f>
        <v>113</v>
      </c>
      <c r="S25" s="397">
        <f>SUMIF(Table16[Band '#],A25,'-C6-'!$I$11:$I$22)</f>
        <v>163193</v>
      </c>
      <c r="T25" s="910"/>
      <c r="U25" s="910"/>
      <c r="V25" s="397">
        <f>SUMIF(Table22[Band '#],A25,'-C9-'!$V$11:$V$22)</f>
        <v>11452</v>
      </c>
      <c r="W25" s="910"/>
      <c r="X25" s="397">
        <f>SUMIF(Table24[Band '#],A25,'-C11-'!$J$11:$J$22)</f>
        <v>0</v>
      </c>
      <c r="Y25" s="397">
        <f>SUMIF(Table25[Band '#],A25,'-C12-'!$K$11:$K$22)</f>
        <v>57873</v>
      </c>
      <c r="Z25" s="910"/>
      <c r="AA25" s="397">
        <f t="shared" si="5"/>
        <v>317301</v>
      </c>
      <c r="AB25" s="910"/>
      <c r="AC25" s="910"/>
      <c r="AD25" s="910"/>
      <c r="AE25" s="910"/>
      <c r="AF25" s="730">
        <f>SUMIF(Table151[Band '#],A25,Table151[TOTAL TAX BASE])</f>
        <v>814146</v>
      </c>
      <c r="AG25" s="730">
        <f>SUMIF(Table15152[Band '#],A25,Table15152[TOTAL TAX BASE])</f>
        <v>157560</v>
      </c>
      <c r="AH25" s="730"/>
      <c r="AJ25" s="397">
        <f ca="1">AA25+N25+AF25+AG25</f>
        <v>3290811</v>
      </c>
      <c r="AM25" s="910"/>
      <c r="AN25" s="910"/>
      <c r="AO25" s="910"/>
      <c r="AP25" s="910"/>
      <c r="AQ25" s="910"/>
      <c r="AR25" s="397">
        <f t="shared" ca="1" si="4"/>
        <v>3290811</v>
      </c>
      <c r="AS25" s="139"/>
      <c r="AT25" s="139"/>
      <c r="AU25" s="139"/>
      <c r="AV25" s="139"/>
      <c r="AW25" s="139"/>
      <c r="AX25" s="139"/>
    </row>
    <row r="26" spans="1:55">
      <c r="A26">
        <f t="shared" si="2"/>
        <v>272</v>
      </c>
      <c r="B26" t="str">
        <f t="shared" si="2"/>
        <v>Pinaymootang</v>
      </c>
      <c r="C26" s="397">
        <f ca="1">SUMIF(Table1[Band '#],A26,'-B1-'!$H$11:$H$21)</f>
        <v>1355856</v>
      </c>
      <c r="D26" s="910"/>
      <c r="E26" s="910"/>
      <c r="F26" s="397">
        <f ca="1">SUMIF(Table4[Band '#],A26,'-B4-'!$H$11:$H$21)</f>
        <v>67860</v>
      </c>
      <c r="G26" s="397">
        <f ca="1">SUMIF(Table5[Band '#],A26,'-B5-'!$H$11:$H$21)</f>
        <v>70905</v>
      </c>
      <c r="H26" s="397">
        <f ca="1">SUMIF(Table6[Band '#],A26,'-B6-'!$H$11:$H$21)</f>
        <v>85260</v>
      </c>
      <c r="I26" s="397">
        <f>SUMIF('-B7-'!$A$11:$A$22,'FNSS Summary Breakdown'!A26,'-B7-'!$J$11:$J$22)</f>
        <v>779608</v>
      </c>
      <c r="J26" s="397">
        <f ca="1">SUMIF(Table8[Band '#],A26,'-B8-'!$H$11:$H$21)</f>
        <v>227940</v>
      </c>
      <c r="K26" s="397">
        <f ca="1">SUMIF(Table9[Band '#],A26,'-B9-'!$I$11:$I$21)</f>
        <v>25230</v>
      </c>
      <c r="L26" s="910"/>
      <c r="M26" s="397">
        <f ca="1">SUMIF(Table11[Band '#],A26,'-B11-'!$L$25:$L$35)</f>
        <v>-88567</v>
      </c>
      <c r="N26" s="397">
        <f t="shared" ca="1" si="3"/>
        <v>2524092</v>
      </c>
      <c r="O26" s="910"/>
      <c r="P26" s="397">
        <f>SUMIF(Table13[Band '#],A26,'-C3-'!$K$30:$K$41)</f>
        <v>121556</v>
      </c>
      <c r="Q26" s="910"/>
      <c r="R26" s="397">
        <f>SUMIF(Table15[Band '#],A26,'-C5-'!$K$11:$K$22)</f>
        <v>157</v>
      </c>
      <c r="S26" s="397">
        <f>SUMIF(Table16[Band '#],A26,'-C6-'!$I$11:$I$22)</f>
        <v>234287</v>
      </c>
      <c r="T26" s="910"/>
      <c r="U26" s="910"/>
      <c r="V26" s="397">
        <f>SUMIF(Table22[Band '#],A26,'-C9-'!$V$11:$V$22)</f>
        <v>9599</v>
      </c>
      <c r="W26" s="910"/>
      <c r="X26" s="397">
        <f>SUMIF(Table24[Band '#],A26,'-C11-'!$J$11:$J$22)</f>
        <v>0</v>
      </c>
      <c r="Y26" s="397">
        <f>SUMIF(Table25[Band '#],A26,'-C12-'!$K$11:$K$22)</f>
        <v>83085</v>
      </c>
      <c r="Z26" s="910"/>
      <c r="AA26" s="397">
        <f t="shared" si="5"/>
        <v>448684</v>
      </c>
      <c r="AB26" s="910"/>
      <c r="AC26" s="910"/>
      <c r="AD26" s="910"/>
      <c r="AE26" s="910"/>
      <c r="AF26" s="730">
        <f>SUMIF(Table151[Band '#],A26,Table151[TOTAL TAX BASE])</f>
        <v>1168823</v>
      </c>
      <c r="AG26" s="730">
        <f>SUMIF(Table15152[Band '#],A26,Table15152[TOTAL TAX BASE])</f>
        <v>226200</v>
      </c>
      <c r="AH26" s="730"/>
      <c r="AJ26" s="397">
        <f ca="1">AA26+N26+AF26+AG26</f>
        <v>4367799</v>
      </c>
      <c r="AM26" s="910"/>
      <c r="AN26" s="910"/>
      <c r="AO26" s="910"/>
      <c r="AP26" s="910"/>
      <c r="AQ26" s="910"/>
      <c r="AR26" s="397">
        <f t="shared" ca="1" si="4"/>
        <v>4367799</v>
      </c>
      <c r="AS26" s="139"/>
      <c r="AT26" s="139"/>
      <c r="AU26" s="139"/>
      <c r="AV26" s="139"/>
      <c r="AW26" s="139"/>
      <c r="AX26" s="139"/>
    </row>
    <row r="27" spans="1:55">
      <c r="A27">
        <f t="shared" si="2"/>
        <v>273</v>
      </c>
      <c r="B27" t="str">
        <f t="shared" si="2"/>
        <v>Roseau River</v>
      </c>
      <c r="C27" s="397">
        <f ca="1">SUMIF(Table1[Band '#],A27,'-B1-'!$H$11:$H$21)</f>
        <v>476887</v>
      </c>
      <c r="D27" s="910"/>
      <c r="E27" s="910"/>
      <c r="F27" s="397">
        <f ca="1">SUMIF(Table4[Band '#],A27,'-B4-'!$H$11:$H$21)</f>
        <v>23868</v>
      </c>
      <c r="G27" s="397">
        <f ca="1">SUMIF(Table5[Band '#],A27,'-B5-'!$H$11:$H$21)</f>
        <v>24939</v>
      </c>
      <c r="H27" s="397">
        <f ca="1">SUMIF(Table6[Band '#],A27,'-B6-'!$H$11:$H$21)</f>
        <v>29988</v>
      </c>
      <c r="I27" s="397">
        <f>SUMIF('-B7-'!$A$11:$A$22,'FNSS Summary Breakdown'!A27,'-B7-'!$J$11:$J$22)</f>
        <v>295220</v>
      </c>
      <c r="J27" s="397">
        <f ca="1">SUMIF(Table8[Band '#],A27,'-B8-'!$H$11:$H$21)</f>
        <v>80172</v>
      </c>
      <c r="K27" s="397">
        <f ca="1">SUMIF(Table9[Band '#],A27,'-B9-'!$I$11:$I$21)</f>
        <v>8874</v>
      </c>
      <c r="L27" s="910"/>
      <c r="M27" s="397">
        <f ca="1">SUMIF(Table11[Band '#],A27,'-B11-'!$L$25:$L$35)</f>
        <v>150386</v>
      </c>
      <c r="N27" s="397">
        <f t="shared" ca="1" si="3"/>
        <v>1090334</v>
      </c>
      <c r="O27" s="910"/>
      <c r="P27" s="397">
        <f>SUMIF(Table13[Band '#],A27,'-C3-'!$K$30:$K$41)</f>
        <v>46031</v>
      </c>
      <c r="Q27" s="910"/>
      <c r="R27" s="397">
        <f>SUMIF(Table15[Band '#],A27,'-C5-'!$K$11:$K$22)</f>
        <v>82</v>
      </c>
      <c r="S27" s="397">
        <f>SUMIF(Table16[Band '#],A27,'-C6-'!$I$11:$I$22)</f>
        <v>82404</v>
      </c>
      <c r="T27" s="910"/>
      <c r="U27" s="910"/>
      <c r="V27" s="397">
        <f>SUMIF(Table22[Band '#],A27,'-C9-'!$V$11:$V$22)</f>
        <v>5413</v>
      </c>
      <c r="W27" s="910"/>
      <c r="X27" s="397">
        <f>SUMIF(Table24[Band '#],A27,'-C11-'!$J$11:$J$22)</f>
        <v>0</v>
      </c>
      <c r="Y27" s="397">
        <f>SUMIF(Table25[Band '#],A27,'-C12-'!$K$11:$K$22)</f>
        <v>29223</v>
      </c>
      <c r="Z27" s="910"/>
      <c r="AA27" s="397">
        <f t="shared" si="5"/>
        <v>163153</v>
      </c>
      <c r="AB27" s="910"/>
      <c r="AC27" s="910"/>
      <c r="AD27" s="910"/>
      <c r="AE27" s="910"/>
      <c r="AF27" s="730">
        <f>SUMIF(Table151[Band '#],A27,Table151[TOTAL TAX BASE])</f>
        <v>411103</v>
      </c>
      <c r="AG27" s="730">
        <f>SUMIF(Table15152[Band '#],A27,Table15152[TOTAL TAX BASE])</f>
        <v>79560</v>
      </c>
      <c r="AH27" s="730"/>
      <c r="AJ27" s="397">
        <f t="shared" ref="AJ27:AJ33" ca="1" si="6">AA27+N27+AF27+AG27</f>
        <v>1744150</v>
      </c>
      <c r="AM27" s="910"/>
      <c r="AN27" s="910"/>
      <c r="AO27" s="910"/>
      <c r="AP27" s="910"/>
      <c r="AQ27" s="910"/>
      <c r="AR27" s="397">
        <f t="shared" ca="1" si="4"/>
        <v>1744150</v>
      </c>
      <c r="AS27" s="139"/>
      <c r="AT27" s="139"/>
      <c r="AU27" s="139"/>
      <c r="AV27" s="139"/>
      <c r="AW27" s="139"/>
      <c r="AX27" s="139"/>
    </row>
    <row r="28" spans="1:55">
      <c r="A28">
        <f t="shared" si="2"/>
        <v>275</v>
      </c>
      <c r="B28" t="str">
        <f t="shared" si="2"/>
        <v>Lake St. Martin</v>
      </c>
      <c r="C28" s="397">
        <f ca="1">SUMIF(Table1[Band '#],A28,'-B1-'!$H$11:$H$21)</f>
        <v>1240530</v>
      </c>
      <c r="D28" s="910"/>
      <c r="E28" s="910"/>
      <c r="F28" s="397">
        <f ca="1">SUMIF(Table4[Band '#],A28,'-B4-'!$H$11:$H$21)</f>
        <v>62088</v>
      </c>
      <c r="G28" s="397">
        <f ca="1">SUMIF(Table5[Band '#],A28,'-B5-'!$H$11:$H$21)</f>
        <v>64874</v>
      </c>
      <c r="H28" s="397">
        <f ca="1">SUMIF(Table6[Band '#],A28,'-B6-'!$H$11:$H$21)</f>
        <v>78008</v>
      </c>
      <c r="I28" s="397">
        <f>SUMIF('-B7-'!$A$11:$A$22,'FNSS Summary Breakdown'!A28,'-B7-'!$J$11:$J$22)</f>
        <v>866545</v>
      </c>
      <c r="J28" s="397">
        <f ca="1">SUMIF(Table8[Band '#],A28,'-B8-'!$H$11:$H$21)</f>
        <v>208552</v>
      </c>
      <c r="K28" s="397">
        <f ca="1">SUMIF(Table9[Band '#],A28,'-B9-'!$I$11:$I$21)</f>
        <v>23084</v>
      </c>
      <c r="L28" s="910"/>
      <c r="M28" s="397">
        <f ca="1">SUMIF(Table11[Band '#],A28,'-B11-'!$L$25:$L$35)</f>
        <v>277679</v>
      </c>
      <c r="N28" s="397">
        <f t="shared" ca="1" si="3"/>
        <v>2821360</v>
      </c>
      <c r="O28" s="910"/>
      <c r="P28" s="397">
        <f>SUMIF(Table13[Band '#],A28,'-C3-'!$K$30:$K$41)</f>
        <v>135111</v>
      </c>
      <c r="Q28" s="910"/>
      <c r="R28" s="397">
        <f>SUMIF(Table15[Band '#],A28,'-C5-'!$K$11:$K$22)</f>
        <v>174</v>
      </c>
      <c r="S28" s="397">
        <f>SUMIF(Table16[Band '#],A28,'-C6-'!$I$11:$I$22)</f>
        <v>214359</v>
      </c>
      <c r="T28" s="910"/>
      <c r="U28" s="910"/>
      <c r="V28" s="397">
        <f>SUMIF(Table22[Band '#],A28,'-C9-'!$V$11:$V$22)</f>
        <v>11487</v>
      </c>
      <c r="W28" s="910"/>
      <c r="X28" s="397">
        <f>SUMIF(Table24[Band '#],A28,'-C11-'!$J$11:$J$22)</f>
        <v>0</v>
      </c>
      <c r="Y28" s="397">
        <f>SUMIF(Table25[Band '#],A28,'-C12-'!$K$11:$K$22)</f>
        <v>76018</v>
      </c>
      <c r="Z28" s="910"/>
      <c r="AA28" s="397">
        <f t="shared" si="5"/>
        <v>437149</v>
      </c>
      <c r="AB28" s="910"/>
      <c r="AC28" s="910"/>
      <c r="AD28" s="910"/>
      <c r="AE28" s="910"/>
      <c r="AF28" s="730">
        <f>SUMIF(Table151[Band '#],A28,Table151[TOTAL TAX BASE])</f>
        <v>1069406</v>
      </c>
      <c r="AG28" s="730">
        <f>SUMIF(Table15152[Band '#],A28,Table15152[TOTAL TAX BASE])</f>
        <v>206960</v>
      </c>
      <c r="AH28" s="730"/>
      <c r="AJ28" s="397">
        <f t="shared" ca="1" si="6"/>
        <v>4534875</v>
      </c>
      <c r="AM28" s="910"/>
      <c r="AN28" s="910"/>
      <c r="AO28" s="910"/>
      <c r="AP28" s="910"/>
      <c r="AQ28" s="910"/>
      <c r="AR28" s="397">
        <f t="shared" ca="1" si="4"/>
        <v>4534875</v>
      </c>
      <c r="AS28" s="139"/>
      <c r="AT28" s="139"/>
      <c r="AU28" s="139"/>
      <c r="AV28" s="139"/>
      <c r="AW28" s="139"/>
      <c r="AX28" s="139"/>
    </row>
    <row r="29" spans="1:55">
      <c r="A29">
        <f t="shared" si="2"/>
        <v>286</v>
      </c>
      <c r="B29" t="str">
        <f t="shared" si="2"/>
        <v>Keeseekoowenin</v>
      </c>
      <c r="C29" s="397">
        <f ca="1">SUMIF(Table1[Band '#],A29,'-B1-'!$H$11:$H$21)</f>
        <v>308574</v>
      </c>
      <c r="D29" s="910"/>
      <c r="E29" s="910"/>
      <c r="F29" s="397">
        <f ca="1">SUMIF(Table4[Band '#],A29,'-B4-'!$H$11:$H$21)</f>
        <v>15444</v>
      </c>
      <c r="G29" s="397">
        <f ca="1">SUMIF(Table5[Band '#],A29,'-B5-'!$H$11:$H$21)</f>
        <v>16137</v>
      </c>
      <c r="H29" s="397">
        <f ca="1">SUMIF(Table6[Band '#],A29,'-B6-'!$H$11:$H$21)</f>
        <v>19404</v>
      </c>
      <c r="I29" s="397">
        <f>SUMIF('-B7-'!$A$11:$A$22,'FNSS Summary Breakdown'!A29,'-B7-'!$J$11:$J$22)</f>
        <v>162199</v>
      </c>
      <c r="J29" s="397">
        <f ca="1">SUMIF(Table8[Band '#],A29,'-B8-'!$H$11:$H$21)</f>
        <v>51876</v>
      </c>
      <c r="K29" s="397">
        <f ca="1">SUMIF(Table9[Band '#],A29,'-B9-'!$I$11:$I$21)</f>
        <v>5742</v>
      </c>
      <c r="L29" s="910"/>
      <c r="M29" s="397">
        <f ca="1">SUMIF(Table11[Band '#],A29,'-B11-'!$L$25:$L$35)</f>
        <v>96445</v>
      </c>
      <c r="N29" s="397">
        <f t="shared" ca="1" si="3"/>
        <v>675821</v>
      </c>
      <c r="O29" s="910"/>
      <c r="P29" s="397">
        <f>SUMIF(Table13[Band '#],A29,'-C3-'!$K$30:$K$41)</f>
        <v>25290</v>
      </c>
      <c r="Q29" s="910"/>
      <c r="R29" s="397">
        <f>SUMIF(Table15[Band '#],A29,'-C5-'!$K$11:$K$22)</f>
        <v>59</v>
      </c>
      <c r="S29" s="397">
        <f>SUMIF(Table16[Band '#],A29,'-C6-'!$I$11:$I$22)</f>
        <v>53320</v>
      </c>
      <c r="T29" s="910"/>
      <c r="U29" s="910"/>
      <c r="V29" s="397">
        <f>SUMIF(Table22[Band '#],A29,'-C9-'!$V$11:$V$22)</f>
        <v>6155</v>
      </c>
      <c r="W29" s="910"/>
      <c r="X29" s="397">
        <f>SUMIF(Table24[Band '#],A29,'-C11-'!$J$11:$J$22)</f>
        <v>0</v>
      </c>
      <c r="Y29" s="397">
        <f>SUMIF(Table25[Band '#],A29,'-C12-'!$K$11:$K$22)</f>
        <v>18909</v>
      </c>
      <c r="Z29" s="910"/>
      <c r="AA29" s="397">
        <f t="shared" si="5"/>
        <v>103733</v>
      </c>
      <c r="AB29" s="910"/>
      <c r="AC29" s="910"/>
      <c r="AD29" s="910"/>
      <c r="AE29" s="910"/>
      <c r="AF29" s="730">
        <f>SUMIF(Table151[Band '#],A29,Table151[TOTAL TAX BASE])</f>
        <v>266008</v>
      </c>
      <c r="AG29" s="730">
        <f>SUMIF(Table15152[Band '#],A29,Table15152[TOTAL TAX BASE])</f>
        <v>51480</v>
      </c>
      <c r="AH29" s="730"/>
      <c r="AJ29" s="397">
        <f t="shared" ca="1" si="6"/>
        <v>1097042</v>
      </c>
      <c r="AM29" s="910"/>
      <c r="AN29" s="910"/>
      <c r="AO29" s="910"/>
      <c r="AP29" s="910"/>
      <c r="AQ29" s="910"/>
      <c r="AR29" s="397">
        <f t="shared" ca="1" si="4"/>
        <v>1097042</v>
      </c>
      <c r="AS29" s="139"/>
      <c r="AT29" s="139"/>
      <c r="AU29" s="139"/>
      <c r="AV29" s="139"/>
      <c r="AW29" s="139"/>
      <c r="AX29" s="139"/>
    </row>
    <row r="30" spans="1:55">
      <c r="A30">
        <f t="shared" si="2"/>
        <v>288</v>
      </c>
      <c r="B30" t="str">
        <f t="shared" si="2"/>
        <v>Dakota Plains</v>
      </c>
      <c r="C30" s="397">
        <f ca="1">SUMIF(Table1[Band '#],A30,'-B1-'!$H$11:$H$21)</f>
        <v>268054</v>
      </c>
      <c r="D30" s="910"/>
      <c r="E30" s="910"/>
      <c r="F30" s="397">
        <f ca="1">SUMIF(Table4[Band '#],A30,'-B4-'!$H$11:$H$21)</f>
        <v>13416</v>
      </c>
      <c r="G30" s="397">
        <f ca="1">SUMIF(Table5[Band '#],A30,'-B5-'!$H$11:$H$21)</f>
        <v>14018</v>
      </c>
      <c r="H30" s="397">
        <f ca="1">SUMIF(Table6[Band '#],A30,'-B6-'!$H$11:$H$21)</f>
        <v>16856</v>
      </c>
      <c r="I30" s="397">
        <f>SUMIF('-B7-'!$A$11:$A$22,'FNSS Summary Breakdown'!A30,'-B7-'!$J$11:$J$22)</f>
        <v>129105</v>
      </c>
      <c r="J30" s="397">
        <f ca="1">SUMIF(Table8[Band '#],A30,'-B8-'!$H$11:$H$21)</f>
        <v>45064</v>
      </c>
      <c r="K30" s="397">
        <f ca="1">SUMIF(Table9[Band '#],A30,'-B9-'!$I$11:$I$21)</f>
        <v>4988</v>
      </c>
      <c r="L30" s="910"/>
      <c r="M30" s="397">
        <f ca="1">SUMIF(Table11[Band '#],A30,'-B11-'!$L$25:$L$35)</f>
        <v>94815</v>
      </c>
      <c r="N30" s="397">
        <f t="shared" ca="1" si="3"/>
        <v>586316</v>
      </c>
      <c r="O30" s="910"/>
      <c r="P30" s="397">
        <f>SUMIF(Table13[Band '#],A30,'-C3-'!$K$30:$K$41)</f>
        <v>20130</v>
      </c>
      <c r="Q30" s="910"/>
      <c r="R30" s="397">
        <f>SUMIF(Table15[Band '#],A30,'-C5-'!$K$11:$K$22)</f>
        <v>46</v>
      </c>
      <c r="S30" s="397">
        <f>SUMIF(Table16[Band '#],A30,'-C6-'!$I$11:$I$22)</f>
        <v>46319</v>
      </c>
      <c r="T30" s="910"/>
      <c r="U30" s="910"/>
      <c r="V30" s="397">
        <f>SUMIF(Table22[Band '#],A30,'-C9-'!$V$11:$V$22)</f>
        <v>6098</v>
      </c>
      <c r="W30" s="910"/>
      <c r="X30" s="397">
        <f>SUMIF(Table24[Band '#],A30,'-C11-'!$J$11:$J$22)</f>
        <v>0</v>
      </c>
      <c r="Y30" s="397">
        <f>SUMIF(Table25[Band '#],A30,'-C12-'!$K$11:$K$22)</f>
        <v>16426</v>
      </c>
      <c r="Z30" s="910"/>
      <c r="AA30" s="397">
        <f t="shared" si="5"/>
        <v>89019</v>
      </c>
      <c r="AB30" s="910"/>
      <c r="AC30" s="910"/>
      <c r="AD30" s="910"/>
      <c r="AE30" s="910"/>
      <c r="AF30" s="730">
        <f>SUMIF(Table151[Band '#],A30,Table151[TOTAL TAX BASE])</f>
        <v>231078</v>
      </c>
      <c r="AG30" s="730">
        <f>SUMIF(Table15152[Band '#],A30,Table15152[TOTAL TAX BASE])</f>
        <v>44720</v>
      </c>
      <c r="AH30" s="730"/>
      <c r="AJ30" s="397">
        <f t="shared" ca="1" si="6"/>
        <v>951133</v>
      </c>
      <c r="AM30" s="910"/>
      <c r="AN30" s="910"/>
      <c r="AO30" s="910"/>
      <c r="AP30" s="910"/>
      <c r="AQ30" s="910"/>
      <c r="AR30" s="397">
        <f t="shared" ca="1" si="4"/>
        <v>951133</v>
      </c>
      <c r="AS30" s="139"/>
      <c r="AT30" s="139"/>
      <c r="AU30" s="139"/>
      <c r="AV30" s="139"/>
      <c r="AW30" s="139"/>
      <c r="AX30" s="139"/>
    </row>
    <row r="31" spans="1:55">
      <c r="A31">
        <v>295</v>
      </c>
      <c r="B31" t="s">
        <v>320</v>
      </c>
      <c r="C31" s="730">
        <f ca="1">SUMIF(Table1[Band '#],A31,'-B1-'!$H$11:$H$21)</f>
        <v>127793</v>
      </c>
      <c r="D31" s="730"/>
      <c r="E31" s="730"/>
      <c r="F31" s="730">
        <f ca="1">SUMIF(Table4[Band '#],A31,'-B4-'!$H$11:$H$21)</f>
        <v>6396</v>
      </c>
      <c r="G31" s="730">
        <f ca="1">SUMIF(Table5[Band '#],A31,'-B5-'!$H$11:$H$21)</f>
        <v>6683</v>
      </c>
      <c r="H31" s="730">
        <f ca="1">SUMIF(Table6[Band '#],A31,'-B6-'!$H$11:$H$21)</f>
        <v>8036</v>
      </c>
      <c r="I31" s="397">
        <f>SUMIF('-B7-'!$A$11:$A$22,'FNSS Summary Breakdown'!A31,'-B7-'!$J$11:$J$22)</f>
        <v>61550</v>
      </c>
      <c r="J31" s="730">
        <f ca="1">SUMIF(Table8[Band '#],A31,'-B8-'!$H$11:$H$21)</f>
        <v>21484</v>
      </c>
      <c r="K31" s="730">
        <f ca="1">SUMIF(Table9[Band '#],A31,'-B9-'!$I$11:$I$21)</f>
        <v>2091</v>
      </c>
      <c r="L31" s="730"/>
      <c r="M31" s="730">
        <f ca="1">SUMIF(Table11[Band '#],A31,'-B11-'!$L$25:$L$35)</f>
        <v>4772</v>
      </c>
      <c r="N31" s="730">
        <f t="shared" ca="1" si="3"/>
        <v>238805</v>
      </c>
      <c r="O31" s="730"/>
      <c r="P31" s="730">
        <f>SUMIF(Table13[Band '#],A31,'-C3-'!$K$30:$K$41)</f>
        <v>9597</v>
      </c>
      <c r="Q31" s="730"/>
      <c r="R31" s="730">
        <f>SUMIF(Table15[Band '#],A31,'-C5-'!$K$11:$K$22)</f>
        <v>19</v>
      </c>
      <c r="S31" s="730">
        <f>SUMIF(Table16[Band '#],A31,'-C6-'!$I$11:$I$22)</f>
        <v>22082</v>
      </c>
      <c r="T31" s="730"/>
      <c r="U31" s="730"/>
      <c r="V31" s="730">
        <f>SUMIF(Table22[Band '#],A31,'-C9-'!$V$11:$V$22)</f>
        <v>5972</v>
      </c>
      <c r="W31" s="730"/>
      <c r="X31" s="730">
        <f>SUMIF(Table24[Band '#],A31,'-C11-'!$J$11:$J$22)</f>
        <v>0</v>
      </c>
      <c r="Y31" s="730">
        <f>SUMIF(Table25[Band '#],A31,'-C12-'!$K$11:$K$22)</f>
        <v>7831</v>
      </c>
      <c r="Z31" s="730"/>
      <c r="AA31" s="730">
        <f>SUM(O31:Z31)</f>
        <v>45501</v>
      </c>
      <c r="AB31" s="730"/>
      <c r="AC31" s="730"/>
      <c r="AD31" s="730"/>
      <c r="AE31" s="730"/>
      <c r="AF31" s="730">
        <f>SUMIF(Table151[Band '#],A31,Table151[TOTAL TAX BASE])</f>
        <v>110165</v>
      </c>
      <c r="AG31" s="730">
        <f>SUMIF(Table15152[Band '#],A31,Table15152[TOTAL TAX BASE])</f>
        <v>21320</v>
      </c>
      <c r="AH31" s="730"/>
      <c r="AI31"/>
      <c r="AJ31" s="397">
        <f t="shared" ca="1" si="6"/>
        <v>415791</v>
      </c>
      <c r="AK31" s="730"/>
      <c r="AL31" s="730"/>
      <c r="AM31" s="730"/>
      <c r="AN31" s="730"/>
      <c r="AO31" s="730"/>
      <c r="AP31" s="730"/>
      <c r="AQ31" s="730"/>
      <c r="AR31" s="730">
        <f t="shared" ca="1" si="4"/>
        <v>415791</v>
      </c>
      <c r="AS31" s="691"/>
      <c r="AT31" s="691"/>
      <c r="AU31" s="691"/>
      <c r="AV31" s="691"/>
      <c r="AW31" s="691"/>
      <c r="AX31" s="691"/>
    </row>
    <row r="32" spans="1:55">
      <c r="A32">
        <f>A20</f>
        <v>304</v>
      </c>
      <c r="B32" t="str">
        <f>B20</f>
        <v>York Factory</v>
      </c>
      <c r="C32" s="397">
        <f ca="1">SUMIF(Table1[Band '#],A32,'-B1-'!$H$11:$H$21)</f>
        <v>442601</v>
      </c>
      <c r="D32" s="910"/>
      <c r="E32" s="910"/>
      <c r="F32" s="397">
        <f ca="1">SUMIF(Table4[Band '#],A32,'-B4-'!$H$11:$H$21)</f>
        <v>22152</v>
      </c>
      <c r="G32" s="397">
        <f ca="1">SUMIF(Table5[Band '#],A32,'-B5-'!$H$11:$H$21)</f>
        <v>23146</v>
      </c>
      <c r="H32" s="397">
        <f ca="1">SUMIF(Table6[Band '#],A32,'-B6-'!$H$11:$H$21)</f>
        <v>27832</v>
      </c>
      <c r="I32" s="397">
        <f>SUMIF('-B7-'!$A$11:$A$22,'FNSS Summary Breakdown'!A32,'-B7-'!$J$11:$J$22)</f>
        <v>309169</v>
      </c>
      <c r="J32" s="397">
        <f ca="1">SUMIF(Table8[Band '#],A32,'-B8-'!$H$11:$H$21)</f>
        <v>74408</v>
      </c>
      <c r="K32" s="397">
        <f ca="1">SUMIF(Table9[Band '#],A32,'-B9-'!$I$11:$I$21)</f>
        <v>8946</v>
      </c>
      <c r="L32" s="910"/>
      <c r="M32" s="397">
        <f ca="1">SUMIF(Table11[Band '#],A32,'-B11-'!$L$25:$L$35)</f>
        <v>199109</v>
      </c>
      <c r="N32" s="397">
        <f t="shared" ca="1" si="3"/>
        <v>1107363</v>
      </c>
      <c r="O32" s="910"/>
      <c r="P32" s="397">
        <f>SUMIF(Table13[Band '#],A32,'-C3-'!$K$30:$K$41)</f>
        <v>48206</v>
      </c>
      <c r="Q32" s="910"/>
      <c r="R32" s="397">
        <f>SUMIF(Table15[Band '#],A32,'-C5-'!$K$11:$K$22)</f>
        <v>53</v>
      </c>
      <c r="S32" s="397">
        <f>SUMIF(Table16[Band '#],A32,'-C6-'!$I$11:$I$22)</f>
        <v>76480</v>
      </c>
      <c r="T32" s="910"/>
      <c r="U32" s="910"/>
      <c r="V32" s="397">
        <f>SUMIF(Table22[Band '#],A32,'-C9-'!$V$11:$V$22)</f>
        <v>10126</v>
      </c>
      <c r="W32" s="910"/>
      <c r="X32" s="397">
        <f>SUMIF(Table24[Band '#],A32,'-C11-'!$J$11:$J$22)</f>
        <v>40328</v>
      </c>
      <c r="Y32" s="397">
        <f>SUMIF(Table25[Band '#],A32,'-C12-'!$K$11:$K$22)</f>
        <v>27122</v>
      </c>
      <c r="Z32" s="910"/>
      <c r="AA32" s="397">
        <f t="shared" si="5"/>
        <v>202315</v>
      </c>
      <c r="AB32" s="910"/>
      <c r="AC32" s="910"/>
      <c r="AD32" s="910"/>
      <c r="AE32" s="910"/>
      <c r="AF32" s="730">
        <f>SUMIF(Table151[Band '#],A32,Table151[TOTAL TAX BASE])</f>
        <v>381547</v>
      </c>
      <c r="AG32" s="730">
        <f>SUMIF(Table15152[Band '#],A32,Table15152[TOTAL TAX BASE])</f>
        <v>73840</v>
      </c>
      <c r="AH32" s="730"/>
      <c r="AJ32" s="397">
        <f t="shared" ca="1" si="6"/>
        <v>1765065</v>
      </c>
      <c r="AM32" s="910"/>
      <c r="AN32" s="910"/>
      <c r="AO32" s="910"/>
      <c r="AP32" s="910"/>
      <c r="AQ32" s="910"/>
      <c r="AR32" s="397">
        <f t="shared" ca="1" si="4"/>
        <v>1765065</v>
      </c>
      <c r="AS32" s="139"/>
      <c r="AT32" s="139"/>
      <c r="AU32" s="139"/>
      <c r="AV32" s="139"/>
      <c r="AW32" s="139"/>
      <c r="AX32" s="139"/>
    </row>
    <row r="33" spans="1:50">
      <c r="A33">
        <f>A21</f>
        <v>305</v>
      </c>
      <c r="B33" t="str">
        <f>B21</f>
        <v>Fox Lake</v>
      </c>
      <c r="C33" s="397">
        <f ca="1">SUMIF(Table1[Band '#],A33,'-B1-'!$H$11:$H$21)</f>
        <v>84157</v>
      </c>
      <c r="D33" s="910"/>
      <c r="E33" s="910"/>
      <c r="F33" s="397">
        <f ca="1">SUMIF(Table4[Band '#],A33,'-B4-'!$H$11:$H$21)</f>
        <v>4212</v>
      </c>
      <c r="G33" s="397">
        <f ca="1">SUMIF(Table5[Band '#],A33,'-B5-'!$H$11:$H$21)</f>
        <v>4401</v>
      </c>
      <c r="H33" s="397">
        <f ca="1">SUMIF(Table6[Band '#],A33,'-B6-'!$H$11:$H$21)</f>
        <v>5292</v>
      </c>
      <c r="I33" s="397">
        <f>SUMIF('-B7-'!$A$11:$A$22,'FNSS Summary Breakdown'!A33,'-B7-'!$J$11:$J$22)</f>
        <v>58786</v>
      </c>
      <c r="J33" s="397">
        <f ca="1">SUMIF(Table8[Band '#],A33,'-B8-'!$H$11:$H$21)</f>
        <v>14148</v>
      </c>
      <c r="K33" s="397">
        <f ca="1">SUMIF(Table9[Band '#],A33,'-B9-'!$I$11:$I$21)</f>
        <v>1701</v>
      </c>
      <c r="L33" s="910"/>
      <c r="M33" s="397">
        <f ca="1">SUMIF(Table11[Band '#],A33,'-B11-'!$L$25:$L$35)</f>
        <v>106755</v>
      </c>
      <c r="N33" s="397">
        <f t="shared" ca="1" si="3"/>
        <v>279452</v>
      </c>
      <c r="O33" s="910"/>
      <c r="P33" s="397">
        <f>SUMIF(Table13[Band '#],A33,'-C3-'!$K$30:$K$41)</f>
        <v>9166</v>
      </c>
      <c r="Q33" s="910"/>
      <c r="R33" s="397">
        <f>SUMIF(Table15[Band '#],A33,'-C5-'!$K$11:$K$22)</f>
        <v>15</v>
      </c>
      <c r="S33" s="397">
        <f>SUMIF(Table16[Band '#],A33,'-C6-'!$I$11:$I$22)</f>
        <v>14542</v>
      </c>
      <c r="T33" s="910"/>
      <c r="U33" s="910"/>
      <c r="V33" s="397">
        <f>SUMIF(Table22[Band '#],A33,'-C9-'!$V$11:$V$22)</f>
        <v>4518</v>
      </c>
      <c r="W33" s="910"/>
      <c r="X33" s="397">
        <f>SUMIF(Table24[Band '#],A33,'-C11-'!$J$11:$J$22)</f>
        <v>4752</v>
      </c>
      <c r="Y33" s="397">
        <f>SUMIF(Table25[Band '#],A33,'-C12-'!$K$11:$K$22)</f>
        <v>5157</v>
      </c>
      <c r="Z33" s="910"/>
      <c r="AA33" s="397">
        <f>SUM(O33:Z33)</f>
        <v>38150</v>
      </c>
      <c r="AB33" s="910"/>
      <c r="AC33" s="910"/>
      <c r="AD33" s="910"/>
      <c r="AE33" s="910"/>
      <c r="AF33" s="730">
        <f>SUMIF(Table151[Band '#],A33,Table151[TOTAL TAX BASE])</f>
        <v>72548</v>
      </c>
      <c r="AG33" s="730">
        <f>SUMIF(Table15152[Band '#],A33,Table15152[TOTAL TAX BASE])</f>
        <v>14040</v>
      </c>
      <c r="AH33" s="730"/>
      <c r="AJ33" s="397">
        <f t="shared" ca="1" si="6"/>
        <v>404190</v>
      </c>
      <c r="AM33" s="910"/>
      <c r="AN33" s="910"/>
      <c r="AO33" s="910"/>
      <c r="AP33" s="910"/>
      <c r="AQ33" s="910"/>
      <c r="AR33" s="397">
        <f t="shared" ca="1" si="4"/>
        <v>404190</v>
      </c>
      <c r="AS33" s="139"/>
      <c r="AT33" s="139"/>
      <c r="AU33" s="139"/>
      <c r="AV33" s="139"/>
      <c r="AW33" s="139"/>
      <c r="AX33" s="139"/>
    </row>
    <row r="34" spans="1:50" s="121" customFormat="1">
      <c r="A34" s="1451" t="s">
        <v>321</v>
      </c>
      <c r="B34" s="1451"/>
      <c r="C34" s="1452">
        <f ca="1">SUM(C23:C33)</f>
        <v>6314860</v>
      </c>
      <c r="D34" s="1452">
        <f t="shared" ref="D34:N34" si="7">SUM(D23:D33)</f>
        <v>0</v>
      </c>
      <c r="E34" s="1452">
        <f t="shared" si="7"/>
        <v>0</v>
      </c>
      <c r="F34" s="1452">
        <f t="shared" ca="1" si="7"/>
        <v>316056</v>
      </c>
      <c r="G34" s="1452">
        <f t="shared" ca="1" si="7"/>
        <v>330238</v>
      </c>
      <c r="H34" s="1452">
        <f t="shared" ca="1" si="7"/>
        <v>397096</v>
      </c>
      <c r="I34" s="1452">
        <f t="shared" si="7"/>
        <v>3919223</v>
      </c>
      <c r="J34" s="1452">
        <f t="shared" ca="1" si="7"/>
        <v>1061624</v>
      </c>
      <c r="K34" s="1452">
        <f t="shared" ca="1" si="7"/>
        <v>117030</v>
      </c>
      <c r="L34" s="1452">
        <f t="shared" si="7"/>
        <v>0</v>
      </c>
      <c r="M34" s="1452">
        <f t="shared" ca="1" si="7"/>
        <v>1407455</v>
      </c>
      <c r="N34" s="1452">
        <f t="shared" ca="1" si="7"/>
        <v>13863582</v>
      </c>
      <c r="O34" s="1452">
        <f t="shared" ref="O34:AV34" si="8">SUM(O23:O33)</f>
        <v>0</v>
      </c>
      <c r="P34" s="1452">
        <f t="shared" si="8"/>
        <v>611084</v>
      </c>
      <c r="Q34" s="1452">
        <f t="shared" si="8"/>
        <v>0</v>
      </c>
      <c r="R34" s="1452">
        <f t="shared" si="8"/>
        <v>853</v>
      </c>
      <c r="S34" s="1452">
        <f t="shared" si="8"/>
        <v>1091184</v>
      </c>
      <c r="T34" s="1452">
        <f t="shared" si="8"/>
        <v>0</v>
      </c>
      <c r="U34" s="1452">
        <f t="shared" si="8"/>
        <v>0</v>
      </c>
      <c r="V34" s="1452">
        <f t="shared" si="8"/>
        <v>87010</v>
      </c>
      <c r="W34" s="1452">
        <f t="shared" si="8"/>
        <v>0</v>
      </c>
      <c r="X34" s="1452">
        <f t="shared" si="8"/>
        <v>79224</v>
      </c>
      <c r="Y34" s="1452">
        <f t="shared" si="8"/>
        <v>386966</v>
      </c>
      <c r="Z34" s="1452">
        <f t="shared" si="8"/>
        <v>0</v>
      </c>
      <c r="AA34" s="1452">
        <f t="shared" si="8"/>
        <v>2256321</v>
      </c>
      <c r="AB34" s="1452">
        <f t="shared" si="8"/>
        <v>0</v>
      </c>
      <c r="AC34" s="1452">
        <f t="shared" si="8"/>
        <v>0</v>
      </c>
      <c r="AD34" s="1452">
        <f t="shared" si="8"/>
        <v>0</v>
      </c>
      <c r="AE34" s="1452">
        <f t="shared" si="8"/>
        <v>0</v>
      </c>
      <c r="AF34" s="1452">
        <f t="shared" si="8"/>
        <v>5443761</v>
      </c>
      <c r="AG34" s="1452">
        <f t="shared" si="8"/>
        <v>1053520</v>
      </c>
      <c r="AH34" s="1452"/>
      <c r="AI34" s="1452"/>
      <c r="AJ34" s="1452">
        <f ca="1">SUM(AJ23:AJ33)</f>
        <v>22617184</v>
      </c>
      <c r="AK34" s="1452"/>
      <c r="AL34" s="1452"/>
      <c r="AM34" s="1452">
        <f t="shared" si="8"/>
        <v>0</v>
      </c>
      <c r="AN34" s="1452"/>
      <c r="AO34" s="1452"/>
      <c r="AP34" s="1452">
        <f t="shared" si="8"/>
        <v>0</v>
      </c>
      <c r="AQ34" s="1452">
        <f t="shared" si="8"/>
        <v>0</v>
      </c>
      <c r="AR34" s="1452">
        <f ca="1">SUM(AR23:AR33)</f>
        <v>22617184</v>
      </c>
      <c r="AS34" s="1453"/>
      <c r="AT34" s="1453">
        <f t="shared" si="8"/>
        <v>0</v>
      </c>
      <c r="AU34" s="1453">
        <f t="shared" si="8"/>
        <v>0</v>
      </c>
      <c r="AV34" s="1453">
        <f t="shared" si="8"/>
        <v>0</v>
      </c>
      <c r="AW34" s="217"/>
      <c r="AX34" s="217"/>
    </row>
    <row r="36" spans="1:50" s="320" customFormat="1">
      <c r="A36" s="782" t="s">
        <v>322</v>
      </c>
      <c r="B36" s="1454"/>
      <c r="C36" s="1455">
        <f ca="1">Table31[[#Totals],[1. Instructional Support]]+C34</f>
        <v>10218962</v>
      </c>
      <c r="D36" s="1455">
        <f>Table31[[#Totals],[2. Additional Instructional Support for Small Schools]]+D34</f>
        <v>83687</v>
      </c>
      <c r="E36" s="1455">
        <f>Table31[[#Totals],[3. Sparsity Support]]+E34</f>
        <v>648911</v>
      </c>
      <c r="F36" s="1455">
        <f ca="1">Table31[[#Totals],[4. Curricular Materials]]+F34</f>
        <v>437616</v>
      </c>
      <c r="G36" s="1455">
        <f ca="1">Table31[[#Totals],[5. Information Technology]]+G34</f>
        <v>455850</v>
      </c>
      <c r="H36" s="1455">
        <f ca="1">Table31[[#Totals],[6. Library Services]]+H34</f>
        <v>583488</v>
      </c>
      <c r="I36" s="1455">
        <f>Table31[[#Totals],[7. Student Services Grant ]]+I34</f>
        <v>5939306</v>
      </c>
      <c r="J36" s="1455">
        <f ca="1">Table31[[#Totals],[8. Counselling and Guidance ]]+J34</f>
        <v>1229782</v>
      </c>
      <c r="K36" s="1455">
        <f ca="1">Table31[[#Totals],[9. Professional Development]]+K34</f>
        <v>209748</v>
      </c>
      <c r="L36" s="1455">
        <f>Table31[[#Totals],[10. Physical Education]]+L34</f>
        <v>25125</v>
      </c>
      <c r="M36" s="1455">
        <f ca="1">Table31[[#Totals],[11. Occupancy]]+M34</f>
        <v>2234800</v>
      </c>
      <c r="N36" s="1455">
        <f ca="1">Table31[[#Totals],[BASE SUPPORT SUBTOTAL]]+N34</f>
        <v>22067275</v>
      </c>
      <c r="O36" s="1455">
        <f>Table31[[#Totals],[2. Board and Room]]+O34</f>
        <v>0</v>
      </c>
      <c r="P36" s="1455">
        <f>Table31[[#Totals],[3. Special Needs]]+P34</f>
        <v>2253941</v>
      </c>
      <c r="Q36" s="1455">
        <f>Table31[[#Totals],[4. Senior Years Technology Education]]+Q34</f>
        <v>60748</v>
      </c>
      <c r="R36" s="1455">
        <f>Table31[[#Totals],[5. English as an Additional Language]]+R34</f>
        <v>3626</v>
      </c>
      <c r="S36" s="1455">
        <f>Table31[[#Totals],[6. Aboriginal Academic Achievement]]+S34</f>
        <v>2047456</v>
      </c>
      <c r="T36" s="1455">
        <f>Table31[[#Totals],[7. Aboriginal Languages]]+T34</f>
        <v>3288036</v>
      </c>
      <c r="U36" s="1455">
        <f>Table31[[#Totals],[8. French Langauge Education]]+U34</f>
        <v>12399</v>
      </c>
      <c r="V36" s="1455">
        <f>Table31[[#Totals],[9. Small Schools]]+V34</f>
        <v>219729</v>
      </c>
      <c r="W36" s="1455">
        <f>Table31[[#Totals],[10. Enrolment Change Support]]+W34</f>
        <v>541258</v>
      </c>
      <c r="X36" s="1455">
        <f>Table31[[#Totals],[11. Northern Allowance]]+X34</f>
        <v>322434</v>
      </c>
      <c r="Y36" s="1455">
        <f>Table31[[#Totals],[12. Literacy and Numeracy]]+Y34</f>
        <v>619038</v>
      </c>
      <c r="Z36" s="1455">
        <f>Table31[[#Totals],[13. Education for Sustainable Development]]+Z34</f>
        <v>8400</v>
      </c>
      <c r="AA36" s="1455">
        <f>Table31[[#Totals],[CATEGORICAL SUPPORT SUBTOTAL]]+AA34</f>
        <v>9377065</v>
      </c>
      <c r="AB36" s="1455">
        <f>Table31[[#Totals],[Minor Capital]]+AB34</f>
        <v>87773</v>
      </c>
      <c r="AC36" s="1455">
        <f>Table31[[#Totals],[Property Tax]]+AC34</f>
        <v>0</v>
      </c>
      <c r="AD36" s="1455">
        <f>Table31[[#Totals],[Other Revenue]]+AD34</f>
        <v>0</v>
      </c>
      <c r="AE36" s="1455">
        <f>Table31[[#Totals],[Pensions]]+AE34</f>
        <v>1874543</v>
      </c>
      <c r="AF36" s="1455">
        <f>Table31[[#Totals],[Second Level Services]]+AF34</f>
        <v>5443761</v>
      </c>
      <c r="AG36" s="1455">
        <f>Table31[[#Totals],[School Administration]]+AG34</f>
        <v>1053520</v>
      </c>
      <c r="AH36" s="1455"/>
      <c r="AI36" s="1455">
        <f>Table31[[#Totals],[FN Student Supports]]+AI34</f>
        <v>0</v>
      </c>
      <c r="AJ36" s="1455">
        <f ca="1">Table31[[#Totals],[1. FN SCHOOLS (Excludes Transportation)]]+AJ34</f>
        <v>39903937</v>
      </c>
      <c r="AK36" s="1455">
        <f>AK34+Table31[[#Totals],[Tuition Administration Support]]</f>
        <v>363559</v>
      </c>
      <c r="AL36" s="1455">
        <f>AL34+Table31[[#Totals],[Supports for Tuition Students]]</f>
        <v>176356.22</v>
      </c>
      <c r="AM36" s="1455">
        <f>AM34+Table31[[#Totals],[2. TUITION (Excludes Transportation)]]</f>
        <v>5034946</v>
      </c>
      <c r="AN36" s="1455"/>
      <c r="AO36" s="1455"/>
      <c r="AP36" s="1455">
        <f>AP34+Table31[[#Totals],[3. TRANSPORTATION]]</f>
        <v>3055003</v>
      </c>
      <c r="AQ36" s="1455">
        <f>AQ34+Table31[[#Totals],[4. PHP/STUDENT ACCOMMODATION]]</f>
        <v>1551990</v>
      </c>
      <c r="AR36" s="1455">
        <f ca="1">Table31[[#Totals],[GRAND TOTAL]]+AR34</f>
        <v>50085791.219999999</v>
      </c>
      <c r="AS36" s="1454"/>
      <c r="AT36" s="1454"/>
      <c r="AU36" s="1454"/>
      <c r="AV36" s="1454"/>
    </row>
    <row r="38" spans="1:50">
      <c r="A38" t="s">
        <v>322</v>
      </c>
      <c r="C38" s="397">
        <v>9520380</v>
      </c>
      <c r="D38" s="397">
        <v>57638</v>
      </c>
      <c r="E38" s="397">
        <v>668698</v>
      </c>
      <c r="F38" s="397">
        <v>407700</v>
      </c>
      <c r="G38" s="397">
        <v>424688</v>
      </c>
      <c r="H38" s="397">
        <v>543600</v>
      </c>
      <c r="I38" s="397">
        <v>5227303</v>
      </c>
      <c r="J38" s="397">
        <v>1145713</v>
      </c>
      <c r="K38" s="397">
        <v>194896</v>
      </c>
      <c r="L38" s="397">
        <v>26000</v>
      </c>
      <c r="M38" s="397">
        <v>2476256</v>
      </c>
      <c r="N38" s="397">
        <v>20692872</v>
      </c>
      <c r="O38" s="397">
        <v>0</v>
      </c>
      <c r="P38" s="397">
        <v>1948371</v>
      </c>
      <c r="Q38" s="397">
        <v>60469</v>
      </c>
      <c r="R38" s="397">
        <v>4275</v>
      </c>
      <c r="S38" s="397">
        <v>1550468</v>
      </c>
      <c r="T38" s="397">
        <v>2919963</v>
      </c>
      <c r="U38" s="397">
        <v>11480</v>
      </c>
      <c r="V38" s="397">
        <v>228084</v>
      </c>
      <c r="W38" s="397">
        <v>1036908</v>
      </c>
      <c r="X38" s="397">
        <v>302427</v>
      </c>
      <c r="Y38" s="397">
        <v>581505</v>
      </c>
      <c r="Z38" s="397">
        <v>8400</v>
      </c>
      <c r="AA38" s="397">
        <v>8652350</v>
      </c>
      <c r="AB38" s="397">
        <v>81950</v>
      </c>
      <c r="AC38" s="397">
        <v>0</v>
      </c>
      <c r="AD38" s="397">
        <v>0</v>
      </c>
      <c r="AE38" s="397">
        <v>1767705</v>
      </c>
      <c r="AF38" s="397">
        <v>4212900</v>
      </c>
      <c r="AG38" s="397">
        <v>981500</v>
      </c>
      <c r="AI38" s="397">
        <v>0</v>
      </c>
      <c r="AJ38" s="397">
        <v>36389277</v>
      </c>
      <c r="AK38" s="397">
        <v>406487</v>
      </c>
      <c r="AL38" s="397">
        <v>199692</v>
      </c>
      <c r="AM38" s="397">
        <v>5934619</v>
      </c>
      <c r="AP38" s="397">
        <v>3113504</v>
      </c>
      <c r="AQ38" s="397">
        <v>1560826</v>
      </c>
      <c r="AR38" s="397">
        <v>47604405</v>
      </c>
    </row>
  </sheetData>
  <mergeCells count="1">
    <mergeCell ref="AH6:AI9"/>
  </mergeCells>
  <hyperlinks>
    <hyperlink ref="C10" location="'-B1-'!A1" display="1. Instructional Support" xr:uid="{00000000-0004-0000-0900-000000000000}"/>
    <hyperlink ref="D10" location="'-B2-'!A1" display="2. Additional Instructional Support for Small Schools" xr:uid="{00000000-0004-0000-0900-000001000000}"/>
    <hyperlink ref="E10" location="'-B3-'!A1" display="3. Sparsity Support" xr:uid="{00000000-0004-0000-0900-000002000000}"/>
    <hyperlink ref="F10" location="'-B4-'!A1" display="4. Curricular Materials" xr:uid="{00000000-0004-0000-0900-000003000000}"/>
    <hyperlink ref="G10" location="'-B5-'!A1" display="5. Information Technology" xr:uid="{00000000-0004-0000-0900-000004000000}"/>
    <hyperlink ref="H10" location="'-B6-'!A1" display="6. Library Services" xr:uid="{00000000-0004-0000-0900-000005000000}"/>
    <hyperlink ref="I10" location="'-B7-'!A1" display="7. Student Services Grant " xr:uid="{00000000-0004-0000-0900-000006000000}"/>
    <hyperlink ref="J10" location="'-B8-'!A1" display="8. Counselling and Guidance " xr:uid="{00000000-0004-0000-0900-000007000000}"/>
    <hyperlink ref="K10" location="'-B9-'!A1" display="9. Professional Development" xr:uid="{00000000-0004-0000-0900-000008000000}"/>
    <hyperlink ref="L10" location="'-B10-'!A1" display="10. Physical Education" xr:uid="{00000000-0004-0000-0900-000009000000}"/>
    <hyperlink ref="M10" location="'-B11-'!A1" display="11. Occupancy" xr:uid="{00000000-0004-0000-0900-00000A000000}"/>
    <hyperlink ref="O10" location="'-C2-'!A1" display="2. Board and Room" xr:uid="{00000000-0004-0000-0900-00000B000000}"/>
    <hyperlink ref="P10" location="'-C3-'!A1" display="3. Special Needs" xr:uid="{00000000-0004-0000-0900-00000C000000}"/>
    <hyperlink ref="Q10" location="'-C4-'!A1" display="4. Senior Years Technology Education" xr:uid="{00000000-0004-0000-0900-00000D000000}"/>
    <hyperlink ref="R10" location="'-C5-'!A1" display="5. English as an Additional Language" xr:uid="{00000000-0004-0000-0900-00000E000000}"/>
    <hyperlink ref="S10" location="'-B6-'!A1" display="6. Aboriginal Academic Achievement" xr:uid="{00000000-0004-0000-0900-00000F000000}"/>
    <hyperlink ref="T10" location="'-C7-'!A1" display="7. Aboriginal Languages" xr:uid="{00000000-0004-0000-0900-000010000000}"/>
    <hyperlink ref="U10" location="'-C8-'!A1" display="8. French Langauge Instruction" xr:uid="{00000000-0004-0000-0900-000011000000}"/>
    <hyperlink ref="V10" location="'-C9-'!A1" display="9. Small Schools" xr:uid="{00000000-0004-0000-0900-000012000000}"/>
    <hyperlink ref="X10" location="'-C11-'!A1" display="11. Northern Allowance" xr:uid="{00000000-0004-0000-0900-000013000000}"/>
    <hyperlink ref="W10" location="'-C10-'!A1" display="10. Enrolment Change Support" xr:uid="{00000000-0004-0000-0900-000014000000}"/>
    <hyperlink ref="Y10" location="'-C12-'!A1" display="12. Literacy and Numeracy" xr:uid="{00000000-0004-0000-0900-000015000000}"/>
    <hyperlink ref="Z10" location="'-C13-'!A1" display="13. Education for Sustainable Development" xr:uid="{00000000-0004-0000-0900-000016000000}"/>
    <hyperlink ref="AB10" location="'Minor Capital'!A1" display="Minor Capital" xr:uid="{00000000-0004-0000-0900-000017000000}"/>
    <hyperlink ref="AC10" location="'Property Tax'!A1" display="Property Tax" xr:uid="{00000000-0004-0000-0900-000018000000}"/>
    <hyperlink ref="AD10" location="'Other Revenue'!A1" display="Other Revenue" xr:uid="{00000000-0004-0000-0900-000019000000}"/>
    <hyperlink ref="AE10" location="Pensions!A1" display="Pensions" xr:uid="{00000000-0004-0000-0900-00001A000000}"/>
    <hyperlink ref="AQ10" location="'4. Student Accommodation'!A1" display="4. PHP/STUDENT ACCOMMODATION" xr:uid="{00000000-0004-0000-0900-00001B000000}"/>
    <hyperlink ref="AP10" location="'3. Transportation Summary'!A1" display="3. TRANSPORTATION" xr:uid="{00000000-0004-0000-0900-00001C000000}"/>
    <hyperlink ref="AM10" location="'2. Tuition'!A1" display="2. TUITION (Excludes Transportation)" xr:uid="{00000000-0004-0000-0900-00001D000000}"/>
  </hyperlinks>
  <pageMargins left="0.7" right="0.7" top="0.75" bottom="0.75" header="0.3" footer="0.3"/>
  <pageSetup paperSize="5" scale="95" fitToWidth="0" orientation="landscape" r:id="rId1"/>
  <headerFooter>
    <oddFooter>&amp;L&amp;"Times New Roman"&amp;8NCR#10930598 - v2_x000D_
GCDOCS # 87170005</oddFooter>
  </headerFooter>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A2:J28"/>
  <sheetViews>
    <sheetView workbookViewId="0">
      <selection activeCell="F11" sqref="F11:F23"/>
    </sheetView>
  </sheetViews>
  <sheetFormatPr baseColWidth="10" defaultColWidth="9" defaultRowHeight="14"/>
  <cols>
    <col min="1" max="1" width="7.796875" customWidth="1"/>
    <col min="2" max="2" width="17.796875" customWidth="1"/>
    <col min="3" max="3" width="11.59765625" customWidth="1"/>
    <col min="4" max="4" width="32.796875" customWidth="1"/>
    <col min="5" max="5" width="11.796875" customWidth="1"/>
    <col min="6" max="6" width="18" customWidth="1"/>
    <col min="7" max="7" width="11.59765625" customWidth="1"/>
    <col min="8" max="8" width="16" customWidth="1"/>
    <col min="9" max="9" width="16.19921875" customWidth="1"/>
    <col min="10" max="10" width="24.3984375" customWidth="1"/>
    <col min="11" max="11" width="22.796875" customWidth="1"/>
  </cols>
  <sheetData>
    <row r="2" spans="1:10">
      <c r="A2" t="s">
        <v>323</v>
      </c>
    </row>
    <row r="3" spans="1:10" ht="19">
      <c r="A3" s="33" t="s">
        <v>324</v>
      </c>
      <c r="H3" s="33" t="s">
        <v>325</v>
      </c>
    </row>
    <row r="4" spans="1:10">
      <c r="A4" s="1637" t="s">
        <v>326</v>
      </c>
      <c r="B4" s="1638"/>
      <c r="C4" s="1638"/>
      <c r="D4" s="1638"/>
      <c r="E4" s="1639"/>
    </row>
    <row r="5" spans="1:10">
      <c r="A5" s="1640" t="s">
        <v>327</v>
      </c>
      <c r="B5" s="1641"/>
      <c r="C5" s="1641"/>
      <c r="D5" s="1641"/>
      <c r="E5" s="1642"/>
    </row>
    <row r="7" spans="1:10">
      <c r="A7" s="1195" t="s">
        <v>328</v>
      </c>
      <c r="B7" s="1196">
        <v>1927</v>
      </c>
      <c r="H7" s="1195" t="s">
        <v>328</v>
      </c>
      <c r="I7" s="1196">
        <f>2859+257.91</f>
        <v>3116.91</v>
      </c>
    </row>
    <row r="8" spans="1:10" ht="15">
      <c r="A8" s="585" t="s">
        <v>329</v>
      </c>
    </row>
    <row r="9" spans="1:10" ht="15">
      <c r="A9" s="2"/>
      <c r="B9" s="2"/>
      <c r="C9" s="2"/>
      <c r="D9" s="2"/>
    </row>
    <row r="10" spans="1:10" ht="41.25" customHeight="1">
      <c r="A10" s="109" t="s">
        <v>285</v>
      </c>
      <c r="B10" s="109" t="s">
        <v>286</v>
      </c>
      <c r="C10" s="109" t="s">
        <v>330</v>
      </c>
      <c r="D10" s="109" t="s">
        <v>331</v>
      </c>
      <c r="E10" s="110" t="s">
        <v>332</v>
      </c>
      <c r="F10" s="703" t="s">
        <v>322</v>
      </c>
      <c r="G10" s="112" t="s">
        <v>458</v>
      </c>
      <c r="H10" s="1456" t="s">
        <v>333</v>
      </c>
      <c r="J10" s="1457" t="s">
        <v>334</v>
      </c>
    </row>
    <row r="11" spans="1:10">
      <c r="A11" s="76">
        <f>'A. 20-21 FN Schools Data'!A7</f>
        <v>272</v>
      </c>
      <c r="B11" s="164" t="str">
        <f>'A. 20-21 FN Schools Data'!B7</f>
        <v>Pinaymootang</v>
      </c>
      <c r="C11" s="76">
        <f>'A. 20-21 FN Schools Data'!C7</f>
        <v>1140</v>
      </c>
      <c r="D11" t="str">
        <f>'A. 20-21 FN Schools Data'!D7</f>
        <v>Pinaymootang School</v>
      </c>
      <c r="E11" s="1">
        <f>INDEX(TableAFNSchools[Total Funded FTE],MATCH(Table1[[#This Row],[School '#]],TableAFNSchools[School No.],0))</f>
        <v>435</v>
      </c>
      <c r="F11" s="704">
        <f>ROUND(Table1[[#This Row],[Eligible FTE]]*FundingRate_InstrSupp,0)</f>
        <v>838245</v>
      </c>
      <c r="G11" s="19">
        <f>Table1[[#This Row],[TOTAL]]/Table1[[#This Row],[Eligible FTE]]</f>
        <v>1927</v>
      </c>
      <c r="H11" s="706">
        <f>ROUND(Table1[[#This Row],[Eligible FTE]]*$I$7,0)</f>
        <v>1355856</v>
      </c>
      <c r="J11" s="707">
        <f>H11+Table1[[#This Row],[TOTAL]]</f>
        <v>2194101</v>
      </c>
    </row>
    <row r="12" spans="1:10">
      <c r="A12" s="76">
        <f>'A. 20-21 FN Schools Data'!A8</f>
        <v>275</v>
      </c>
      <c r="B12" s="164" t="str">
        <f>'A. 20-21 FN Schools Data'!B8</f>
        <v>Lake St. Martin</v>
      </c>
      <c r="C12" s="76">
        <f>'A. 20-21 FN Schools Data'!C8</f>
        <v>1144</v>
      </c>
      <c r="D12" t="str">
        <f>'A. 20-21 FN Schools Data'!D8</f>
        <v>Lake St. Martin School</v>
      </c>
      <c r="E12" s="80">
        <f>INDEX(TableAFNSchools[Total Funded FTE],MATCH(Table1[[#This Row],[School '#]],TableAFNSchools[School No.],0))</f>
        <v>398</v>
      </c>
      <c r="F12" s="705">
        <f>ROUND(Table1[[#This Row],[Eligible FTE]]*FundingRate_InstrSupp,0)</f>
        <v>766946</v>
      </c>
      <c r="G12" s="19">
        <f>Table1[[#This Row],[TOTAL]]/Table1[[#This Row],[Eligible FTE]]</f>
        <v>1927</v>
      </c>
      <c r="H12" s="706">
        <f>ROUND(Table1[[#This Row],[Eligible FTE]]*$I$7,0)</f>
        <v>1240530</v>
      </c>
      <c r="J12" s="707">
        <f>H12+Table1[[#This Row],[TOTAL]]</f>
        <v>2007476</v>
      </c>
    </row>
    <row r="13" spans="1:10">
      <c r="A13" s="76">
        <f>'A. 20-21 FN Schools Data'!A9</f>
        <v>267</v>
      </c>
      <c r="B13" s="164" t="str">
        <f>'A. 20-21 FN Schools Data'!B9</f>
        <v>Bloodvein</v>
      </c>
      <c r="C13" s="76">
        <f>'A. 20-21 FN Schools Data'!C9</f>
        <v>1148</v>
      </c>
      <c r="D13" t="str">
        <f>'A. 20-21 FN Schools Data'!D9</f>
        <v>Miskooseepi School</v>
      </c>
      <c r="E13" s="1">
        <f>INDEX(TableAFNSchools[Total Funded FTE],MATCH(Table1[[#This Row],[School '#]],TableAFNSchools[School No.],0))</f>
        <v>194</v>
      </c>
      <c r="F13" s="704">
        <f>ROUND(Table1[[#This Row],[Eligible FTE]]*FundingRate_InstrSupp,0)</f>
        <v>373838</v>
      </c>
      <c r="G13" s="19">
        <f>Table1[[#This Row],[TOTAL]]/Table1[[#This Row],[Eligible FTE]]</f>
        <v>1927</v>
      </c>
      <c r="H13" s="706">
        <f>ROUND(Table1[[#This Row],[Eligible FTE]]*$I$7,0)</f>
        <v>604681</v>
      </c>
      <c r="J13" s="707">
        <f>H13+Table1[[#This Row],[TOTAL]]</f>
        <v>978519</v>
      </c>
    </row>
    <row r="14" spans="1:10">
      <c r="A14" s="76">
        <f>'A. 20-21 FN Schools Data'!A10</f>
        <v>304</v>
      </c>
      <c r="B14" s="164" t="str">
        <f>'A. 20-21 FN Schools Data'!B10</f>
        <v>York Factory</v>
      </c>
      <c r="C14" s="76">
        <f>'A. 20-21 FN Schools Data'!C10</f>
        <v>1166</v>
      </c>
      <c r="D14" t="str">
        <f>'A. 20-21 FN Schools Data'!D10</f>
        <v>George Saunders Memorial School</v>
      </c>
      <c r="E14" s="1">
        <f>INDEX(TableAFNSchools[Total Funded FTE],MATCH(Table1[[#This Row],[School '#]],TableAFNSchools[School No.],0))</f>
        <v>142</v>
      </c>
      <c r="F14" s="704">
        <f>ROUND(Table1[[#This Row],[Eligible FTE]]*FundingRate_InstrSupp,0)</f>
        <v>273634</v>
      </c>
      <c r="G14" s="19">
        <f>Table1[[#This Row],[TOTAL]]/Table1[[#This Row],[Eligible FTE]]</f>
        <v>1927</v>
      </c>
      <c r="H14" s="706">
        <f>ROUND(Table1[[#This Row],[Eligible FTE]]*$I$7,0)</f>
        <v>442601</v>
      </c>
      <c r="J14" s="707">
        <f>H14+Table1[[#This Row],[TOTAL]]</f>
        <v>716235</v>
      </c>
    </row>
    <row r="15" spans="1:10">
      <c r="A15" s="76">
        <f>'A. 20-21 FN Schools Data'!A11</f>
        <v>271</v>
      </c>
      <c r="B15" s="164" t="str">
        <f>'A. 20-21 FN Schools Data'!B11</f>
        <v>Lake Manitoba</v>
      </c>
      <c r="C15" s="76">
        <f>'A. 20-21 FN Schools Data'!C11</f>
        <v>1345</v>
      </c>
      <c r="D15" t="str">
        <f>'A. 20-21 FN Schools Data'!D11</f>
        <v>Lake Manitoba School</v>
      </c>
      <c r="E15" s="1">
        <f>INDEX(TableAFNSchools[Total Funded FTE],MATCH(Table1[[#This Row],[School '#]],TableAFNSchools[School No.],0))</f>
        <v>303</v>
      </c>
      <c r="F15" s="704">
        <f>ROUND(Table1[[#This Row],[Eligible FTE]]*FundingRate_InstrSupp,0)</f>
        <v>583881</v>
      </c>
      <c r="G15" s="19">
        <f>Table1[[#This Row],[TOTAL]]/Table1[[#This Row],[Eligible FTE]]</f>
        <v>1927</v>
      </c>
      <c r="H15" s="706">
        <f>ROUND(Table1[[#This Row],[Eligible FTE]]*$I$7,0)</f>
        <v>944424</v>
      </c>
      <c r="J15" s="707">
        <f>H15+Table1[[#This Row],[TOTAL]]</f>
        <v>1528305</v>
      </c>
    </row>
    <row r="16" spans="1:10">
      <c r="A16" s="76">
        <f>'A. 20-21 FN Schools Data'!A12</f>
        <v>295</v>
      </c>
      <c r="B16" s="164" t="str">
        <f>'A. 20-21 FN Schools Data'!B12</f>
        <v>Dakota Tipi</v>
      </c>
      <c r="C16" s="76">
        <f>'A. 20-21 FN Schools Data'!C12</f>
        <v>1350</v>
      </c>
      <c r="D16" t="str">
        <f>'A. 20-21 FN Schools Data'!D12</f>
        <v>Dakota Tipi School</v>
      </c>
      <c r="E16" s="1">
        <f>INDEX(TableAFNSchools[Total Funded FTE],MATCH(Table1[[#This Row],[School '#]],TableAFNSchools[School No.],0))</f>
        <v>41</v>
      </c>
      <c r="F16" s="704">
        <f>ROUND(Table1[[#This Row],[Eligible FTE]]*FundingRate_InstrSupp,0)</f>
        <v>79007</v>
      </c>
      <c r="G16" s="19">
        <f>Table1[[#This Row],[TOTAL]]/Table1[[#This Row],[Eligible FTE]]</f>
        <v>1927</v>
      </c>
      <c r="H16" s="706">
        <f>ROUND(Table1[[#This Row],[Eligible FTE]]*$I$7,0)</f>
        <v>127793</v>
      </c>
      <c r="J16" s="707">
        <f>H16+Table1[[#This Row],[TOTAL]]</f>
        <v>206800</v>
      </c>
    </row>
    <row r="17" spans="1:10">
      <c r="A17" s="76">
        <f>'A. 20-21 FN Schools Data'!A13</f>
        <v>288</v>
      </c>
      <c r="B17" s="164" t="str">
        <f>'A. 20-21 FN Schools Data'!B13</f>
        <v>Dakota Plains</v>
      </c>
      <c r="C17" s="76">
        <f>'A. 20-21 FN Schools Data'!C13</f>
        <v>1486</v>
      </c>
      <c r="D17" t="str">
        <f>'A. 20-21 FN Schools Data'!D13</f>
        <v>Mahpiya Hdega School</v>
      </c>
      <c r="E17" s="1">
        <f>INDEX(TableAFNSchools[Total Funded FTE],MATCH(Table1[[#This Row],[School '#]],TableAFNSchools[School No.],0))</f>
        <v>86</v>
      </c>
      <c r="F17" s="704">
        <f>ROUND(Table1[[#This Row],[Eligible FTE]]*FundingRate_InstrSupp,0)</f>
        <v>165722</v>
      </c>
      <c r="G17" s="19">
        <f>Table1[[#This Row],[TOTAL]]/Table1[[#This Row],[Eligible FTE]]</f>
        <v>1927</v>
      </c>
      <c r="H17" s="706">
        <f>ROUND(Table1[[#This Row],[Eligible FTE]]*$I$7,0)</f>
        <v>268054</v>
      </c>
      <c r="J17" s="707">
        <f>H17+Table1[[#This Row],[TOTAL]]</f>
        <v>433776</v>
      </c>
    </row>
    <row r="18" spans="1:10">
      <c r="A18" s="76">
        <f>'A. 20-21 FN Schools Data'!A14</f>
        <v>261</v>
      </c>
      <c r="B18" s="164" t="str">
        <f>'A. 20-21 FN Schools Data'!B14</f>
        <v>Brokenhead</v>
      </c>
      <c r="C18" s="76">
        <f>'A. 20-21 FN Schools Data'!C14</f>
        <v>1756</v>
      </c>
      <c r="D18" t="str">
        <f>'A. 20-21 FN Schools Data'!D14</f>
        <v>Sergeant Tommy Prince School</v>
      </c>
      <c r="E18" s="1">
        <f>INDEX(TableAFNSchools[Total Funded FTE],MATCH(Table1[[#This Row],[School '#]],TableAFNSchools[School No.],0))</f>
        <v>123</v>
      </c>
      <c r="F18" s="704">
        <f>ROUND(Table1[[#This Row],[Eligible FTE]]*FundingRate_InstrSupp,0)</f>
        <v>237021</v>
      </c>
      <c r="G18" s="19">
        <f>Table1[[#This Row],[TOTAL]]/Table1[[#This Row],[Eligible FTE]]</f>
        <v>1927</v>
      </c>
      <c r="H18" s="706">
        <f>ROUND(Table1[[#This Row],[Eligible FTE]]*$I$7,0)</f>
        <v>383380</v>
      </c>
      <c r="J18" s="707">
        <f>H18+Table1[[#This Row],[TOTAL]]</f>
        <v>620401</v>
      </c>
    </row>
    <row r="19" spans="1:10">
      <c r="A19" s="76">
        <f>'A. 20-21 FN Schools Data'!A15</f>
        <v>273</v>
      </c>
      <c r="B19" s="164" t="str">
        <f>'A. 20-21 FN Schools Data'!B15</f>
        <v>Roseau River</v>
      </c>
      <c r="C19" s="76">
        <f>'A. 20-21 FN Schools Data'!C15</f>
        <v>5717</v>
      </c>
      <c r="D19" t="str">
        <f>'A. 20-21 FN Schools Data'!D15</f>
        <v>Ginew School</v>
      </c>
      <c r="E19" s="1">
        <f>INDEX(TableAFNSchools[Total Funded FTE],MATCH(Table1[[#This Row],[School '#]],TableAFNSchools[School No.],0))</f>
        <v>153</v>
      </c>
      <c r="F19" s="704">
        <f>ROUND(Table1[[#This Row],[Eligible FTE]]*FundingRate_InstrSupp,0)</f>
        <v>294831</v>
      </c>
      <c r="G19" s="19">
        <f>Table1[[#This Row],[TOTAL]]/Table1[[#This Row],[Eligible FTE]]</f>
        <v>1927</v>
      </c>
      <c r="H19" s="706">
        <f>ROUND(Table1[[#This Row],[Eligible FTE]]*$I$7,0)</f>
        <v>476887</v>
      </c>
      <c r="J19" s="707">
        <f>H19+Table1[[#This Row],[TOTAL]]</f>
        <v>771718</v>
      </c>
    </row>
    <row r="20" spans="1:10">
      <c r="A20" s="76">
        <f>'A. 20-21 FN Schools Data'!A16</f>
        <v>305</v>
      </c>
      <c r="B20" s="164" t="str">
        <f>'A. 20-21 FN Schools Data'!B16</f>
        <v>Fox Lake</v>
      </c>
      <c r="C20" s="76">
        <f>'A. 20-21 FN Schools Data'!C16</f>
        <v>6413</v>
      </c>
      <c r="D20" t="str">
        <f>'A. 20-21 FN Schools Data'!D16</f>
        <v>Fox Lake School</v>
      </c>
      <c r="E20" s="1">
        <f>INDEX(TableAFNSchools[Total Funded FTE],MATCH(Table1[[#This Row],[School '#]],TableAFNSchools[School No.],0))</f>
        <v>27</v>
      </c>
      <c r="F20" s="704">
        <f>ROUND(Table1[[#This Row],[Eligible FTE]]*FundingRate_InstrSupp,0)</f>
        <v>52029</v>
      </c>
      <c r="G20" s="19">
        <f>Table1[[#This Row],[TOTAL]]/Table1[[#This Row],[Eligible FTE]]</f>
        <v>1927</v>
      </c>
      <c r="H20" s="706">
        <f>ROUND(Table1[[#This Row],[Eligible FTE]]*$I$7,0)</f>
        <v>84157</v>
      </c>
      <c r="J20" s="707">
        <f>H20+Table1[[#This Row],[TOTAL]]</f>
        <v>136186</v>
      </c>
    </row>
    <row r="21" spans="1:10">
      <c r="A21" s="76">
        <f>'A. 20-21 FN Schools Data'!A17</f>
        <v>286</v>
      </c>
      <c r="B21" s="164" t="str">
        <f>'A. 20-21 FN Schools Data'!B17</f>
        <v>Keeseekoowenin</v>
      </c>
      <c r="C21" s="76">
        <f>'A. 20-21 FN Schools Data'!C17</f>
        <v>8990</v>
      </c>
      <c r="D21" t="str">
        <f>'A. 20-21 FN Schools Data'!D17</f>
        <v>Keeseekoowenin School</v>
      </c>
      <c r="E21" s="1">
        <f>INDEX(TableAFNSchools[Total Funded FTE],MATCH(Table1[[#This Row],[School '#]],TableAFNSchools[School No.],0))</f>
        <v>99</v>
      </c>
      <c r="F21" s="704">
        <f>ROUND(Table1[[#This Row],[Eligible FTE]]*FundingRate_InstrSupp,0)</f>
        <v>190773</v>
      </c>
      <c r="G21" s="19">
        <f>Table1[[#This Row],[TOTAL]]/Table1[[#This Row],[Eligible FTE]]</f>
        <v>1927</v>
      </c>
      <c r="H21" s="706">
        <f>ROUND(Table1[[#This Row],[Eligible FTE]]*$I$7,0)</f>
        <v>308574</v>
      </c>
      <c r="J21" s="707">
        <f>H21+Table1[[#This Row],[TOTAL]]</f>
        <v>499347</v>
      </c>
    </row>
    <row r="22" spans="1:10">
      <c r="A22" s="76">
        <f>'A. 20-21 FN Schools Data'!A18</f>
        <v>261</v>
      </c>
      <c r="B22" s="164" t="str">
        <f>'A. 20-21 FN Schools Data'!B18</f>
        <v>Brokenhead</v>
      </c>
      <c r="C22" s="76">
        <f>'A. 20-21 FN Schools Data'!C18</f>
        <v>50250</v>
      </c>
      <c r="D22" t="str">
        <f>'A. 20-21 FN Schools Data'!D18</f>
        <v>Brokenhead Ojibway Nation Adult Learning Centre</v>
      </c>
      <c r="E22" s="1">
        <f>INDEX(TableAFNSchools[Total Funded FTE],MATCH(Table1[[#This Row],[School '#]],TableAFNSchools[School No.],0))</f>
        <v>25</v>
      </c>
      <c r="F22" s="705">
        <f>ROUND(Table1[[#This Row],[Eligible FTE]]*FundingRate_InstrSupp,0)</f>
        <v>48175</v>
      </c>
      <c r="G22" s="19">
        <f>Table1[[#This Row],[TOTAL]]/Table1[[#This Row],[Eligible FTE]]</f>
        <v>1927</v>
      </c>
      <c r="H22" s="706">
        <f>ROUND(Table1[[#This Row],[Eligible FTE]]*$I$7,0)</f>
        <v>77923</v>
      </c>
      <c r="J22" s="707">
        <f>H22+Table1[[#This Row],[TOTAL]]</f>
        <v>126098</v>
      </c>
    </row>
    <row r="23" spans="1:10">
      <c r="A23" s="76" t="s">
        <v>72</v>
      </c>
      <c r="C23" s="76"/>
      <c r="E23" s="1197">
        <f>SUBTOTAL(109,Table1[Eligible FTE])</f>
        <v>2026</v>
      </c>
      <c r="F23" s="1198">
        <f>SUBTOTAL(109,Table1[TOTAL])</f>
        <v>3904102</v>
      </c>
      <c r="H23" s="1458">
        <f>SUM(H11:H22)</f>
        <v>6314860</v>
      </c>
      <c r="J23" s="1459">
        <f>SUM(J11:J22)</f>
        <v>10218962</v>
      </c>
    </row>
    <row r="27" spans="1:10" ht="15">
      <c r="E27" s="1"/>
      <c r="F27" s="22"/>
    </row>
    <row r="28" spans="1:10" ht="17.25" customHeight="1"/>
  </sheetData>
  <mergeCells count="2">
    <mergeCell ref="A4:E4"/>
    <mergeCell ref="A5:E5"/>
  </mergeCells>
  <hyperlinks>
    <hyperlink ref="A8" r:id="rId1" xr:uid="{00000000-0004-0000-0A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A2:K28"/>
  <sheetViews>
    <sheetView workbookViewId="0">
      <selection activeCell="A3" sqref="A3"/>
    </sheetView>
  </sheetViews>
  <sheetFormatPr baseColWidth="10" defaultColWidth="9.19921875" defaultRowHeight="14"/>
  <cols>
    <col min="1" max="1" width="7.19921875" customWidth="1"/>
    <col min="2" max="2" width="16.19921875" customWidth="1"/>
    <col min="3" max="3" width="8.3984375" customWidth="1"/>
    <col min="4" max="4" width="33" customWidth="1"/>
    <col min="5" max="5" width="13.796875" customWidth="1"/>
    <col min="6" max="6" width="10.796875" customWidth="1"/>
    <col min="7" max="7" width="16.19921875" customWidth="1"/>
    <col min="8" max="8" width="14.19921875" customWidth="1"/>
    <col min="9" max="9" width="15.19921875" customWidth="1"/>
    <col min="10" max="10" width="17.3984375" customWidth="1"/>
  </cols>
  <sheetData>
    <row r="2" spans="1:11">
      <c r="A2" t="s">
        <v>323</v>
      </c>
    </row>
    <row r="3" spans="1:11" ht="19">
      <c r="A3" s="33" t="s">
        <v>335</v>
      </c>
    </row>
    <row r="4" spans="1:11" ht="29.25" customHeight="1">
      <c r="A4" s="1643" t="s">
        <v>336</v>
      </c>
      <c r="B4" s="1643"/>
      <c r="C4" s="1643"/>
      <c r="D4" s="1643"/>
      <c r="E4" s="1643"/>
      <c r="F4" s="1643"/>
    </row>
    <row r="5" spans="1:11">
      <c r="A5" t="s">
        <v>337</v>
      </c>
    </row>
    <row r="7" spans="1:11">
      <c r="A7" s="1199" t="s">
        <v>328</v>
      </c>
      <c r="B7" s="1200">
        <v>125000</v>
      </c>
    </row>
    <row r="8" spans="1:11" ht="15">
      <c r="A8" s="585" t="s">
        <v>329</v>
      </c>
    </row>
    <row r="9" spans="1:11" ht="19.5" customHeight="1">
      <c r="A9" s="2"/>
      <c r="B9" s="2"/>
      <c r="C9" s="2"/>
      <c r="D9" s="2"/>
    </row>
    <row r="10" spans="1:11" ht="40.5" customHeight="1">
      <c r="A10" s="111" t="s">
        <v>285</v>
      </c>
      <c r="B10" s="111" t="s">
        <v>286</v>
      </c>
      <c r="C10" s="111" t="s">
        <v>330</v>
      </c>
      <c r="D10" s="111" t="s">
        <v>331</v>
      </c>
      <c r="E10" s="1201" t="s">
        <v>338</v>
      </c>
      <c r="F10" s="1202" t="s">
        <v>332</v>
      </c>
      <c r="G10" s="1202" t="s">
        <v>324</v>
      </c>
      <c r="H10" s="1202" t="s">
        <v>339</v>
      </c>
      <c r="I10" s="708" t="s">
        <v>322</v>
      </c>
      <c r="J10" s="117" t="s">
        <v>458</v>
      </c>
      <c r="K10" s="117" t="s">
        <v>2663</v>
      </c>
    </row>
    <row r="11" spans="1:11">
      <c r="A11">
        <f>'A. 20-21 FN Schools Data'!A7</f>
        <v>272</v>
      </c>
      <c r="B11" t="str">
        <f>'A. 20-21 FN Schools Data'!B7</f>
        <v>Pinaymootang</v>
      </c>
      <c r="C11">
        <f>'A. 20-21 FN Schools Data'!C7</f>
        <v>1140</v>
      </c>
      <c r="D11" t="str">
        <f>'A. 20-21 FN Schools Data'!D7</f>
        <v>Pinaymootang School</v>
      </c>
      <c r="E11" t="str">
        <f>INDEX(TableAFNSchools[School/ Program Type],MATCH(Table2[[#This Row],[School '#]],TableAFNSchools[School No.],0))</f>
        <v>Combined</v>
      </c>
      <c r="F11">
        <f>INDEX(TableAFNSchools[Total Funded FTE],MATCH(Table2[[#This Row],[School '#]],TableAFNSchools[School No.],0))</f>
        <v>435</v>
      </c>
      <c r="G11" s="115">
        <f>Table1[[#This Row],[TOTAL]]</f>
        <v>838245</v>
      </c>
      <c r="H11" s="116">
        <f>Table3[[#This Row],[TOTAL]]</f>
        <v>90573</v>
      </c>
      <c r="I11" s="704">
        <f>ROUND(IF(Table2[[#This Row],[School Type]]="Adult Education",0,IF(FundingRate_AddSuppSmSch-(Table2[[#This Row],[Instructional Support]]+Table2[[#This Row],[Sparsity Support]])&lt;0,0,FundingRate_AddSuppSmSch-(Table2[[#This Row],[Instructional Support]]+Table2[[#This Row],[Sparsity Support]]))),0)</f>
        <v>0</v>
      </c>
      <c r="J11" s="19">
        <f>(Table2[[#This Row],[Sparsity Support]]+Table2[[#This Row],[Instructional Support]])/Table2[[#This Row],[Eligible FTE]]</f>
        <v>2135.2137931034481</v>
      </c>
      <c r="K11" s="19">
        <f>Table2[[#This Row],[Sparsity Support]]/Table2[[#This Row],[Eligible FTE]]</f>
        <v>208.21379310344827</v>
      </c>
    </row>
    <row r="12" spans="1:11">
      <c r="A12">
        <f>'A. 20-21 FN Schools Data'!A8</f>
        <v>275</v>
      </c>
      <c r="B12" t="str">
        <f>'A. 20-21 FN Schools Data'!B8</f>
        <v>Lake St. Martin</v>
      </c>
      <c r="C12">
        <f>'A. 20-21 FN Schools Data'!C8</f>
        <v>1144</v>
      </c>
      <c r="D12" t="str">
        <f>'A. 20-21 FN Schools Data'!D8</f>
        <v>Lake St. Martin School</v>
      </c>
      <c r="E12" t="str">
        <f>INDEX(TableAFNSchools[School/ Program Type],MATCH(Table2[[#This Row],[School '#]],TableAFNSchools[School No.],0))</f>
        <v>Combined</v>
      </c>
      <c r="F12" s="80">
        <f>INDEX(TableAFNSchools[Total Funded FTE],MATCH(Table2[[#This Row],[School '#]],TableAFNSchools[School No.],0))</f>
        <v>398</v>
      </c>
      <c r="G12" s="115">
        <f>Table1[[#This Row],[TOTAL]]</f>
        <v>766946</v>
      </c>
      <c r="H12" s="116">
        <f>Table3[[#This Row],[TOTAL]]</f>
        <v>94440</v>
      </c>
      <c r="I12" s="704">
        <f>ROUND(IF(Table2[[#This Row],[School Type]]="Adult Education",0,IF(FundingRate_AddSuppSmSch-(Table2[[#This Row],[Instructional Support]]+Table2[[#This Row],[Sparsity Support]])&lt;0,0,FundingRate_AddSuppSmSch-(Table2[[#This Row],[Instructional Support]]+Table2[[#This Row],[Sparsity Support]]))),0)</f>
        <v>0</v>
      </c>
      <c r="J12" s="19">
        <f>(Table2[[#This Row],[Sparsity Support]]+Table2[[#This Row],[Instructional Support]])/Table2[[#This Row],[Eligible FTE]]</f>
        <v>2164.286432160804</v>
      </c>
      <c r="K12" s="19">
        <f>Table2[[#This Row],[Sparsity Support]]/Table2[[#This Row],[Eligible FTE]]</f>
        <v>237.28643216080403</v>
      </c>
    </row>
    <row r="13" spans="1:11">
      <c r="A13">
        <f>'A. 20-21 FN Schools Data'!A9</f>
        <v>267</v>
      </c>
      <c r="B13" t="str">
        <f>'A. 20-21 FN Schools Data'!B9</f>
        <v>Bloodvein</v>
      </c>
      <c r="C13">
        <f>'A. 20-21 FN Schools Data'!C9</f>
        <v>1148</v>
      </c>
      <c r="D13" t="str">
        <f>'A. 20-21 FN Schools Data'!D9</f>
        <v>Miskooseepi School</v>
      </c>
      <c r="E13" t="str">
        <f>INDEX(TableAFNSchools[School/ Program Type],MATCH(Table2[[#This Row],[School '#]],TableAFNSchools[School No.],0))</f>
        <v>Combined</v>
      </c>
      <c r="F13" s="1">
        <f>INDEX(TableAFNSchools[Total Funded FTE],MATCH(Table2[[#This Row],[School '#]],TableAFNSchools[School No.],0))</f>
        <v>194</v>
      </c>
      <c r="G13" s="115">
        <f>Table1[[#This Row],[TOTAL]]</f>
        <v>373838</v>
      </c>
      <c r="H13" s="116">
        <f>Table3[[#This Row],[TOTAL]]</f>
        <v>74854</v>
      </c>
      <c r="I13" s="704">
        <f>ROUND(IF(Table2[[#This Row],[School Type]]="Adult Education",0,IF(FundingRate_AddSuppSmSch-(Table2[[#This Row],[Instructional Support]]+Table2[[#This Row],[Sparsity Support]])&lt;0,0,FundingRate_AddSuppSmSch-(Table2[[#This Row],[Instructional Support]]+Table2[[#This Row],[Sparsity Support]]))),0)</f>
        <v>0</v>
      </c>
      <c r="J13" s="19">
        <f>(Table2[[#This Row],[Sparsity Support]]+Table2[[#This Row],[Instructional Support]])/Table2[[#This Row],[Eligible FTE]]</f>
        <v>2312.8453608247423</v>
      </c>
      <c r="K13" s="19">
        <f>Table2[[#This Row],[Sparsity Support]]/Table2[[#This Row],[Eligible FTE]]</f>
        <v>385.84536082474227</v>
      </c>
    </row>
    <row r="14" spans="1:11">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Type],MATCH(Table2[[#This Row],[School '#]],TableAFNSchools[School No.],0))</f>
        <v>Combined</v>
      </c>
      <c r="F14" s="1">
        <f>INDEX(TableAFNSchools[Total Funded FTE],MATCH(Table2[[#This Row],[School '#]],TableAFNSchools[School No.],0))</f>
        <v>142</v>
      </c>
      <c r="G14" s="115">
        <f>Table1[[#This Row],[TOTAL]]</f>
        <v>273634</v>
      </c>
      <c r="H14" s="116">
        <f>Table3[[#This Row],[TOTAL]]</f>
        <v>62257</v>
      </c>
      <c r="I14" s="704">
        <f>ROUND(IF(Table2[[#This Row],[School Type]]="Adult Education",0,IF(FundingRate_AddSuppSmSch-(Table2[[#This Row],[Instructional Support]]+Table2[[#This Row],[Sparsity Support]])&lt;0,0,FundingRate_AddSuppSmSch-(Table2[[#This Row],[Instructional Support]]+Table2[[#This Row],[Sparsity Support]]))),0)</f>
        <v>0</v>
      </c>
      <c r="J14" s="19">
        <f>(Table2[[#This Row],[Sparsity Support]]+Table2[[#This Row],[Instructional Support]])/Table2[[#This Row],[Eligible FTE]]</f>
        <v>2365.4295774647885</v>
      </c>
      <c r="K14" s="19">
        <f>Table2[[#This Row],[Sparsity Support]]/Table2[[#This Row],[Eligible FTE]]</f>
        <v>438.42957746478874</v>
      </c>
    </row>
    <row r="15" spans="1:11">
      <c r="A15">
        <f>'A. 20-21 FN Schools Data'!A11</f>
        <v>271</v>
      </c>
      <c r="B15" t="str">
        <f>'A. 20-21 FN Schools Data'!B11</f>
        <v>Lake Manitoba</v>
      </c>
      <c r="C15">
        <f>'A. 20-21 FN Schools Data'!C11</f>
        <v>1345</v>
      </c>
      <c r="D15" t="str">
        <f>'A. 20-21 FN Schools Data'!D11</f>
        <v>Lake Manitoba School</v>
      </c>
      <c r="E15" t="str">
        <f>INDEX(TableAFNSchools[School/ Program Type],MATCH(Table2[[#This Row],[School '#]],TableAFNSchools[School No.],0))</f>
        <v>Combined</v>
      </c>
      <c r="F15" s="1">
        <f>INDEX(TableAFNSchools[Total Funded FTE],MATCH(Table2[[#This Row],[School '#]],TableAFNSchools[School No.],0))</f>
        <v>303</v>
      </c>
      <c r="G15" s="115">
        <f>Table1[[#This Row],[TOTAL]]</f>
        <v>583881</v>
      </c>
      <c r="H15" s="116">
        <f>Table3[[#This Row],[TOTAL]]</f>
        <v>94514</v>
      </c>
      <c r="I15" s="704">
        <f>ROUND(IF(Table2[[#This Row],[School Type]]="Adult Education",0,IF(FundingRate_AddSuppSmSch-(Table2[[#This Row],[Instructional Support]]+Table2[[#This Row],[Sparsity Support]])&lt;0,0,FundingRate_AddSuppSmSch-(Table2[[#This Row],[Instructional Support]]+Table2[[#This Row],[Sparsity Support]]))),0)</f>
        <v>0</v>
      </c>
      <c r="J15" s="19">
        <f>(Table2[[#This Row],[Sparsity Support]]+Table2[[#This Row],[Instructional Support]])/Table2[[#This Row],[Eligible FTE]]</f>
        <v>2238.9273927392737</v>
      </c>
      <c r="K15" s="19">
        <f>Table2[[#This Row],[Sparsity Support]]/Table2[[#This Row],[Eligible FTE]]</f>
        <v>311.92739273927396</v>
      </c>
    </row>
    <row r="16" spans="1:11">
      <c r="A16">
        <f>'A. 20-21 FN Schools Data'!A12</f>
        <v>295</v>
      </c>
      <c r="B16" t="str">
        <f>'A. 20-21 FN Schools Data'!B12</f>
        <v>Dakota Tipi</v>
      </c>
      <c r="C16">
        <f>'A. 20-21 FN Schools Data'!C12</f>
        <v>1350</v>
      </c>
      <c r="D16" t="str">
        <f>'A. 20-21 FN Schools Data'!D12</f>
        <v>Dakota Tipi School</v>
      </c>
      <c r="E16" t="str">
        <f>INDEX(TableAFNSchools[School/ Program Type],MATCH(Table2[[#This Row],[School '#]],TableAFNSchools[School No.],0))</f>
        <v>Nursery/Kindergarten</v>
      </c>
      <c r="F16" s="1">
        <f>INDEX(TableAFNSchools[Total Funded FTE],MATCH(Table2[[#This Row],[School '#]],TableAFNSchools[School No.],0))</f>
        <v>41</v>
      </c>
      <c r="G16" s="115">
        <f>Table1[[#This Row],[TOTAL]]</f>
        <v>79007</v>
      </c>
      <c r="H16" s="116">
        <f>Table3[[#This Row],[TOTAL]]</f>
        <v>21229</v>
      </c>
      <c r="I16" s="704">
        <f>ROUND(IF(Table2[[#This Row],[School Type]]="Adult Education",0,IF(FundingRate_AddSuppSmSch-(Table2[[#This Row],[Instructional Support]]+Table2[[#This Row],[Sparsity Support]])&lt;0,0,FundingRate_AddSuppSmSch-(Table2[[#This Row],[Instructional Support]]+Table2[[#This Row],[Sparsity Support]]))),0)</f>
        <v>24764</v>
      </c>
      <c r="J16" s="19">
        <f>(Table2[[#This Row],[Sparsity Support]]+Table2[[#This Row],[Instructional Support]])/Table2[[#This Row],[Eligible FTE]]</f>
        <v>2444.7804878048782</v>
      </c>
      <c r="K16" s="19">
        <f>Table2[[#This Row],[Sparsity Support]]/Table2[[#This Row],[Eligible FTE]]</f>
        <v>517.78048780487802</v>
      </c>
    </row>
    <row r="17" spans="1:11">
      <c r="A17">
        <f>'A. 20-21 FN Schools Data'!A13</f>
        <v>288</v>
      </c>
      <c r="B17" t="str">
        <f>'A. 20-21 FN Schools Data'!B13</f>
        <v>Dakota Plains</v>
      </c>
      <c r="C17">
        <f>'A. 20-21 FN Schools Data'!C13</f>
        <v>1486</v>
      </c>
      <c r="D17" t="str">
        <f>'A. 20-21 FN Schools Data'!D13</f>
        <v>Mahpiya Hdega School</v>
      </c>
      <c r="E17" t="str">
        <f>INDEX(TableAFNSchools[School/ Program Type],MATCH(Table2[[#This Row],[School '#]],TableAFNSchools[School No.],0))</f>
        <v>Elementary</v>
      </c>
      <c r="F17" s="1">
        <f>INDEX(TableAFNSchools[Total Funded FTE],MATCH(Table2[[#This Row],[School '#]],TableAFNSchools[School No.],0))</f>
        <v>86</v>
      </c>
      <c r="G17" s="115">
        <f>Table1[[#This Row],[TOTAL]]</f>
        <v>165722</v>
      </c>
      <c r="H17" s="116">
        <f>Table3[[#This Row],[TOTAL]]</f>
        <v>39164</v>
      </c>
      <c r="I17" s="704">
        <f>ROUND(IF(Table2[[#This Row],[School Type]]="Adult Education",0,IF(FundingRate_AddSuppSmSch-(Table2[[#This Row],[Instructional Support]]+Table2[[#This Row],[Sparsity Support]])&lt;0,0,FundingRate_AddSuppSmSch-(Table2[[#This Row],[Instructional Support]]+Table2[[#This Row],[Sparsity Support]]))),0)</f>
        <v>0</v>
      </c>
      <c r="J17" s="19">
        <f>(Table2[[#This Row],[Sparsity Support]]+Table2[[#This Row],[Instructional Support]])/Table2[[#This Row],[Eligible FTE]]</f>
        <v>2382.3953488372094</v>
      </c>
      <c r="K17" s="19">
        <f>Table2[[#This Row],[Sparsity Support]]/Table2[[#This Row],[Eligible FTE]]</f>
        <v>455.39534883720933</v>
      </c>
    </row>
    <row r="18" spans="1:11">
      <c r="A18">
        <f>'A. 20-21 FN Schools Data'!A14</f>
        <v>261</v>
      </c>
      <c r="B18" t="str">
        <f>'A. 20-21 FN Schools Data'!B14</f>
        <v>Brokenhead</v>
      </c>
      <c r="C18">
        <f>'A. 20-21 FN Schools Data'!C14</f>
        <v>1756</v>
      </c>
      <c r="D18" t="str">
        <f>'A. 20-21 FN Schools Data'!D14</f>
        <v>Sergeant Tommy Prince School</v>
      </c>
      <c r="E18" t="str">
        <f>INDEX(TableAFNSchools[School/ Program Type],MATCH(Table2[[#This Row],[School '#]],TableAFNSchools[School No.],0))</f>
        <v>Combined</v>
      </c>
      <c r="F18" s="1">
        <f>INDEX(TableAFNSchools[Total Funded FTE],MATCH(Table2[[#This Row],[School '#]],TableAFNSchools[School No.],0))</f>
        <v>123</v>
      </c>
      <c r="G18" s="115">
        <f>Table1[[#This Row],[TOTAL]]</f>
        <v>237021</v>
      </c>
      <c r="H18" s="116">
        <f>Table3[[#This Row],[TOTAL]]</f>
        <v>55763</v>
      </c>
      <c r="I18" s="704">
        <f>ROUND(IF(Table2[[#This Row],[School Type]]="Adult Education",0,IF(FundingRate_AddSuppSmSch-(Table2[[#This Row],[Instructional Support]]+Table2[[#This Row],[Sparsity Support]])&lt;0,0,FundingRate_AddSuppSmSch-(Table2[[#This Row],[Instructional Support]]+Table2[[#This Row],[Sparsity Support]]))),0)</f>
        <v>0</v>
      </c>
      <c r="J18" s="19">
        <f>(Table2[[#This Row],[Sparsity Support]]+Table2[[#This Row],[Instructional Support]])/Table2[[#This Row],[Eligible FTE]]</f>
        <v>2380.3577235772359</v>
      </c>
      <c r="K18" s="19">
        <f>Table2[[#This Row],[Sparsity Support]]/Table2[[#This Row],[Eligible FTE]]</f>
        <v>453.35772357723579</v>
      </c>
    </row>
    <row r="19" spans="1:11">
      <c r="A19">
        <f>'A. 20-21 FN Schools Data'!A15</f>
        <v>273</v>
      </c>
      <c r="B19" t="str">
        <f>'A. 20-21 FN Schools Data'!B15</f>
        <v>Roseau River</v>
      </c>
      <c r="C19">
        <f>'A. 20-21 FN Schools Data'!C15</f>
        <v>5717</v>
      </c>
      <c r="D19" t="str">
        <f>'A. 20-21 FN Schools Data'!D15</f>
        <v>Ginew School</v>
      </c>
      <c r="E19" t="str">
        <f>INDEX(TableAFNSchools[School/ Program Type],MATCH(Table2[[#This Row],[School '#]],TableAFNSchools[School No.],0))</f>
        <v>Elementary</v>
      </c>
      <c r="F19" s="1">
        <f>INDEX(TableAFNSchools[Total Funded FTE],MATCH(Table2[[#This Row],[School '#]],TableAFNSchools[School No.],0))</f>
        <v>153</v>
      </c>
      <c r="G19" s="115">
        <f>Table1[[#This Row],[TOTAL]]</f>
        <v>294831</v>
      </c>
      <c r="H19" s="116">
        <f>Table3[[#This Row],[TOTAL]]</f>
        <v>58400</v>
      </c>
      <c r="I19" s="704">
        <f>ROUND(IF(Table2[[#This Row],[School Type]]="Adult Education",0,IF(FundingRate_AddSuppSmSch-(Table2[[#This Row],[Instructional Support]]+Table2[[#This Row],[Sparsity Support]])&lt;0,0,FundingRate_AddSuppSmSch-(Table2[[#This Row],[Instructional Support]]+Table2[[#This Row],[Sparsity Support]]))),0)</f>
        <v>0</v>
      </c>
      <c r="J19" s="19">
        <f>(Table2[[#This Row],[Sparsity Support]]+Table2[[#This Row],[Instructional Support]])/Table2[[#This Row],[Eligible FTE]]</f>
        <v>2308.6993464052289</v>
      </c>
      <c r="K19" s="19">
        <f>Table2[[#This Row],[Sparsity Support]]/Table2[[#This Row],[Eligible FTE]]</f>
        <v>381.69934640522877</v>
      </c>
    </row>
    <row r="20" spans="1:11">
      <c r="A20">
        <f>'A. 20-21 FN Schools Data'!A16</f>
        <v>305</v>
      </c>
      <c r="B20" t="str">
        <f>'A. 20-21 FN Schools Data'!B16</f>
        <v>Fox Lake</v>
      </c>
      <c r="C20">
        <f>'A. 20-21 FN Schools Data'!C16</f>
        <v>6413</v>
      </c>
      <c r="D20" t="str">
        <f>'A. 20-21 FN Schools Data'!D16</f>
        <v>Fox Lake School</v>
      </c>
      <c r="E20" t="str">
        <f>INDEX(TableAFNSchools[School/ Program Type],MATCH(Table2[[#This Row],[School '#]],TableAFNSchools[School No.],0))</f>
        <v>Elementary</v>
      </c>
      <c r="F20" s="1">
        <f>INDEX(TableAFNSchools[Total Funded FTE],MATCH(Table2[[#This Row],[School '#]],TableAFNSchools[School No.],0))</f>
        <v>27</v>
      </c>
      <c r="G20" s="115">
        <f>Table1[[#This Row],[TOTAL]]</f>
        <v>52029</v>
      </c>
      <c r="H20" s="116">
        <f>Table3[[#This Row],[TOTAL]]</f>
        <v>14048</v>
      </c>
      <c r="I20" s="704">
        <f>ROUND(IF(Table2[[#This Row],[School Type]]="Adult Education",0,IF(FundingRate_AddSuppSmSch-(Table2[[#This Row],[Instructional Support]]+Table2[[#This Row],[Sparsity Support]])&lt;0,0,FundingRate_AddSuppSmSch-(Table2[[#This Row],[Instructional Support]]+Table2[[#This Row],[Sparsity Support]]))),0)</f>
        <v>58923</v>
      </c>
      <c r="J20" s="19">
        <f>(Table2[[#This Row],[Sparsity Support]]+Table2[[#This Row],[Instructional Support]])/Table2[[#This Row],[Eligible FTE]]</f>
        <v>2447.2962962962961</v>
      </c>
      <c r="K20" s="19">
        <f>Table2[[#This Row],[Sparsity Support]]/Table2[[#This Row],[Eligible FTE]]</f>
        <v>520.2962962962963</v>
      </c>
    </row>
    <row r="21" spans="1:11">
      <c r="A21">
        <f>'A. 20-21 FN Schools Data'!A17</f>
        <v>286</v>
      </c>
      <c r="B21" t="str">
        <f>'A. 20-21 FN Schools Data'!B17</f>
        <v>Keeseekoowenin</v>
      </c>
      <c r="C21">
        <f>'A. 20-21 FN Schools Data'!C17</f>
        <v>8990</v>
      </c>
      <c r="D21" t="str">
        <f>'A. 20-21 FN Schools Data'!D17</f>
        <v>Keeseekoowenin School</v>
      </c>
      <c r="E21" t="str">
        <f>INDEX(TableAFNSchools[School/ Program Type],MATCH(Table2[[#This Row],[School '#]],TableAFNSchools[School No.],0))</f>
        <v>Elementary</v>
      </c>
      <c r="F21" s="1">
        <f>INDEX(TableAFNSchools[Total Funded FTE],MATCH(Table2[[#This Row],[School '#]],TableAFNSchools[School No.],0))</f>
        <v>99</v>
      </c>
      <c r="G21" s="115">
        <f>Table1[[#This Row],[TOTAL]]</f>
        <v>190773</v>
      </c>
      <c r="H21" s="116">
        <f>Table3[[#This Row],[TOTAL]]</f>
        <v>43669</v>
      </c>
      <c r="I21" s="704">
        <f>ROUND(IF(Table2[[#This Row],[School Type]]="Adult Education",0,IF(FundingRate_AddSuppSmSch-(Table2[[#This Row],[Instructional Support]]+Table2[[#This Row],[Sparsity Support]])&lt;0,0,FundingRate_AddSuppSmSch-(Table2[[#This Row],[Instructional Support]]+Table2[[#This Row],[Sparsity Support]]))),0)</f>
        <v>0</v>
      </c>
      <c r="J21" s="19">
        <f>(Table2[[#This Row],[Sparsity Support]]+Table2[[#This Row],[Instructional Support]])/Table2[[#This Row],[Eligible FTE]]</f>
        <v>2368.1010101010102</v>
      </c>
      <c r="K21" s="19">
        <f>Table2[[#This Row],[Sparsity Support]]/Table2[[#This Row],[Eligible FTE]]</f>
        <v>441.1010101010101</v>
      </c>
    </row>
    <row r="22" spans="1:11">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Type],MATCH(Table2[[#This Row],[School '#]],TableAFNSchools[School No.],0))</f>
        <v>Adult Education</v>
      </c>
      <c r="F22" s="1">
        <f>INDEX(TableAFNSchools[Total Funded FTE],MATCH(Table2[[#This Row],[School '#]],TableAFNSchools[School No.],0))</f>
        <v>25</v>
      </c>
      <c r="G22" s="1203">
        <f>Table1[[#This Row],[TOTAL]]</f>
        <v>48175</v>
      </c>
      <c r="H22" s="116">
        <f>Table3[[#This Row],[TOTAL]]</f>
        <v>0</v>
      </c>
      <c r="I22" s="705">
        <f>ROUND(IF(Table2[[#This Row],[School Type]]="Adult Education",0,IF(FundingRate_AddSuppSmSch-(Table2[[#This Row],[Instructional Support]]+Table2[[#This Row],[Sparsity Support]])&lt;0,0,FundingRate_AddSuppSmSch-(Table2[[#This Row],[Instructional Support]]+Table2[[#This Row],[Sparsity Support]]))),0)</f>
        <v>0</v>
      </c>
      <c r="J22" s="19">
        <f>(Table2[[#This Row],[Sparsity Support]]+Table2[[#This Row],[Instructional Support]])/Table2[[#This Row],[Eligible FTE]]</f>
        <v>1927</v>
      </c>
      <c r="K22" s="19">
        <f>Table2[[#This Row],[Sparsity Support]]/Table2[[#This Row],[Eligible FTE]]</f>
        <v>0</v>
      </c>
    </row>
    <row r="23" spans="1:11">
      <c r="A23" t="s">
        <v>72</v>
      </c>
      <c r="F23" s="1197">
        <f>SUBTOTAL(109,Table2[Eligible FTE])</f>
        <v>2026</v>
      </c>
      <c r="G23" s="1204">
        <f>SUBTOTAL(109,Table2[Instructional Support])</f>
        <v>3904102</v>
      </c>
      <c r="H23" s="1204">
        <f>SUBTOTAL(109,Table2[Sparsity Support])</f>
        <v>648911</v>
      </c>
      <c r="I23" s="1198">
        <f>SUBTOTAL(109,Table2[TOTAL])</f>
        <v>83687</v>
      </c>
    </row>
    <row r="24" spans="1:11">
      <c r="J24" s="19"/>
    </row>
    <row r="25" spans="1:11">
      <c r="J25" s="19"/>
    </row>
    <row r="26" spans="1:11">
      <c r="J26" s="19"/>
    </row>
    <row r="27" spans="1:11" ht="15">
      <c r="F27" s="1"/>
      <c r="G27" s="20"/>
      <c r="H27" s="82"/>
      <c r="I27" s="83"/>
    </row>
    <row r="28" spans="1:11" ht="15">
      <c r="H28" s="82"/>
    </row>
  </sheetData>
  <mergeCells count="1">
    <mergeCell ref="A4:F4"/>
  </mergeCells>
  <phoneticPr fontId="180" type="noConversion"/>
  <hyperlinks>
    <hyperlink ref="A8" r:id="rId1" xr:uid="{00000000-0004-0000-0B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5"/>
  <dimension ref="A2:M25"/>
  <sheetViews>
    <sheetView workbookViewId="0">
      <selection activeCell="A3" sqref="A3"/>
    </sheetView>
  </sheetViews>
  <sheetFormatPr baseColWidth="10" defaultColWidth="9.19921875" defaultRowHeight="14"/>
  <cols>
    <col min="1" max="1" width="6.19921875" customWidth="1"/>
    <col min="2" max="2" width="18" customWidth="1"/>
    <col min="3" max="3" width="7.59765625" customWidth="1"/>
    <col min="4" max="4" width="32.796875" customWidth="1"/>
    <col min="5" max="5" width="11.796875" customWidth="1"/>
    <col min="6" max="6" width="10.59765625" customWidth="1"/>
    <col min="7" max="7" width="11.796875" customWidth="1"/>
    <col min="8" max="8" width="11.59765625" customWidth="1"/>
    <col min="9" max="9" width="11.3984375" customWidth="1"/>
    <col min="10" max="10" width="16" customWidth="1"/>
    <col min="12" max="12" width="11.59765625" customWidth="1"/>
  </cols>
  <sheetData>
    <row r="2" spans="1:11">
      <c r="A2" t="s">
        <v>323</v>
      </c>
    </row>
    <row r="3" spans="1:11" ht="19">
      <c r="A3" s="33" t="s">
        <v>339</v>
      </c>
    </row>
    <row r="4" spans="1:11" ht="39" customHeight="1">
      <c r="A4" s="1643" t="s">
        <v>340</v>
      </c>
      <c r="B4" s="1643"/>
      <c r="C4" s="1643"/>
      <c r="D4" s="1643"/>
      <c r="E4" s="1643"/>
      <c r="F4" s="1205" t="s">
        <v>328</v>
      </c>
      <c r="G4" s="1206">
        <v>11</v>
      </c>
    </row>
    <row r="5" spans="1:11" ht="30" customHeight="1">
      <c r="A5" s="1643"/>
      <c r="B5" s="1643"/>
      <c r="C5" s="1643"/>
      <c r="D5" s="1643"/>
      <c r="E5" s="1643"/>
      <c r="F5" s="1207" t="s">
        <v>341</v>
      </c>
      <c r="G5" s="1208">
        <v>50</v>
      </c>
      <c r="H5" s="49"/>
    </row>
    <row r="6" spans="1:11" ht="24" customHeight="1">
      <c r="A6" s="1643" t="s">
        <v>342</v>
      </c>
      <c r="B6" s="1643"/>
      <c r="C6" s="1643"/>
      <c r="D6" s="1643"/>
      <c r="E6" s="1643"/>
      <c r="F6" s="1644" t="s">
        <v>329</v>
      </c>
      <c r="G6" s="1644"/>
    </row>
    <row r="7" spans="1:11">
      <c r="A7" s="1643"/>
      <c r="B7" s="1643"/>
      <c r="C7" s="1643"/>
      <c r="D7" s="1643"/>
      <c r="E7" s="1643"/>
      <c r="F7" s="1645"/>
      <c r="G7" s="1645"/>
    </row>
    <row r="9" spans="1:11" ht="15">
      <c r="A9" s="2"/>
      <c r="B9" s="2"/>
      <c r="C9" s="2"/>
      <c r="D9" s="2"/>
    </row>
    <row r="10" spans="1:11" ht="41.25" customHeight="1">
      <c r="A10" s="113" t="s">
        <v>285</v>
      </c>
      <c r="B10" s="113" t="s">
        <v>286</v>
      </c>
      <c r="C10" s="113" t="s">
        <v>330</v>
      </c>
      <c r="D10" s="113" t="s">
        <v>331</v>
      </c>
      <c r="E10" s="1201" t="s">
        <v>338</v>
      </c>
      <c r="F10" s="111" t="s">
        <v>332</v>
      </c>
      <c r="G10" s="114" t="s">
        <v>343</v>
      </c>
      <c r="H10" s="117" t="s">
        <v>344</v>
      </c>
      <c r="I10" s="1202" t="s">
        <v>345</v>
      </c>
      <c r="J10" s="708" t="s">
        <v>322</v>
      </c>
      <c r="K10" s="113" t="s">
        <v>458</v>
      </c>
    </row>
    <row r="11" spans="1:11">
      <c r="A11">
        <f>'A. 20-21 FN Schools Data'!A7</f>
        <v>272</v>
      </c>
      <c r="B11" t="str">
        <f>'A. 20-21 FN Schools Data'!B7</f>
        <v>Pinaymootang</v>
      </c>
      <c r="C11">
        <f>'A. 20-21 FN Schools Data'!C7</f>
        <v>1140</v>
      </c>
      <c r="D11" t="str">
        <f>'A. 20-21 FN Schools Data'!D7</f>
        <v>Pinaymootang School</v>
      </c>
      <c r="E11" t="str">
        <f>'A. 20-21 FN Schools Data'!BX7</f>
        <v>Combined</v>
      </c>
      <c r="F11" s="1">
        <f>INDEX(TableAFNSchools[Total Funded FTE],MATCH(Table3[[#This Row],[School '#]],TableAFNSchools[School No.],0))</f>
        <v>435</v>
      </c>
      <c r="G11" s="1">
        <f>INDEX(TableAFNSchools[Total Avg. FTEs per Grade],MATCH(Table3[[#This Row],[School '#]],TableAFNSchools[School No.],0))</f>
        <v>31.071428571428573</v>
      </c>
      <c r="H11" s="1">
        <f>INDEX(TableAFNSchools[Total Reserve Pop (2011 Census)],MATCH(Table3[[#This Row],[School '#]],TableAFNSchools[School No.],0))</f>
        <v>975</v>
      </c>
      <c r="I11" s="1">
        <f>INDEX(TableAFNSchools[FNSS Dispersion Factor],MATCH(Table3[[#This Row],[School '#]],TableAFNSchools[School No.],0))</f>
        <v>3.4732742858418326E-3</v>
      </c>
      <c r="J11"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90573</v>
      </c>
      <c r="K11" s="19">
        <f>Table3[[#This Row],[TOTAL]]/Table3[[#This Row],[Eligible FTE]]</f>
        <v>208.21379310344827</v>
      </c>
    </row>
    <row r="12" spans="1:11">
      <c r="A12">
        <f>'A. 20-21 FN Schools Data'!A8</f>
        <v>275</v>
      </c>
      <c r="B12" t="str">
        <f>'A. 20-21 FN Schools Data'!B8</f>
        <v>Lake St. Martin</v>
      </c>
      <c r="C12">
        <f>'A. 20-21 FN Schools Data'!C8</f>
        <v>1144</v>
      </c>
      <c r="D12" t="str">
        <f>'A. 20-21 FN Schools Data'!D8</f>
        <v>Lake St. Martin School</v>
      </c>
      <c r="E12" t="str">
        <f>'A. 20-21 FN Schools Data'!BX8</f>
        <v>Combined</v>
      </c>
      <c r="F12" s="80">
        <f>INDEX(TableAFNSchools[Total Funded FTE],MATCH(Table3[[#This Row],[School '#]],TableAFNSchools[School No.],0))</f>
        <v>398</v>
      </c>
      <c r="G12" s="1">
        <f>INDEX(TableAFNSchools[Total Avg. FTEs per Grade],MATCH(Table3[[#This Row],[School '#]],TableAFNSchools[School No.],0))</f>
        <v>28.428571428571427</v>
      </c>
      <c r="H12" s="37">
        <f>INDEX(TableAFNSchools[Total Reserve Pop (2011 Census)],MATCH(Table3[[#This Row],[School '#]],TableAFNSchools[School No.],0))</f>
        <v>505</v>
      </c>
      <c r="I12" s="55">
        <f>INDEX(TableAFNSchools[FNSS Dispersion Factor],MATCH(Table3[[#This Row],[School '#]],TableAFNSchools[School No.],0))</f>
        <v>3.4732742858418326E-3</v>
      </c>
      <c r="J12"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94440</v>
      </c>
      <c r="K12" s="19">
        <f>Table3[[#This Row],[TOTAL]]/Table3[[#This Row],[Eligible FTE]]</f>
        <v>237.28643216080403</v>
      </c>
    </row>
    <row r="13" spans="1:11">
      <c r="A13">
        <f>'A. 20-21 FN Schools Data'!A9</f>
        <v>267</v>
      </c>
      <c r="B13" t="str">
        <f>'A. 20-21 FN Schools Data'!B9</f>
        <v>Bloodvein</v>
      </c>
      <c r="C13">
        <f>'A. 20-21 FN Schools Data'!C9</f>
        <v>1148</v>
      </c>
      <c r="D13" t="str">
        <f>'A. 20-21 FN Schools Data'!D9</f>
        <v>Miskooseepi School</v>
      </c>
      <c r="E13" t="str">
        <f>'A. 20-21 FN Schools Data'!BX9</f>
        <v>Combined</v>
      </c>
      <c r="F13" s="1">
        <f>INDEX(TableAFNSchools[Total Funded FTE],MATCH(Table3[[#This Row],[School '#]],TableAFNSchools[School No.],0))</f>
        <v>194</v>
      </c>
      <c r="G13" s="1">
        <f>INDEX(TableAFNSchools[Total Avg. FTEs per Grade],MATCH(Table3[[#This Row],[School '#]],TableAFNSchools[School No.],0))</f>
        <v>14.923076923076923</v>
      </c>
      <c r="H13" s="37">
        <f>INDEX(TableAFNSchools[Total Reserve Pop (2011 Census)],MATCH(Table3[[#This Row],[School '#]],TableAFNSchools[School No.],0))</f>
        <v>645</v>
      </c>
      <c r="I13" s="55">
        <f>INDEX(TableAFNSchools[FNSS Dispersion Factor],MATCH(Table3[[#This Row],[School '#]],TableAFNSchools[School No.],0))</f>
        <v>3.4732742858418326E-3</v>
      </c>
      <c r="J13"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74854</v>
      </c>
      <c r="K13" s="19">
        <f>Table3[[#This Row],[TOTAL]]/Table3[[#This Row],[Eligible FTE]]</f>
        <v>385.84536082474227</v>
      </c>
    </row>
    <row r="14" spans="1:11">
      <c r="A14">
        <f>'A. 20-21 FN Schools Data'!A10</f>
        <v>304</v>
      </c>
      <c r="B14" t="str">
        <f>'A. 20-21 FN Schools Data'!B10</f>
        <v>York Factory</v>
      </c>
      <c r="C14">
        <f>'A. 20-21 FN Schools Data'!C10</f>
        <v>1166</v>
      </c>
      <c r="D14" t="str">
        <f>'A. 20-21 FN Schools Data'!D10</f>
        <v>George Saunders Memorial School</v>
      </c>
      <c r="E14" t="str">
        <f>'A. 20-21 FN Schools Data'!BX10</f>
        <v>Combined</v>
      </c>
      <c r="F14" s="1">
        <f>INDEX(TableAFNSchools[Total Funded FTE],MATCH(Table3[[#This Row],[School '#]],TableAFNSchools[School No.],0))</f>
        <v>142</v>
      </c>
      <c r="G14" s="1">
        <f>INDEX(TableAFNSchools[Total Avg. FTEs per Grade],MATCH(Table3[[#This Row],[School '#]],TableAFNSchools[School No.],0))</f>
        <v>10.142857142857142</v>
      </c>
      <c r="H14" s="37">
        <f>INDEX(TableAFNSchools[Total Reserve Pop (2011 Census)],MATCH(Table3[[#This Row],[School '#]],TableAFNSchools[School No.],0))</f>
        <v>450</v>
      </c>
      <c r="I14" s="55">
        <f>INDEX(TableAFNSchools[FNSS Dispersion Factor],MATCH(Table3[[#This Row],[School '#]],TableAFNSchools[School No.],0))</f>
        <v>3.4732742858418326E-3</v>
      </c>
      <c r="J14"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62257</v>
      </c>
      <c r="K14" s="19">
        <f>Table3[[#This Row],[TOTAL]]/Table3[[#This Row],[Eligible FTE]]</f>
        <v>438.42957746478874</v>
      </c>
    </row>
    <row r="15" spans="1:11">
      <c r="A15">
        <f>'A. 20-21 FN Schools Data'!A11</f>
        <v>271</v>
      </c>
      <c r="B15" t="str">
        <f>'A. 20-21 FN Schools Data'!B11</f>
        <v>Lake Manitoba</v>
      </c>
      <c r="C15">
        <f>'A. 20-21 FN Schools Data'!C11</f>
        <v>1345</v>
      </c>
      <c r="D15" t="str">
        <f>'A. 20-21 FN Schools Data'!D11</f>
        <v>Lake Manitoba School</v>
      </c>
      <c r="E15" t="str">
        <f>'A. 20-21 FN Schools Data'!BX11</f>
        <v>Combined</v>
      </c>
      <c r="F15" s="1">
        <f>INDEX(TableAFNSchools[Total Funded FTE],MATCH(Table3[[#This Row],[School '#]],TableAFNSchools[School No.],0))</f>
        <v>303</v>
      </c>
      <c r="G15" s="1">
        <f>INDEX(TableAFNSchools[Total Avg. FTEs per Grade],MATCH(Table3[[#This Row],[School '#]],TableAFNSchools[School No.],0))</f>
        <v>21.642857142857142</v>
      </c>
      <c r="H15" s="37">
        <f>INDEX(TableAFNSchools[Total Reserve Pop (2011 Census)],MATCH(Table3[[#This Row],[School '#]],TableAFNSchools[School No.],0))</f>
        <v>680</v>
      </c>
      <c r="I15" s="55">
        <f>INDEX(TableAFNSchools[FNSS Dispersion Factor],MATCH(Table3[[#This Row],[School '#]],TableAFNSchools[School No.],0))</f>
        <v>3.4732742858418326E-3</v>
      </c>
      <c r="J15"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94514</v>
      </c>
      <c r="K15" s="19">
        <f>Table3[[#This Row],[TOTAL]]/Table3[[#This Row],[Eligible FTE]]</f>
        <v>311.92739273927396</v>
      </c>
    </row>
    <row r="16" spans="1:11">
      <c r="A16">
        <f>'A. 20-21 FN Schools Data'!A12</f>
        <v>295</v>
      </c>
      <c r="B16" t="str">
        <f>'A. 20-21 FN Schools Data'!B12</f>
        <v>Dakota Tipi</v>
      </c>
      <c r="C16">
        <f>'A. 20-21 FN Schools Data'!C12</f>
        <v>1350</v>
      </c>
      <c r="D16" t="str">
        <f>'A. 20-21 FN Schools Data'!D12</f>
        <v>Dakota Tipi School</v>
      </c>
      <c r="E16" t="str">
        <f>'A. 20-21 FN Schools Data'!BX12</f>
        <v>Nursery/Kindergarten</v>
      </c>
      <c r="F16" s="1">
        <f>INDEX(TableAFNSchools[Total Funded FTE],MATCH(Table3[[#This Row],[School '#]],TableAFNSchools[School No.],0))</f>
        <v>41</v>
      </c>
      <c r="G16" s="1">
        <f>INDEX(TableAFNSchools[Total Avg. FTEs per Grade],MATCH(Table3[[#This Row],[School '#]],TableAFNSchools[School No.],0))</f>
        <v>2.9285714285714284</v>
      </c>
      <c r="H16" s="37">
        <f>INDEX(TableAFNSchools[Total Reserve Pop (2011 Census)],MATCH(Table3[[#This Row],[School '#]],TableAFNSchools[School No.],0))</f>
        <v>0</v>
      </c>
      <c r="I16" s="55">
        <f>INDEX(TableAFNSchools[FNSS Dispersion Factor],MATCH(Table3[[#This Row],[School '#]],TableAFNSchools[School No.],0))</f>
        <v>0</v>
      </c>
      <c r="J16"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21229</v>
      </c>
      <c r="K16" s="19">
        <f>Table3[[#This Row],[TOTAL]]/Table3[[#This Row],[Eligible FTE]]</f>
        <v>517.78048780487802</v>
      </c>
    </row>
    <row r="17" spans="1:13">
      <c r="A17">
        <f>'A. 20-21 FN Schools Data'!A13</f>
        <v>288</v>
      </c>
      <c r="B17" t="str">
        <f>'A. 20-21 FN Schools Data'!B13</f>
        <v>Dakota Plains</v>
      </c>
      <c r="C17">
        <f>'A. 20-21 FN Schools Data'!C13</f>
        <v>1486</v>
      </c>
      <c r="D17" t="str">
        <f>'A. 20-21 FN Schools Data'!D13</f>
        <v>Mahpiya Hdega School</v>
      </c>
      <c r="E17" t="str">
        <f>'A. 20-21 FN Schools Data'!BX13</f>
        <v>Elementary</v>
      </c>
      <c r="F17" s="1">
        <f>INDEX(TableAFNSchools[Total Funded FTE],MATCH(Table3[[#This Row],[School '#]],TableAFNSchools[School No.],0))</f>
        <v>86</v>
      </c>
      <c r="G17" s="1">
        <f>INDEX(TableAFNSchools[Total Avg. FTEs per Grade],MATCH(Table3[[#This Row],[School '#]],TableAFNSchools[School No.],0))</f>
        <v>8.6</v>
      </c>
      <c r="H17" s="37">
        <f>INDEX(TableAFNSchools[Total Reserve Pop (2011 Census)],MATCH(Table3[[#This Row],[School '#]],TableAFNSchools[School No.],0))</f>
        <v>115</v>
      </c>
      <c r="I17" s="55">
        <f>INDEX(TableAFNSchools[FNSS Dispersion Factor],MATCH(Table3[[#This Row],[School '#]],TableAFNSchools[School No.],0))</f>
        <v>3.4732742858418326E-3</v>
      </c>
      <c r="J17"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39164</v>
      </c>
      <c r="K17" s="19">
        <f>Table3[[#This Row],[TOTAL]]/Table3[[#This Row],[Eligible FTE]]</f>
        <v>455.39534883720933</v>
      </c>
    </row>
    <row r="18" spans="1:13">
      <c r="A18">
        <f>'A. 20-21 FN Schools Data'!A14</f>
        <v>261</v>
      </c>
      <c r="B18" t="str">
        <f>'A. 20-21 FN Schools Data'!B14</f>
        <v>Brokenhead</v>
      </c>
      <c r="C18">
        <f>'A. 20-21 FN Schools Data'!C14</f>
        <v>1756</v>
      </c>
      <c r="D18" t="str">
        <f>'A. 20-21 FN Schools Data'!D14</f>
        <v>Sergeant Tommy Prince School</v>
      </c>
      <c r="E18" t="str">
        <f>'A. 20-21 FN Schools Data'!BX14</f>
        <v>Combined</v>
      </c>
      <c r="F18" s="1">
        <f>INDEX(TableAFNSchools[Total Funded FTE],MATCH(Table3[[#This Row],[School '#]],TableAFNSchools[School No.],0))</f>
        <v>123</v>
      </c>
      <c r="G18" s="1">
        <f>INDEX(TableAFNSchools[Total Avg. FTEs per Grade],MATCH(Table3[[#This Row],[School '#]],TableAFNSchools[School No.],0))</f>
        <v>8.7857142857142865</v>
      </c>
      <c r="H18" s="37">
        <f>INDEX(TableAFNSchools[Total Reserve Pop (2011 Census)],MATCH(Table3[[#This Row],[School '#]],TableAFNSchools[School No.],0))</f>
        <v>470</v>
      </c>
      <c r="I18" s="55">
        <f>INDEX(TableAFNSchools[FNSS Dispersion Factor],MATCH(Table3[[#This Row],[School '#]],TableAFNSchools[School No.],0))</f>
        <v>3.4732742858418326E-3</v>
      </c>
      <c r="J18"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55763</v>
      </c>
      <c r="K18" s="19">
        <f>Table3[[#This Row],[TOTAL]]/Table3[[#This Row],[Eligible FTE]]</f>
        <v>453.35772357723579</v>
      </c>
    </row>
    <row r="19" spans="1:13">
      <c r="A19">
        <f>'A. 20-21 FN Schools Data'!A15</f>
        <v>273</v>
      </c>
      <c r="B19" t="str">
        <f>'A. 20-21 FN Schools Data'!B15</f>
        <v>Roseau River</v>
      </c>
      <c r="C19">
        <f>'A. 20-21 FN Schools Data'!C15</f>
        <v>5717</v>
      </c>
      <c r="D19" t="str">
        <f>'A. 20-21 FN Schools Data'!D15</f>
        <v>Ginew School</v>
      </c>
      <c r="E19" t="str">
        <f>'A. 20-21 FN Schools Data'!BX15</f>
        <v>Elementary</v>
      </c>
      <c r="F19" s="1">
        <f>INDEX(TableAFNSchools[Total Funded FTE],MATCH(Table3[[#This Row],[School '#]],TableAFNSchools[School No.],0))</f>
        <v>153</v>
      </c>
      <c r="G19" s="1">
        <f>INDEX(TableAFNSchools[Total Avg. FTEs per Grade],MATCH(Table3[[#This Row],[School '#]],TableAFNSchools[School No.],0))</f>
        <v>15.3</v>
      </c>
      <c r="H19" s="37">
        <f>INDEX(TableAFNSchools[Total Reserve Pop (2011 Census)],MATCH(Table3[[#This Row],[School '#]],TableAFNSchools[School No.],0))</f>
        <v>695</v>
      </c>
      <c r="I19" s="55">
        <f>INDEX(TableAFNSchools[FNSS Dispersion Factor],MATCH(Table3[[#This Row],[School '#]],TableAFNSchools[School No.],0))</f>
        <v>3.4732742858418326E-3</v>
      </c>
      <c r="J19"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58400</v>
      </c>
      <c r="K19" s="19">
        <f>Table3[[#This Row],[TOTAL]]/Table3[[#This Row],[Eligible FTE]]</f>
        <v>381.69934640522877</v>
      </c>
    </row>
    <row r="20" spans="1:13">
      <c r="A20">
        <f>'A. 20-21 FN Schools Data'!A16</f>
        <v>305</v>
      </c>
      <c r="B20" t="str">
        <f>'A. 20-21 FN Schools Data'!B16</f>
        <v>Fox Lake</v>
      </c>
      <c r="C20">
        <f>'A. 20-21 FN Schools Data'!C16</f>
        <v>6413</v>
      </c>
      <c r="D20" t="str">
        <f>'A. 20-21 FN Schools Data'!D16</f>
        <v>Fox Lake School</v>
      </c>
      <c r="E20" t="str">
        <f>'A. 20-21 FN Schools Data'!BX16</f>
        <v>Elementary</v>
      </c>
      <c r="F20" s="1">
        <f>INDEX(TableAFNSchools[Total Funded FTE],MATCH(Table3[[#This Row],[School '#]],TableAFNSchools[School No.],0))</f>
        <v>27</v>
      </c>
      <c r="G20" s="1">
        <f>INDEX(TableAFNSchools[Total Avg. FTEs per Grade],MATCH(Table3[[#This Row],[School '#]],TableAFNSchools[School No.],0))</f>
        <v>2.7</v>
      </c>
      <c r="H20" s="37">
        <f>INDEX(TableAFNSchools[Total Reserve Pop (2011 Census)],MATCH(Table3[[#This Row],[School '#]],TableAFNSchools[School No.],0))</f>
        <v>265</v>
      </c>
      <c r="I20" s="55">
        <f>INDEX(TableAFNSchools[FNSS Dispersion Factor],MATCH(Table3[[#This Row],[School '#]],TableAFNSchools[School No.],0))</f>
        <v>3.4732742858418326E-3</v>
      </c>
      <c r="J20"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14048</v>
      </c>
      <c r="K20" s="19">
        <f>Table3[[#This Row],[TOTAL]]/Table3[[#This Row],[Eligible FTE]]</f>
        <v>520.2962962962963</v>
      </c>
    </row>
    <row r="21" spans="1:13">
      <c r="A21">
        <f>'A. 20-21 FN Schools Data'!A17</f>
        <v>286</v>
      </c>
      <c r="B21" t="str">
        <f>'A. 20-21 FN Schools Data'!B17</f>
        <v>Keeseekoowenin</v>
      </c>
      <c r="C21">
        <f>'A. 20-21 FN Schools Data'!C17</f>
        <v>8990</v>
      </c>
      <c r="D21" t="str">
        <f>'A. 20-21 FN Schools Data'!D17</f>
        <v>Keeseekoowenin School</v>
      </c>
      <c r="E21" t="str">
        <f>'A. 20-21 FN Schools Data'!BX17</f>
        <v>Elementary</v>
      </c>
      <c r="F21" s="1">
        <f>INDEX(TableAFNSchools[Total Funded FTE],MATCH(Table3[[#This Row],[School '#]],TableAFNSchools[School No.],0))</f>
        <v>99</v>
      </c>
      <c r="G21" s="1">
        <f>INDEX(TableAFNSchools[Total Avg. FTEs per Grade],MATCH(Table3[[#This Row],[School '#]],TableAFNSchools[School No.],0))</f>
        <v>9.9</v>
      </c>
      <c r="H21" s="37">
        <f>INDEX(TableAFNSchools[Total Reserve Pop (2011 Census)],MATCH(Table3[[#This Row],[School '#]],TableAFNSchools[School No.],0))</f>
        <v>440</v>
      </c>
      <c r="I21" s="55">
        <f>INDEX(TableAFNSchools[FNSS Dispersion Factor],MATCH(Table3[[#This Row],[School '#]],TableAFNSchools[School No.],0))</f>
        <v>3.4732742858418326E-3</v>
      </c>
      <c r="J21" s="704">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43669</v>
      </c>
      <c r="K21" s="19">
        <f>Table3[[#This Row],[TOTAL]]/Table3[[#This Row],[Eligible FTE]]</f>
        <v>441.1010101010101</v>
      </c>
    </row>
    <row r="22" spans="1:13">
      <c r="A22">
        <f>'A. 20-21 FN Schools Data'!A18</f>
        <v>261</v>
      </c>
      <c r="B22" t="str">
        <f>'A. 20-21 FN Schools Data'!B18</f>
        <v>Brokenhead</v>
      </c>
      <c r="C22">
        <f>'A. 20-21 FN Schools Data'!C18</f>
        <v>50250</v>
      </c>
      <c r="D22" t="str">
        <f>'A. 20-21 FN Schools Data'!D18</f>
        <v>Brokenhead Ojibway Nation Adult Learning Centre</v>
      </c>
      <c r="E22" t="str">
        <f>'A. 20-21 FN Schools Data'!BX18</f>
        <v>Adult Education</v>
      </c>
      <c r="F22" s="80">
        <f>INDEX(TableAFNSchools[Total Funded FTE],MATCH(Table3[[#This Row],[School '#]],TableAFNSchools[School No.],0))</f>
        <v>25</v>
      </c>
      <c r="G22" s="1">
        <f>INDEX(TableAFNSchools[Total Avg. FTEs per Grade],MATCH(Table3[[#This Row],[School '#]],TableAFNSchools[School No.],0))</f>
        <v>25</v>
      </c>
      <c r="H22" s="37">
        <f>INDEX(TableAFNSchools[Total Reserve Pop (2011 Census)],MATCH(Table3[[#This Row],[School '#]],TableAFNSchools[School No.],0))</f>
        <v>470</v>
      </c>
      <c r="I22" s="55">
        <f>INDEX(TableAFNSchools[FNSS Dispersion Factor],MATCH(Table3[[#This Row],[School '#]],TableAFNSchools[School No.],0))</f>
        <v>3.4732742858418326E-3</v>
      </c>
      <c r="J22" s="705">
        <f>ROUND(IF(Table3[[#This Row],[School Type]]="Adult Education",0,IF(AND(Table3[[#This Row],[Dispersion Factor]]&lt;10,Table3[[#This Row],[2011 NHS Pop.]]&lt;10000,Table3[[#This Row],[Avg FTE per Grade]]&lt;FundingRate_StdperGrade),(FundingRate_StdperGrade-Table3[[#This Row],[Avg FTE per Grade]])*FundingRate_Sparsity*Table3[[#This Row],[Eligible FTE]])),0)</f>
        <v>0</v>
      </c>
      <c r="K22" s="19">
        <f>Table3[[#This Row],[TOTAL]]/Table3[[#This Row],[Eligible FTE]]</f>
        <v>0</v>
      </c>
    </row>
    <row r="23" spans="1:13">
      <c r="A23" t="s">
        <v>72</v>
      </c>
      <c r="F23" s="1197">
        <f>SUBTOTAL(109,Table3[Eligible FTE])</f>
        <v>2026</v>
      </c>
      <c r="H23" s="1209">
        <f>SUBTOTAL(109,Table3[2011 NHS Pop.])</f>
        <v>5710</v>
      </c>
      <c r="J23" s="709">
        <f>SUBTOTAL(109,Table3[TOTAL])</f>
        <v>648911</v>
      </c>
    </row>
    <row r="24" spans="1:13" ht="15">
      <c r="F24" s="1"/>
      <c r="G24" s="1"/>
      <c r="H24" s="55"/>
      <c r="I24" s="22"/>
      <c r="K24" s="1"/>
      <c r="L24" s="19"/>
      <c r="M24" s="19"/>
    </row>
    <row r="25" spans="1:13">
      <c r="G25" s="1"/>
    </row>
  </sheetData>
  <mergeCells count="3">
    <mergeCell ref="A6:E7"/>
    <mergeCell ref="F6:G7"/>
    <mergeCell ref="A4:E5"/>
  </mergeCells>
  <hyperlinks>
    <hyperlink ref="F6" r:id="rId1" display="http://www.edu.gov.mb.ca/k12/finance/schfund/funding_16-17.pdf" xr:uid="{00000000-0004-0000-0C00-000000000000}"/>
    <hyperlink ref="F6:G7" r:id="rId2" display="Source: Manitoba Education, Funding of Schools 2017-18 Guide, p3" xr:uid="{00000000-0004-0000-0C00-000001000000}"/>
  </hyperlinks>
  <pageMargins left="0.7" right="0.7" top="0.75" bottom="0.75" header="0.3" footer="0.3"/>
  <pageSetup orientation="landscape" r:id="rId3"/>
  <headerFooter>
    <oddHeader>&amp;LMFNERC First Nations School System 2017-18&amp;RE&amp;&amp;OE</oddHeader>
  </headerFooter>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2:J24"/>
  <sheetViews>
    <sheetView workbookViewId="0">
      <selection activeCell="G12" sqref="G12"/>
    </sheetView>
  </sheetViews>
  <sheetFormatPr baseColWidth="10" defaultColWidth="9.19921875" defaultRowHeight="14"/>
  <cols>
    <col min="2" max="2" width="18" customWidth="1"/>
    <col min="3" max="3" width="8.796875" customWidth="1"/>
    <col min="4" max="4" width="32.3984375" customWidth="1"/>
    <col min="5" max="5" width="10.796875" customWidth="1"/>
    <col min="6" max="6" width="19.3984375" customWidth="1"/>
    <col min="7" max="7" width="14.59765625" customWidth="1"/>
    <col min="8" max="8" width="19.19921875" customWidth="1"/>
    <col min="9" max="9" width="13.796875" customWidth="1"/>
    <col min="10" max="10" width="17.59765625" customWidth="1"/>
    <col min="11" max="11" width="15.19921875" customWidth="1"/>
  </cols>
  <sheetData>
    <row r="2" spans="1:10">
      <c r="A2" t="s">
        <v>323</v>
      </c>
    </row>
    <row r="3" spans="1:10" ht="19">
      <c r="A3" s="33" t="s">
        <v>346</v>
      </c>
      <c r="H3" s="33" t="s">
        <v>325</v>
      </c>
    </row>
    <row r="4" spans="1:10">
      <c r="A4" s="1646" t="s">
        <v>347</v>
      </c>
      <c r="B4" s="1646"/>
      <c r="C4" s="1646"/>
      <c r="D4" s="1646"/>
      <c r="E4" s="1646"/>
    </row>
    <row r="5" spans="1:10">
      <c r="A5" s="35"/>
      <c r="B5" s="35"/>
      <c r="C5" s="35"/>
      <c r="D5" s="35"/>
      <c r="E5" s="35"/>
    </row>
    <row r="7" spans="1:10">
      <c r="A7" s="1199" t="s">
        <v>328</v>
      </c>
      <c r="B7" s="1210">
        <v>60</v>
      </c>
      <c r="H7" s="1195" t="s">
        <v>328</v>
      </c>
      <c r="I7" s="1196">
        <v>156</v>
      </c>
    </row>
    <row r="8" spans="1:10" ht="15">
      <c r="A8" s="585" t="s">
        <v>348</v>
      </c>
    </row>
    <row r="9" spans="1:10" ht="15">
      <c r="A9" s="2"/>
      <c r="B9" s="2"/>
      <c r="C9" s="2"/>
      <c r="D9" s="2"/>
    </row>
    <row r="10" spans="1:10" ht="48" customHeight="1">
      <c r="A10" s="113" t="s">
        <v>285</v>
      </c>
      <c r="B10" s="113" t="s">
        <v>286</v>
      </c>
      <c r="C10" s="113" t="s">
        <v>330</v>
      </c>
      <c r="D10" s="113" t="s">
        <v>331</v>
      </c>
      <c r="E10" s="113" t="s">
        <v>332</v>
      </c>
      <c r="F10" s="710" t="s">
        <v>322</v>
      </c>
      <c r="G10" s="113" t="s">
        <v>458</v>
      </c>
      <c r="H10" s="1456" t="s">
        <v>349</v>
      </c>
      <c r="J10" s="1460" t="s">
        <v>350</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FTE],MATCH(Table4[[#This Row],[School '#]],TableAFNSchools[School No.],0))</f>
        <v>435</v>
      </c>
      <c r="F11" s="705">
        <f>Table4[[#This Row],[Eligible FTE]]*FundingRate_Curricular</f>
        <v>26100</v>
      </c>
      <c r="G11" s="19">
        <f>Table4[[#This Row],[TOTAL]]/Table4[[#This Row],[Eligible FTE]]</f>
        <v>60</v>
      </c>
      <c r="H11" s="706">
        <f>Table4[[#This Row],[Eligible FTE]]*$I$7</f>
        <v>67860</v>
      </c>
      <c r="J11" s="714">
        <f>H11+Table4[[#This Row],[TOTAL]]</f>
        <v>93960</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FTE],MATCH(Table4[[#This Row],[School '#]],TableAFNSchools[School No.],0))</f>
        <v>398</v>
      </c>
      <c r="F12" s="705">
        <f>Table4[[#This Row],[Eligible FTE]]*FundingRate_Curricular</f>
        <v>23880</v>
      </c>
      <c r="G12" s="19">
        <f>Table4[[#This Row],[TOTAL]]/Table4[[#This Row],[Eligible FTE]]</f>
        <v>60</v>
      </c>
      <c r="H12" s="706">
        <f>Table4[[#This Row],[Eligible FTE]]*$I$7</f>
        <v>62088</v>
      </c>
      <c r="J12" s="714">
        <f>H12+Table4[[#This Row],[TOTAL]]</f>
        <v>85968</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FTE],MATCH(Table4[[#This Row],[School '#]],TableAFNSchools[School No.],0))</f>
        <v>194</v>
      </c>
      <c r="F13" s="705">
        <f>Table4[[#This Row],[Eligible FTE]]*FundingRate_Curricular</f>
        <v>11640</v>
      </c>
      <c r="G13" s="19">
        <f>Table4[[#This Row],[TOTAL]]/Table4[[#This Row],[Eligible FTE]]</f>
        <v>60</v>
      </c>
      <c r="H13" s="706">
        <f>Table4[[#This Row],[Eligible FTE]]*$I$7</f>
        <v>30264</v>
      </c>
      <c r="J13" s="714">
        <f>H13+Table4[[#This Row],[TOTAL]]</f>
        <v>41904</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FTE],MATCH(Table4[[#This Row],[School '#]],TableAFNSchools[School No.],0))</f>
        <v>142</v>
      </c>
      <c r="F14" s="705">
        <f>Table4[[#This Row],[Eligible FTE]]*FundingRate_Curricular</f>
        <v>8520</v>
      </c>
      <c r="G14" s="19">
        <f>Table4[[#This Row],[TOTAL]]/Table4[[#This Row],[Eligible FTE]]</f>
        <v>60</v>
      </c>
      <c r="H14" s="706">
        <f>Table4[[#This Row],[Eligible FTE]]*$I$7</f>
        <v>22152</v>
      </c>
      <c r="J14" s="714">
        <f>H14+Table4[[#This Row],[TOTAL]]</f>
        <v>30672</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FTE],MATCH(Table4[[#This Row],[School '#]],TableAFNSchools[School No.],0))</f>
        <v>303</v>
      </c>
      <c r="F15" s="705">
        <f>Table4[[#This Row],[Eligible FTE]]*FundingRate_Curricular</f>
        <v>18180</v>
      </c>
      <c r="G15" s="19">
        <f>Table4[[#This Row],[TOTAL]]/Table4[[#This Row],[Eligible FTE]]</f>
        <v>60</v>
      </c>
      <c r="H15" s="706">
        <f>Table4[[#This Row],[Eligible FTE]]*$I$7</f>
        <v>47268</v>
      </c>
      <c r="J15" s="714">
        <f>H15+Table4[[#This Row],[TOTAL]]</f>
        <v>65448</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FTE],MATCH(Table4[[#This Row],[School '#]],TableAFNSchools[School No.],0))</f>
        <v>41</v>
      </c>
      <c r="F16" s="705">
        <f>Table4[[#This Row],[Eligible FTE]]*FundingRate_Curricular</f>
        <v>2460</v>
      </c>
      <c r="G16" s="19">
        <f>Table4[[#This Row],[TOTAL]]/Table4[[#This Row],[Eligible FTE]]</f>
        <v>60</v>
      </c>
      <c r="H16" s="706">
        <f>Table4[[#This Row],[Eligible FTE]]*$I$7</f>
        <v>6396</v>
      </c>
      <c r="J16" s="714">
        <f>H16+Table4[[#This Row],[TOTAL]]</f>
        <v>8856</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FTE],MATCH(Table4[[#This Row],[School '#]],TableAFNSchools[School No.],0))</f>
        <v>86</v>
      </c>
      <c r="F17" s="705">
        <f>Table4[[#This Row],[Eligible FTE]]*FundingRate_Curricular</f>
        <v>5160</v>
      </c>
      <c r="G17" s="19">
        <f>Table4[[#This Row],[TOTAL]]/Table4[[#This Row],[Eligible FTE]]</f>
        <v>60</v>
      </c>
      <c r="H17" s="706">
        <f>Table4[[#This Row],[Eligible FTE]]*$I$7</f>
        <v>13416</v>
      </c>
      <c r="J17" s="714">
        <f>H17+Table4[[#This Row],[TOTAL]]</f>
        <v>18576</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FTE],MATCH(Table4[[#This Row],[School '#]],TableAFNSchools[School No.],0))</f>
        <v>123</v>
      </c>
      <c r="F18" s="705">
        <f>Table4[[#This Row],[Eligible FTE]]*FundingRate_Curricular</f>
        <v>7380</v>
      </c>
      <c r="G18" s="19">
        <f>Table4[[#This Row],[TOTAL]]/Table4[[#This Row],[Eligible FTE]]</f>
        <v>60</v>
      </c>
      <c r="H18" s="706">
        <f>Table4[[#This Row],[Eligible FTE]]*$I$7</f>
        <v>19188</v>
      </c>
      <c r="J18" s="714">
        <f>H18+Table4[[#This Row],[TOTAL]]</f>
        <v>26568</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FTE],MATCH(Table4[[#This Row],[School '#]],TableAFNSchools[School No.],0))</f>
        <v>153</v>
      </c>
      <c r="F19" s="705">
        <f>Table4[[#This Row],[Eligible FTE]]*FundingRate_Curricular</f>
        <v>9180</v>
      </c>
      <c r="G19" s="19">
        <f>Table4[[#This Row],[TOTAL]]/Table4[[#This Row],[Eligible FTE]]</f>
        <v>60</v>
      </c>
      <c r="H19" s="706">
        <f>Table4[[#This Row],[Eligible FTE]]*$I$7</f>
        <v>23868</v>
      </c>
      <c r="J19" s="714">
        <f>H19+Table4[[#This Row],[TOTAL]]</f>
        <v>33048</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FTE],MATCH(Table4[[#This Row],[School '#]],TableAFNSchools[School No.],0))</f>
        <v>27</v>
      </c>
      <c r="F20" s="705">
        <f>Table4[[#This Row],[Eligible FTE]]*FundingRate_Curricular</f>
        <v>1620</v>
      </c>
      <c r="G20" s="19">
        <f>Table4[[#This Row],[TOTAL]]/Table4[[#This Row],[Eligible FTE]]</f>
        <v>60</v>
      </c>
      <c r="H20" s="706">
        <f>Table4[[#This Row],[Eligible FTE]]*$I$7</f>
        <v>4212</v>
      </c>
      <c r="J20" s="714">
        <f>H20+Table4[[#This Row],[TOTAL]]</f>
        <v>5832</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FTE],MATCH(Table4[[#This Row],[School '#]],TableAFNSchools[School No.],0))</f>
        <v>99</v>
      </c>
      <c r="F21" s="705">
        <f>Table4[[#This Row],[Eligible FTE]]*FundingRate_Curricular</f>
        <v>5940</v>
      </c>
      <c r="G21" s="19">
        <f>Table4[[#This Row],[TOTAL]]/Table4[[#This Row],[Eligible FTE]]</f>
        <v>60</v>
      </c>
      <c r="H21" s="706">
        <f>Table4[[#This Row],[Eligible FTE]]*$I$7</f>
        <v>15444</v>
      </c>
      <c r="J21" s="714">
        <f>H21+Table4[[#This Row],[TOTAL]]</f>
        <v>21384</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FTE],MATCH(Table4[[#This Row],[School '#]],TableAFNSchools[School No.],0))</f>
        <v>25</v>
      </c>
      <c r="F22" s="876">
        <f>Table4[[#This Row],[Eligible FTE]]*FundingRate_Curricular</f>
        <v>1500</v>
      </c>
      <c r="G22" s="19">
        <f>Table4[[#This Row],[TOTAL]]/Table4[[#This Row],[Eligible FTE]]</f>
        <v>60</v>
      </c>
      <c r="H22" s="706">
        <f>Table4[[#This Row],[Eligible FTE]]*$I$7</f>
        <v>3900</v>
      </c>
      <c r="J22" s="714">
        <f>H22+Table4[[#This Row],[TOTAL]]</f>
        <v>5400</v>
      </c>
    </row>
    <row r="23" spans="1:10">
      <c r="A23" t="s">
        <v>72</v>
      </c>
      <c r="E23" s="1197">
        <f>SUBTOTAL(109,Table4[Eligible FTE])</f>
        <v>2026</v>
      </c>
      <c r="F23" s="1211">
        <f>SUBTOTAL(109,Table4[TOTAL])</f>
        <v>121560</v>
      </c>
      <c r="H23" s="1458">
        <f>SUM(H11:H22)</f>
        <v>316056</v>
      </c>
      <c r="J23" s="1459">
        <f>SUM(J11:J22)</f>
        <v>437616</v>
      </c>
    </row>
    <row r="24" spans="1:10">
      <c r="E24" s="1"/>
    </row>
  </sheetData>
  <mergeCells count="1">
    <mergeCell ref="A4:E4"/>
  </mergeCells>
  <hyperlinks>
    <hyperlink ref="A8" r:id="rId1" display="Source: Manitoba Education, Funding of Schools 2020-21 Guide, p3" xr:uid="{00000000-0004-0000-0D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
  <dimension ref="A2:J24"/>
  <sheetViews>
    <sheetView workbookViewId="0">
      <selection activeCell="G12" sqref="G12"/>
    </sheetView>
  </sheetViews>
  <sheetFormatPr baseColWidth="10" defaultColWidth="9.19921875" defaultRowHeight="14"/>
  <cols>
    <col min="2" max="2" width="18.19921875" customWidth="1"/>
    <col min="3" max="3" width="8.59765625" customWidth="1"/>
    <col min="4" max="4" width="33" customWidth="1"/>
    <col min="5" max="5" width="11" customWidth="1"/>
    <col min="6" max="6" width="18.19921875" customWidth="1"/>
    <col min="7" max="7" width="14.59765625" customWidth="1"/>
    <col min="8" max="8" width="13.59765625" customWidth="1"/>
    <col min="9" max="9" width="13" customWidth="1"/>
    <col min="10" max="10" width="15.796875" customWidth="1"/>
    <col min="11" max="11" width="15.19921875" customWidth="1"/>
  </cols>
  <sheetData>
    <row r="2" spans="1:10">
      <c r="A2" t="s">
        <v>323</v>
      </c>
    </row>
    <row r="3" spans="1:10" ht="19">
      <c r="A3" s="33" t="s">
        <v>351</v>
      </c>
      <c r="H3" s="33" t="s">
        <v>325</v>
      </c>
    </row>
    <row r="4" spans="1:10">
      <c r="A4" s="1646" t="s">
        <v>352</v>
      </c>
      <c r="B4" s="1646"/>
      <c r="C4" s="1646"/>
      <c r="D4" s="1646"/>
      <c r="E4" s="1646"/>
    </row>
    <row r="5" spans="1:10">
      <c r="A5" s="35"/>
      <c r="B5" s="35"/>
      <c r="C5" s="35"/>
      <c r="D5" s="35"/>
      <c r="E5" s="35"/>
    </row>
    <row r="7" spans="1:10">
      <c r="A7" s="1199" t="s">
        <v>328</v>
      </c>
      <c r="B7" s="1210">
        <v>62</v>
      </c>
      <c r="H7" s="1195" t="s">
        <v>328</v>
      </c>
      <c r="I7" s="1196">
        <v>163</v>
      </c>
    </row>
    <row r="8" spans="1:10" ht="15">
      <c r="A8" s="585" t="s">
        <v>348</v>
      </c>
    </row>
    <row r="9" spans="1:10" ht="21" customHeight="1">
      <c r="A9" s="2"/>
      <c r="B9" s="2"/>
      <c r="C9" s="2"/>
      <c r="D9" s="2"/>
      <c r="G9" s="19"/>
    </row>
    <row r="10" spans="1:10" ht="34.5" customHeight="1">
      <c r="A10" s="112" t="s">
        <v>285</v>
      </c>
      <c r="B10" s="112" t="s">
        <v>286</v>
      </c>
      <c r="C10" s="112" t="s">
        <v>330</v>
      </c>
      <c r="D10" s="112" t="s">
        <v>331</v>
      </c>
      <c r="E10" s="112" t="s">
        <v>332</v>
      </c>
      <c r="F10" s="710" t="s">
        <v>322</v>
      </c>
      <c r="G10" s="121" t="s">
        <v>458</v>
      </c>
      <c r="H10" s="1456" t="s">
        <v>353</v>
      </c>
      <c r="J10" s="1460" t="s">
        <v>354</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FTE],MATCH(Table5[[#This Row],[School '#]],TableAFNSchools[School No.],0))</f>
        <v>435</v>
      </c>
      <c r="F11" s="709">
        <f>Table5[[#This Row],[Eligible FTE]]*FundingRate_InfoTech</f>
        <v>26970</v>
      </c>
      <c r="G11" s="19">
        <f>Table5[[#This Row],[TOTAL]]/Table5[[#This Row],[Eligible FTE]]</f>
        <v>62</v>
      </c>
      <c r="H11" s="706">
        <f>ROUND($I$7*Table5[[#This Row],[Eligible FTE]],0)</f>
        <v>70905</v>
      </c>
      <c r="J11" s="714">
        <f>H11+Table5[[#This Row],[TOTAL]]</f>
        <v>97875</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FTE],MATCH(Table5[[#This Row],[School '#]],TableAFNSchools[School No.],0))</f>
        <v>398</v>
      </c>
      <c r="F12" s="709">
        <f>Table5[[#This Row],[Eligible FTE]]*FundingRate_InfoTech</f>
        <v>24676</v>
      </c>
      <c r="G12" s="19">
        <f>Table5[[#This Row],[TOTAL]]/Table5[[#This Row],[Eligible FTE]]</f>
        <v>62</v>
      </c>
      <c r="H12" s="706">
        <f>ROUND($I$7*Table5[[#This Row],[Eligible FTE]],0)</f>
        <v>64874</v>
      </c>
      <c r="J12" s="714">
        <f>H12+Table5[[#This Row],[TOTAL]]</f>
        <v>89550</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FTE],MATCH(Table5[[#This Row],[School '#]],TableAFNSchools[School No.],0))</f>
        <v>194</v>
      </c>
      <c r="F13" s="709">
        <f>Table5[[#This Row],[Eligible FTE]]*FundingRate_InfoTech</f>
        <v>12028</v>
      </c>
      <c r="G13" s="19">
        <f>Table5[[#This Row],[TOTAL]]/Table5[[#This Row],[Eligible FTE]]</f>
        <v>62</v>
      </c>
      <c r="H13" s="706">
        <f>ROUND($I$7*Table5[[#This Row],[Eligible FTE]],0)</f>
        <v>31622</v>
      </c>
      <c r="J13" s="714">
        <f>H13+Table5[[#This Row],[TOTAL]]</f>
        <v>43650</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FTE],MATCH(Table5[[#This Row],[School '#]],TableAFNSchools[School No.],0))</f>
        <v>142</v>
      </c>
      <c r="F14" s="709">
        <f>Table5[[#This Row],[Eligible FTE]]*FundingRate_InfoTech</f>
        <v>8804</v>
      </c>
      <c r="G14" s="19">
        <f>Table5[[#This Row],[TOTAL]]/Table5[[#This Row],[Eligible FTE]]</f>
        <v>62</v>
      </c>
      <c r="H14" s="706">
        <f>ROUND($I$7*Table5[[#This Row],[Eligible FTE]],0)</f>
        <v>23146</v>
      </c>
      <c r="J14" s="714">
        <f>H14+Table5[[#This Row],[TOTAL]]</f>
        <v>31950</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FTE],MATCH(Table5[[#This Row],[School '#]],TableAFNSchools[School No.],0))</f>
        <v>303</v>
      </c>
      <c r="F15" s="709">
        <f>Table5[[#This Row],[Eligible FTE]]*FundingRate_InfoTech</f>
        <v>18786</v>
      </c>
      <c r="G15" s="19">
        <f>Table5[[#This Row],[TOTAL]]/Table5[[#This Row],[Eligible FTE]]</f>
        <v>62</v>
      </c>
      <c r="H15" s="706">
        <f>ROUND($I$7*Table5[[#This Row],[Eligible FTE]],0)</f>
        <v>49389</v>
      </c>
      <c r="J15" s="714">
        <f>H15+Table5[[#This Row],[TOTAL]]</f>
        <v>68175</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FTE],MATCH(Table5[[#This Row],[School '#]],TableAFNSchools[School No.],0))</f>
        <v>41</v>
      </c>
      <c r="F16" s="709">
        <f>Table5[[#This Row],[Eligible FTE]]*FundingRate_InfoTech</f>
        <v>2542</v>
      </c>
      <c r="G16" s="19">
        <f>Table5[[#This Row],[TOTAL]]/Table5[[#This Row],[Eligible FTE]]</f>
        <v>62</v>
      </c>
      <c r="H16" s="706">
        <f>ROUND($I$7*Table5[[#This Row],[Eligible FTE]],0)</f>
        <v>6683</v>
      </c>
      <c r="J16" s="714">
        <f>H16+Table5[[#This Row],[TOTAL]]</f>
        <v>9225</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FTE],MATCH(Table5[[#This Row],[School '#]],TableAFNSchools[School No.],0))</f>
        <v>86</v>
      </c>
      <c r="F17" s="709">
        <f>Table5[[#This Row],[Eligible FTE]]*FundingRate_InfoTech</f>
        <v>5332</v>
      </c>
      <c r="G17" s="19">
        <f>Table5[[#This Row],[TOTAL]]/Table5[[#This Row],[Eligible FTE]]</f>
        <v>62</v>
      </c>
      <c r="H17" s="706">
        <f>ROUND($I$7*Table5[[#This Row],[Eligible FTE]],0)</f>
        <v>14018</v>
      </c>
      <c r="J17" s="714">
        <f>H17+Table5[[#This Row],[TOTAL]]</f>
        <v>19350</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FTE],MATCH(Table5[[#This Row],[School '#]],TableAFNSchools[School No.],0))</f>
        <v>123</v>
      </c>
      <c r="F18" s="709">
        <f>Table5[[#This Row],[Eligible FTE]]*FundingRate_InfoTech</f>
        <v>7626</v>
      </c>
      <c r="G18" s="19">
        <f>Table5[[#This Row],[TOTAL]]/Table5[[#This Row],[Eligible FTE]]</f>
        <v>62</v>
      </c>
      <c r="H18" s="706">
        <f>ROUND($I$7*Table5[[#This Row],[Eligible FTE]],0)</f>
        <v>20049</v>
      </c>
      <c r="J18" s="714">
        <f>H18+Table5[[#This Row],[TOTAL]]</f>
        <v>27675</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FTE],MATCH(Table5[[#This Row],[School '#]],TableAFNSchools[School No.],0))</f>
        <v>153</v>
      </c>
      <c r="F19" s="709">
        <f>Table5[[#This Row],[Eligible FTE]]*FundingRate_InfoTech</f>
        <v>9486</v>
      </c>
      <c r="G19" s="19">
        <f>Table5[[#This Row],[TOTAL]]/Table5[[#This Row],[Eligible FTE]]</f>
        <v>62</v>
      </c>
      <c r="H19" s="706">
        <f>ROUND($I$7*Table5[[#This Row],[Eligible FTE]],0)</f>
        <v>24939</v>
      </c>
      <c r="J19" s="714">
        <f>H19+Table5[[#This Row],[TOTAL]]</f>
        <v>34425</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FTE],MATCH(Table5[[#This Row],[School '#]],TableAFNSchools[School No.],0))</f>
        <v>27</v>
      </c>
      <c r="F20" s="709">
        <f>Table5[[#This Row],[Eligible FTE]]*FundingRate_InfoTech</f>
        <v>1674</v>
      </c>
      <c r="G20" s="19">
        <f>Table5[[#This Row],[TOTAL]]/Table5[[#This Row],[Eligible FTE]]</f>
        <v>62</v>
      </c>
      <c r="H20" s="706">
        <f>ROUND($I$7*Table5[[#This Row],[Eligible FTE]],0)</f>
        <v>4401</v>
      </c>
      <c r="J20" s="714">
        <f>H20+Table5[[#This Row],[TOTAL]]</f>
        <v>6075</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FTE],MATCH(Table5[[#This Row],[School '#]],TableAFNSchools[School No.],0))</f>
        <v>99</v>
      </c>
      <c r="F21" s="709">
        <f>Table5[[#This Row],[Eligible FTE]]*FundingRate_InfoTech</f>
        <v>6138</v>
      </c>
      <c r="G21" s="19">
        <f>Table5[[#This Row],[TOTAL]]/Table5[[#This Row],[Eligible FTE]]</f>
        <v>62</v>
      </c>
      <c r="H21" s="706">
        <f>ROUND($I$7*Table5[[#This Row],[Eligible FTE]],0)</f>
        <v>16137</v>
      </c>
      <c r="J21" s="714">
        <f>H21+Table5[[#This Row],[TOTAL]]</f>
        <v>22275</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FTE],MATCH(Table5[[#This Row],[School '#]],TableAFNSchools[School No.],0))</f>
        <v>25</v>
      </c>
      <c r="F22" s="1212">
        <f>Table5[[#This Row],[Eligible FTE]]*FundingRate_InfoTech</f>
        <v>1550</v>
      </c>
      <c r="G22" s="19">
        <f>Table5[[#This Row],[TOTAL]]/Table5[[#This Row],[Eligible FTE]]</f>
        <v>62</v>
      </c>
      <c r="H22" s="706">
        <f>ROUND($I$7*Table5[[#This Row],[Eligible FTE]],0)</f>
        <v>4075</v>
      </c>
      <c r="J22" s="714">
        <f>H22+Table5[[#This Row],[TOTAL]]</f>
        <v>5625</v>
      </c>
    </row>
    <row r="23" spans="1:10">
      <c r="A23" t="s">
        <v>72</v>
      </c>
      <c r="E23" s="1197">
        <f>SUBTOTAL(109,Table5[Eligible FTE])</f>
        <v>2026</v>
      </c>
      <c r="F23" s="709">
        <f>SUBTOTAL(109,Table5[TOTAL])</f>
        <v>125612</v>
      </c>
      <c r="H23" s="1458">
        <f>SUM(H11:H22)</f>
        <v>330238</v>
      </c>
      <c r="J23" s="1459">
        <f>SUM(J11:J22)</f>
        <v>455850</v>
      </c>
    </row>
    <row r="24" spans="1:10" ht="15">
      <c r="E24" s="1"/>
      <c r="F24" s="22"/>
    </row>
  </sheetData>
  <mergeCells count="1">
    <mergeCell ref="A4:E4"/>
  </mergeCells>
  <hyperlinks>
    <hyperlink ref="A8" r:id="rId1" display="Source: Manitoba Education, Funding of Schools 2020-21 Guide, p3" xr:uid="{00000000-0004-0000-0E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2:J23"/>
  <sheetViews>
    <sheetView workbookViewId="0">
      <selection activeCell="G12" sqref="G12"/>
    </sheetView>
  </sheetViews>
  <sheetFormatPr baseColWidth="10" defaultColWidth="9.19921875" defaultRowHeight="14"/>
  <cols>
    <col min="2" max="2" width="18.796875" customWidth="1"/>
    <col min="3" max="3" width="9" customWidth="1"/>
    <col min="4" max="4" width="33.19921875" customWidth="1"/>
    <col min="5" max="5" width="11.3984375" customWidth="1"/>
    <col min="6" max="6" width="17.796875" customWidth="1"/>
    <col min="7" max="7" width="14.59765625" customWidth="1"/>
    <col min="8" max="8" width="16.19921875" customWidth="1"/>
    <col min="9" max="9" width="13.3984375" bestFit="1" customWidth="1"/>
    <col min="10" max="10" width="15.19921875" customWidth="1"/>
    <col min="11" max="11" width="16.3984375" customWidth="1"/>
  </cols>
  <sheetData>
    <row r="2" spans="1:10">
      <c r="A2" t="s">
        <v>323</v>
      </c>
    </row>
    <row r="3" spans="1:10" ht="19">
      <c r="A3" s="33" t="s">
        <v>355</v>
      </c>
      <c r="H3" s="33" t="s">
        <v>325</v>
      </c>
    </row>
    <row r="4" spans="1:10">
      <c r="A4" s="1646" t="s">
        <v>356</v>
      </c>
      <c r="B4" s="1646"/>
      <c r="C4" s="1646"/>
      <c r="D4" s="1646"/>
      <c r="E4" s="1646"/>
    </row>
    <row r="5" spans="1:10">
      <c r="A5" s="35"/>
      <c r="B5" s="35"/>
      <c r="C5" s="35"/>
      <c r="D5" s="35"/>
      <c r="E5" s="35"/>
    </row>
    <row r="7" spans="1:10">
      <c r="A7" s="1199" t="s">
        <v>328</v>
      </c>
      <c r="B7" s="1210">
        <v>92</v>
      </c>
      <c r="H7" s="1195" t="s">
        <v>328</v>
      </c>
      <c r="I7" s="1196">
        <v>196</v>
      </c>
    </row>
    <row r="8" spans="1:10" ht="18.75" customHeight="1">
      <c r="A8" s="585" t="s">
        <v>348</v>
      </c>
    </row>
    <row r="9" spans="1:10" ht="15">
      <c r="A9" s="2"/>
      <c r="B9" s="2"/>
      <c r="C9" s="2"/>
      <c r="D9" s="2"/>
    </row>
    <row r="10" spans="1:10" ht="39.75" customHeight="1">
      <c r="A10" s="113" t="s">
        <v>285</v>
      </c>
      <c r="B10" s="113" t="s">
        <v>286</v>
      </c>
      <c r="C10" s="113" t="s">
        <v>330</v>
      </c>
      <c r="D10" s="113" t="s">
        <v>331</v>
      </c>
      <c r="E10" s="113" t="s">
        <v>332</v>
      </c>
      <c r="F10" s="710" t="s">
        <v>322</v>
      </c>
      <c r="G10" s="113" t="s">
        <v>458</v>
      </c>
      <c r="H10" s="1456" t="s">
        <v>72</v>
      </c>
      <c r="J10" s="1460" t="s">
        <v>357</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FTE],MATCH(Table6[[#This Row],[School '#]],TableAFNSchools[School No.],0))</f>
        <v>435</v>
      </c>
      <c r="F11" s="704">
        <f>Table6[[#This Row],[Eligible FTE]]*FundingRate_LibraryServ</f>
        <v>40020</v>
      </c>
      <c r="G11" s="19">
        <f>Table6[[#This Row],[TOTAL]]/Table6[[#This Row],[Eligible FTE]]</f>
        <v>92</v>
      </c>
      <c r="H11" s="706">
        <f>$I$7*Table6[[#This Row],[Eligible FTE]]</f>
        <v>85260</v>
      </c>
      <c r="J11" s="714">
        <f>H11+Table6[[#This Row],[TOTAL]]</f>
        <v>125280</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FTE],MATCH(Table6[[#This Row],[School '#]],TableAFNSchools[School No.],0))</f>
        <v>398</v>
      </c>
      <c r="F12" s="704">
        <f>Table6[[#This Row],[Eligible FTE]]*FundingRate_LibraryServ</f>
        <v>36616</v>
      </c>
      <c r="G12" s="19">
        <f>Table6[[#This Row],[TOTAL]]/Table6[[#This Row],[Eligible FTE]]</f>
        <v>92</v>
      </c>
      <c r="H12" s="706">
        <f>$I$7*Table6[[#This Row],[Eligible FTE]]</f>
        <v>78008</v>
      </c>
      <c r="J12" s="714">
        <f>H12+Table6[[#This Row],[TOTAL]]</f>
        <v>114624</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FTE],MATCH(Table6[[#This Row],[School '#]],TableAFNSchools[School No.],0))</f>
        <v>194</v>
      </c>
      <c r="F13" s="704">
        <f>Table6[[#This Row],[Eligible FTE]]*FundingRate_LibraryServ</f>
        <v>17848</v>
      </c>
      <c r="G13" s="19">
        <f>Table6[[#This Row],[TOTAL]]/Table6[[#This Row],[Eligible FTE]]</f>
        <v>92</v>
      </c>
      <c r="H13" s="706">
        <f>$I$7*Table6[[#This Row],[Eligible FTE]]</f>
        <v>38024</v>
      </c>
      <c r="J13" s="714">
        <f>H13+Table6[[#This Row],[TOTAL]]</f>
        <v>55872</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FTE],MATCH(Table6[[#This Row],[School '#]],TableAFNSchools[School No.],0))</f>
        <v>142</v>
      </c>
      <c r="F14" s="704">
        <f>Table6[[#This Row],[Eligible FTE]]*FundingRate_LibraryServ</f>
        <v>13064</v>
      </c>
      <c r="G14" s="19">
        <f>Table6[[#This Row],[TOTAL]]/Table6[[#This Row],[Eligible FTE]]</f>
        <v>92</v>
      </c>
      <c r="H14" s="706">
        <f>$I$7*Table6[[#This Row],[Eligible FTE]]</f>
        <v>27832</v>
      </c>
      <c r="J14" s="714">
        <f>H14+Table6[[#This Row],[TOTAL]]</f>
        <v>40896</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FTE],MATCH(Table6[[#This Row],[School '#]],TableAFNSchools[School No.],0))</f>
        <v>303</v>
      </c>
      <c r="F15" s="704">
        <f>Table6[[#This Row],[Eligible FTE]]*FundingRate_LibraryServ</f>
        <v>27876</v>
      </c>
      <c r="G15" s="19">
        <f>Table6[[#This Row],[TOTAL]]/Table6[[#This Row],[Eligible FTE]]</f>
        <v>92</v>
      </c>
      <c r="H15" s="706">
        <f>$I$7*Table6[[#This Row],[Eligible FTE]]</f>
        <v>59388</v>
      </c>
      <c r="J15" s="714">
        <f>H15+Table6[[#This Row],[TOTAL]]</f>
        <v>87264</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FTE],MATCH(Table6[[#This Row],[School '#]],TableAFNSchools[School No.],0))</f>
        <v>41</v>
      </c>
      <c r="F16" s="704">
        <f>Table6[[#This Row],[Eligible FTE]]*FundingRate_LibraryServ</f>
        <v>3772</v>
      </c>
      <c r="G16" s="19">
        <f>Table6[[#This Row],[TOTAL]]/Table6[[#This Row],[Eligible FTE]]</f>
        <v>92</v>
      </c>
      <c r="H16" s="706">
        <f>$I$7*Table6[[#This Row],[Eligible FTE]]</f>
        <v>8036</v>
      </c>
      <c r="J16" s="714">
        <f>H16+Table6[[#This Row],[TOTAL]]</f>
        <v>11808</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FTE],MATCH(Table6[[#This Row],[School '#]],TableAFNSchools[School No.],0))</f>
        <v>86</v>
      </c>
      <c r="F17" s="704">
        <f>Table6[[#This Row],[Eligible FTE]]*FundingRate_LibraryServ</f>
        <v>7912</v>
      </c>
      <c r="G17" s="19">
        <f>Table6[[#This Row],[TOTAL]]/Table6[[#This Row],[Eligible FTE]]</f>
        <v>92</v>
      </c>
      <c r="H17" s="706">
        <f>$I$7*Table6[[#This Row],[Eligible FTE]]</f>
        <v>16856</v>
      </c>
      <c r="J17" s="714">
        <f>H17+Table6[[#This Row],[TOTAL]]</f>
        <v>24768</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FTE],MATCH(Table6[[#This Row],[School '#]],TableAFNSchools[School No.],0))</f>
        <v>123</v>
      </c>
      <c r="F18" s="704">
        <f>Table6[[#This Row],[Eligible FTE]]*FundingRate_LibraryServ</f>
        <v>11316</v>
      </c>
      <c r="G18" s="19">
        <f>Table6[[#This Row],[TOTAL]]/Table6[[#This Row],[Eligible FTE]]</f>
        <v>92</v>
      </c>
      <c r="H18" s="706">
        <f>$I$7*Table6[[#This Row],[Eligible FTE]]</f>
        <v>24108</v>
      </c>
      <c r="J18" s="714">
        <f>H18+Table6[[#This Row],[TOTAL]]</f>
        <v>35424</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FTE],MATCH(Table6[[#This Row],[School '#]],TableAFNSchools[School No.],0))</f>
        <v>153</v>
      </c>
      <c r="F19" s="704">
        <f>Table6[[#This Row],[Eligible FTE]]*FundingRate_LibraryServ</f>
        <v>14076</v>
      </c>
      <c r="G19" s="19">
        <f>Table6[[#This Row],[TOTAL]]/Table6[[#This Row],[Eligible FTE]]</f>
        <v>92</v>
      </c>
      <c r="H19" s="706">
        <f>$I$7*Table6[[#This Row],[Eligible FTE]]</f>
        <v>29988</v>
      </c>
      <c r="J19" s="714">
        <f>H19+Table6[[#This Row],[TOTAL]]</f>
        <v>44064</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FTE],MATCH(Table6[[#This Row],[School '#]],TableAFNSchools[School No.],0))</f>
        <v>27</v>
      </c>
      <c r="F20" s="704">
        <f>Table6[[#This Row],[Eligible FTE]]*FundingRate_LibraryServ</f>
        <v>2484</v>
      </c>
      <c r="G20" s="19">
        <f>Table6[[#This Row],[TOTAL]]/Table6[[#This Row],[Eligible FTE]]</f>
        <v>92</v>
      </c>
      <c r="H20" s="706">
        <f>$I$7*Table6[[#This Row],[Eligible FTE]]</f>
        <v>5292</v>
      </c>
      <c r="J20" s="714">
        <f>H20+Table6[[#This Row],[TOTAL]]</f>
        <v>7776</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FTE],MATCH(Table6[[#This Row],[School '#]],TableAFNSchools[School No.],0))</f>
        <v>99</v>
      </c>
      <c r="F21" s="704">
        <f>Table6[[#This Row],[Eligible FTE]]*FundingRate_LibraryServ</f>
        <v>9108</v>
      </c>
      <c r="G21" s="19">
        <f>Table6[[#This Row],[TOTAL]]/Table6[[#This Row],[Eligible FTE]]</f>
        <v>92</v>
      </c>
      <c r="H21" s="706">
        <f>$I$7*Table6[[#This Row],[Eligible FTE]]</f>
        <v>19404</v>
      </c>
      <c r="J21" s="714">
        <f>H21+Table6[[#This Row],[TOTAL]]</f>
        <v>28512</v>
      </c>
    </row>
    <row r="22" spans="1:10">
      <c r="A22">
        <f>'A. 20-21 FN Schools Data'!A18</f>
        <v>261</v>
      </c>
      <c r="B22" t="str">
        <f>'A. 20-21 FN Schools Data'!B18</f>
        <v>Brokenhead</v>
      </c>
      <c r="C22">
        <f>'A. 20-21 FN Schools Data'!C18</f>
        <v>50250</v>
      </c>
      <c r="D22" t="str">
        <f>'A. 20-21 FN Schools Data'!D18</f>
        <v>Brokenhead Ojibway Nation Adult Learning Centre</v>
      </c>
      <c r="E22" s="80">
        <f>INDEX(TableAFNSchools[Total Funded FTE],MATCH(Table6[[#This Row],[School '#]],TableAFNSchools[School No.],0))</f>
        <v>25</v>
      </c>
      <c r="F22" s="705">
        <f>Table6[[#This Row],[Eligible FTE]]*FundingRate_LibraryServ</f>
        <v>2300</v>
      </c>
      <c r="G22" s="19">
        <f>Table6[[#This Row],[TOTAL]]/Table6[[#This Row],[Eligible FTE]]</f>
        <v>92</v>
      </c>
      <c r="H22" s="706">
        <f>$I$7*Table6[[#This Row],[Eligible FTE]]</f>
        <v>4900</v>
      </c>
      <c r="J22" s="714">
        <f>H22+Table6[[#This Row],[TOTAL]]</f>
        <v>7200</v>
      </c>
    </row>
    <row r="23" spans="1:10">
      <c r="A23" t="s">
        <v>72</v>
      </c>
      <c r="E23" s="1197">
        <f>SUBTOTAL(109,Table6[Eligible FTE])</f>
        <v>2026</v>
      </c>
      <c r="F23" s="709">
        <f>SUBTOTAL(109,Table6[TOTAL])</f>
        <v>186392</v>
      </c>
      <c r="H23" s="1458">
        <f>SUM(H11:H22)</f>
        <v>397096</v>
      </c>
      <c r="J23" s="1459">
        <f>SUM(J11:J22)</f>
        <v>583488</v>
      </c>
    </row>
  </sheetData>
  <mergeCells count="1">
    <mergeCell ref="A4:E4"/>
  </mergeCells>
  <hyperlinks>
    <hyperlink ref="A8" r:id="rId1" display="Source: Manitoba Education, Funding of Schools 2020-21 Guide, p3" xr:uid="{00000000-0004-0000-0F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2:Q47"/>
  <sheetViews>
    <sheetView topLeftCell="E25" workbookViewId="0">
      <selection activeCell="Q37" sqref="Q37"/>
    </sheetView>
  </sheetViews>
  <sheetFormatPr baseColWidth="10" defaultColWidth="9.19921875" defaultRowHeight="14"/>
  <cols>
    <col min="1" max="1" width="14.19921875" customWidth="1"/>
    <col min="2" max="2" width="22.796875" customWidth="1"/>
    <col min="3" max="3" width="12" customWidth="1"/>
    <col min="4" max="4" width="33.19921875" customWidth="1"/>
    <col min="5" max="5" width="18.796875" customWidth="1"/>
    <col min="6" max="6" width="23.3984375" bestFit="1" customWidth="1"/>
    <col min="7" max="7" width="18.19921875" customWidth="1"/>
    <col min="8" max="8" width="13" customWidth="1"/>
    <col min="9" max="9" width="23.3984375" customWidth="1"/>
    <col min="10" max="10" width="18.19921875" customWidth="1"/>
    <col min="11" max="11" width="24.3984375" customWidth="1"/>
    <col min="12" max="12" width="34.3984375" customWidth="1"/>
    <col min="13" max="13" width="19.796875" customWidth="1"/>
    <col min="14" max="14" width="24" customWidth="1"/>
    <col min="15" max="16" width="19.3984375" customWidth="1"/>
  </cols>
  <sheetData>
    <row r="2" spans="1:12" ht="12.75" customHeight="1">
      <c r="A2" t="s">
        <v>323</v>
      </c>
      <c r="F2" s="1647"/>
      <c r="G2" s="1647"/>
    </row>
    <row r="3" spans="1:12" ht="19">
      <c r="A3" s="33" t="s">
        <v>358</v>
      </c>
      <c r="F3" s="1647"/>
      <c r="G3" s="1647"/>
      <c r="I3" s="33" t="s">
        <v>325</v>
      </c>
    </row>
    <row r="4" spans="1:12" ht="15">
      <c r="A4" s="35" t="s">
        <v>359</v>
      </c>
      <c r="B4" s="35"/>
      <c r="C4" s="35"/>
      <c r="D4" s="35"/>
      <c r="F4" s="1647"/>
      <c r="G4" s="1647"/>
      <c r="H4" s="1161"/>
    </row>
    <row r="5" spans="1:12" ht="43.5" customHeight="1">
      <c r="A5" s="1646" t="s">
        <v>360</v>
      </c>
      <c r="B5" s="1646"/>
      <c r="C5" s="1646"/>
      <c r="D5" s="1646"/>
      <c r="K5" s="71"/>
      <c r="L5" s="35"/>
    </row>
    <row r="6" spans="1:12" ht="32">
      <c r="A6" s="731"/>
      <c r="B6" s="731"/>
      <c r="C6" s="731"/>
      <c r="D6" s="1213" t="s">
        <v>361</v>
      </c>
      <c r="E6" s="1214" t="e">
        <f>'E.3. Prov Data'!#REF!</f>
        <v>#REF!</v>
      </c>
      <c r="F6" s="1092" t="s">
        <v>362</v>
      </c>
      <c r="G6" s="1091"/>
    </row>
    <row r="7" spans="1:12">
      <c r="A7" s="731"/>
      <c r="B7" s="731"/>
      <c r="C7" s="731"/>
      <c r="D7" s="1215" t="s">
        <v>363</v>
      </c>
      <c r="E7" s="1216">
        <f>'E.3. Prov Data'!AZ20</f>
        <v>2121</v>
      </c>
      <c r="F7" s="731"/>
      <c r="G7" s="731"/>
      <c r="I7" s="1195" t="s">
        <v>328</v>
      </c>
      <c r="J7" s="1217">
        <v>0.18737090563007328</v>
      </c>
    </row>
    <row r="8" spans="1:12" ht="30">
      <c r="A8" s="731"/>
      <c r="B8" s="731"/>
      <c r="C8" s="731"/>
      <c r="D8" s="1218" t="s">
        <v>364</v>
      </c>
      <c r="E8" s="1219" t="e">
        <f>ROUND(E6/E7,2)</f>
        <v>#REF!</v>
      </c>
      <c r="F8" s="1093"/>
      <c r="G8" s="731"/>
      <c r="J8" s="685"/>
    </row>
    <row r="9" spans="1:12" ht="15">
      <c r="A9" s="1094"/>
      <c r="B9" s="1094"/>
      <c r="C9" s="1094"/>
      <c r="D9" s="731"/>
      <c r="E9" s="731"/>
      <c r="F9" s="731"/>
      <c r="G9" s="731"/>
    </row>
    <row r="10" spans="1:12" ht="43.5" customHeight="1">
      <c r="A10" s="1095" t="s">
        <v>285</v>
      </c>
      <c r="B10" s="1095" t="s">
        <v>286</v>
      </c>
      <c r="C10" s="1095" t="s">
        <v>330</v>
      </c>
      <c r="D10" s="1095" t="s">
        <v>331</v>
      </c>
      <c r="E10" s="1095" t="s">
        <v>332</v>
      </c>
      <c r="F10" s="1096" t="s">
        <v>322</v>
      </c>
      <c r="G10" s="1095"/>
      <c r="H10" s="113"/>
      <c r="I10" s="113" t="s">
        <v>365</v>
      </c>
      <c r="J10" s="129" t="s">
        <v>366</v>
      </c>
      <c r="L10" s="1461" t="s">
        <v>367</v>
      </c>
    </row>
    <row r="11" spans="1:12">
      <c r="A11" s="1097">
        <f>'A. 20-21 FN Schools Data'!A7</f>
        <v>272</v>
      </c>
      <c r="B11" s="1097" t="str">
        <f>'A. 20-21 FN Schools Data'!B7</f>
        <v>Pinaymootang</v>
      </c>
      <c r="C11" s="1097">
        <f>'A. 20-21 FN Schools Data'!C7</f>
        <v>1140</v>
      </c>
      <c r="D11" s="1097" t="str">
        <f>'A. 20-21 FN Schools Data'!D7</f>
        <v>Pinaymootang School</v>
      </c>
      <c r="E11" s="1098">
        <f>INDEX(TableAFNSchools[Total Funded FTE],MATCH(Table7[[#This Row],[School '#]],TableAFNSchools[School No.],0))</f>
        <v>435</v>
      </c>
      <c r="F11" s="1099" t="e">
        <f>ROUND('-B7-'!$E11*FundingRate_StudServ,0)</f>
        <v>#REF!</v>
      </c>
      <c r="G11" s="731"/>
      <c r="I11" s="37">
        <f>INDEX(Table28[Envelope Allocation],MATCH(Table7[[#This Row],[School '#]],Table28[School '#],0))</f>
        <v>4160775</v>
      </c>
      <c r="J11" s="712">
        <f>ROUND(Table47[[#This Row],[Tax Base Envelope amount]]*$J$7,0)</f>
        <v>779608</v>
      </c>
      <c r="L11" s="880" t="e">
        <f>Table47[[#This Row],[Tax Base Total]]+'-B7-'!$F11</f>
        <v>#REF!</v>
      </c>
    </row>
    <row r="12" spans="1:12">
      <c r="A12" s="731">
        <f>'A. 20-21 FN Schools Data'!A8</f>
        <v>275</v>
      </c>
      <c r="B12" s="731" t="str">
        <f>'A. 20-21 FN Schools Data'!B8</f>
        <v>Lake St. Martin</v>
      </c>
      <c r="C12" s="731">
        <f>'A. 20-21 FN Schools Data'!C8</f>
        <v>1144</v>
      </c>
      <c r="D12" s="731" t="str">
        <f>'A. 20-21 FN Schools Data'!D8</f>
        <v>Lake St. Martin School</v>
      </c>
      <c r="E12" s="1100">
        <f>INDEX(TableAFNSchools[Total Funded FTE],MATCH(Table7[[#This Row],[School '#]],TableAFNSchools[School No.],0))</f>
        <v>398</v>
      </c>
      <c r="F12" s="1101" t="e">
        <f>ROUND('-B7-'!$E12*FundingRate_StudServ,0)</f>
        <v>#REF!</v>
      </c>
      <c r="G12" s="731"/>
      <c r="I12" s="37">
        <f>INDEX(Table28[Envelope Allocation],MATCH(Table7[[#This Row],[School '#]],Table28[School '#],0))</f>
        <v>4624760</v>
      </c>
      <c r="J12" s="712">
        <f>ROUND(Table47[[#This Row],[Tax Base Envelope amount]]*$J$7,0)</f>
        <v>866545</v>
      </c>
      <c r="L12" s="880" t="e">
        <f>Table47[[#This Row],[Tax Base Total]]+'-B7-'!$F12</f>
        <v>#REF!</v>
      </c>
    </row>
    <row r="13" spans="1:12">
      <c r="A13" s="731">
        <f>'A. 20-21 FN Schools Data'!A9</f>
        <v>267</v>
      </c>
      <c r="B13" s="731" t="str">
        <f>'A. 20-21 FN Schools Data'!B9</f>
        <v>Bloodvein</v>
      </c>
      <c r="C13" s="731">
        <f>'A. 20-21 FN Schools Data'!C9</f>
        <v>1148</v>
      </c>
      <c r="D13" s="731" t="str">
        <f>'A. 20-21 FN Schools Data'!D9</f>
        <v>Miskooseepi School</v>
      </c>
      <c r="E13" s="1098">
        <f>INDEX(TableAFNSchools[Total Funded FTE],MATCH(Table7[[#This Row],[School '#]],TableAFNSchools[School No.],0))</f>
        <v>194</v>
      </c>
      <c r="F13" s="1101" t="e">
        <f>ROUND('-B7-'!$E13*FundingRate_StudServ,0)</f>
        <v>#REF!</v>
      </c>
      <c r="G13" s="731"/>
      <c r="I13" s="37">
        <f>INDEX(Table28[Envelope Allocation],MATCH(Table7[[#This Row],[School '#]],Table28[School '#],0))</f>
        <v>2254280</v>
      </c>
      <c r="J13" s="712">
        <f>ROUND(Table47[[#This Row],[Tax Base Envelope amount]]*$J$7,0)</f>
        <v>422386</v>
      </c>
      <c r="L13" s="880" t="e">
        <f>Table47[[#This Row],[Tax Base Total]]+'-B7-'!$F13</f>
        <v>#REF!</v>
      </c>
    </row>
    <row r="14" spans="1:12">
      <c r="A14" s="731">
        <f>'A. 20-21 FN Schools Data'!A10</f>
        <v>304</v>
      </c>
      <c r="B14" s="731" t="str">
        <f>'A. 20-21 FN Schools Data'!B10</f>
        <v>York Factory</v>
      </c>
      <c r="C14" s="731">
        <f>'A. 20-21 FN Schools Data'!C10</f>
        <v>1166</v>
      </c>
      <c r="D14" s="731" t="str">
        <f>'A. 20-21 FN Schools Data'!D10</f>
        <v>George Saunders Memorial School</v>
      </c>
      <c r="E14" s="1098">
        <f>INDEX(TableAFNSchools[Total Funded FTE],MATCH(Table7[[#This Row],[School '#]],TableAFNSchools[School No.],0))</f>
        <v>142</v>
      </c>
      <c r="F14" s="1101" t="e">
        <f>ROUND('-B7-'!$E14*FundingRate_StudServ,0)</f>
        <v>#REF!</v>
      </c>
      <c r="G14" s="731"/>
      <c r="I14" s="37">
        <f>INDEX(Table28[Envelope Allocation],MATCH(Table7[[#This Row],[School '#]],Table28[School '#],0))</f>
        <v>1650040</v>
      </c>
      <c r="J14" s="712">
        <f>ROUND(Table47[[#This Row],[Tax Base Envelope amount]]*$J$7,0)</f>
        <v>309169</v>
      </c>
      <c r="L14" s="880" t="e">
        <f>Table47[[#This Row],[Tax Base Total]]+'-B7-'!$F14</f>
        <v>#REF!</v>
      </c>
    </row>
    <row r="15" spans="1:12">
      <c r="A15" s="731">
        <f>'A. 20-21 FN Schools Data'!A11</f>
        <v>271</v>
      </c>
      <c r="B15" s="731" t="str">
        <f>'A. 20-21 FN Schools Data'!B11</f>
        <v>Lake Manitoba</v>
      </c>
      <c r="C15" s="731">
        <f>'A. 20-21 FN Schools Data'!C11</f>
        <v>1345</v>
      </c>
      <c r="D15" s="731" t="str">
        <f>'A. 20-21 FN Schools Data'!D11</f>
        <v>Lake Manitoba School</v>
      </c>
      <c r="E15" s="1098">
        <f>INDEX(TableAFNSchools[Total Funded FTE],MATCH(Table7[[#This Row],[School '#]],TableAFNSchools[School No.],0))</f>
        <v>303</v>
      </c>
      <c r="F15" s="1101" t="e">
        <f>ROUND('-B7-'!$E15*FundingRate_StudServ,0)</f>
        <v>#REF!</v>
      </c>
      <c r="G15" s="731"/>
      <c r="I15" s="37">
        <f>INDEX(Table28[Envelope Allocation],MATCH(Table7[[#This Row],[School '#]],Table28[School '#],0))</f>
        <v>2898195</v>
      </c>
      <c r="J15" s="712">
        <f>ROUND(Table47[[#This Row],[Tax Base Envelope amount]]*$J$7,0)</f>
        <v>543037</v>
      </c>
      <c r="L15" s="880" t="e">
        <f>Table47[[#This Row],[Tax Base Total]]+'-B7-'!$F15</f>
        <v>#REF!</v>
      </c>
    </row>
    <row r="16" spans="1:12">
      <c r="A16" s="731">
        <f>'A. 20-21 FN Schools Data'!A12</f>
        <v>295</v>
      </c>
      <c r="B16" s="731" t="str">
        <f>'A. 20-21 FN Schools Data'!B12</f>
        <v>Dakota Tipi</v>
      </c>
      <c r="C16" s="731">
        <f>'A. 20-21 FN Schools Data'!C12</f>
        <v>1350</v>
      </c>
      <c r="D16" s="731" t="str">
        <f>'A. 20-21 FN Schools Data'!D12</f>
        <v>Dakota Tipi School</v>
      </c>
      <c r="E16" s="1098">
        <f>INDEX(TableAFNSchools[Total Funded FTE],MATCH(Table7[[#This Row],[School '#]],TableAFNSchools[School No.],0))</f>
        <v>41</v>
      </c>
      <c r="F16" s="1101" t="e">
        <f>ROUND('-B7-'!$E16*FundingRate_StudServ,0)</f>
        <v>#REF!</v>
      </c>
      <c r="G16" s="731"/>
      <c r="I16" s="37">
        <f>INDEX(Table28[Envelope Allocation],MATCH(Table7[[#This Row],[School '#]],Table28[School '#],0))</f>
        <v>328492</v>
      </c>
      <c r="J16" s="712">
        <f>ROUND(Table47[[#This Row],[Tax Base Envelope amount]]*$J$7,0)</f>
        <v>61550</v>
      </c>
      <c r="L16" s="880" t="e">
        <f>Table47[[#This Row],[Tax Base Total]]+'-B7-'!$F16</f>
        <v>#REF!</v>
      </c>
    </row>
    <row r="17" spans="1:12">
      <c r="A17" s="731">
        <f>'A. 20-21 FN Schools Data'!A13</f>
        <v>288</v>
      </c>
      <c r="B17" s="731" t="str">
        <f>'A. 20-21 FN Schools Data'!B13</f>
        <v>Dakota Plains</v>
      </c>
      <c r="C17" s="731">
        <f>'A. 20-21 FN Schools Data'!C13</f>
        <v>1486</v>
      </c>
      <c r="D17" s="731" t="str">
        <f>'A. 20-21 FN Schools Data'!D13</f>
        <v>Mahpiya Hdega School</v>
      </c>
      <c r="E17" s="1098">
        <f>INDEX(TableAFNSchools[Total Funded FTE],MATCH(Table7[[#This Row],[School '#]],TableAFNSchools[School No.],0))</f>
        <v>86</v>
      </c>
      <c r="F17" s="1101" t="e">
        <f>ROUND('-B7-'!$E17*FundingRate_StudServ,0)</f>
        <v>#REF!</v>
      </c>
      <c r="G17" s="731"/>
      <c r="I17" s="37">
        <f>INDEX(Table28[Envelope Allocation],MATCH(Table7[[#This Row],[School '#]],Table28[School '#],0))</f>
        <v>689032</v>
      </c>
      <c r="J17" s="712">
        <f>ROUND(Table47[[#This Row],[Tax Base Envelope amount]]*$J$7,0)</f>
        <v>129105</v>
      </c>
      <c r="L17" s="880" t="e">
        <f>Table47[[#This Row],[Tax Base Total]]+'-B7-'!$F17</f>
        <v>#REF!</v>
      </c>
    </row>
    <row r="18" spans="1:12">
      <c r="A18" s="731">
        <f>'A. 20-21 FN Schools Data'!A14</f>
        <v>261</v>
      </c>
      <c r="B18" s="731" t="str">
        <f>'A. 20-21 FN Schools Data'!B14</f>
        <v>Brokenhead</v>
      </c>
      <c r="C18" s="731">
        <f>'A. 20-21 FN Schools Data'!C14</f>
        <v>1756</v>
      </c>
      <c r="D18" s="731" t="str">
        <f>'A. 20-21 FN Schools Data'!D14</f>
        <v>Sergeant Tommy Prince School</v>
      </c>
      <c r="E18" s="1098">
        <f>INDEX(TableAFNSchools[Total Funded FTE],MATCH(Table7[[#This Row],[School '#]],TableAFNSchools[School No.],0))</f>
        <v>123</v>
      </c>
      <c r="F18" s="1101" t="e">
        <f>ROUND('-B7-'!$E18*FundingRate_StudServ,0)</f>
        <v>#REF!</v>
      </c>
      <c r="G18" s="731"/>
      <c r="I18" s="37">
        <f>INDEX(Table28[Envelope Allocation],MATCH(Table7[[#This Row],[School '#]],Table28[School '#],0))</f>
        <v>1293468</v>
      </c>
      <c r="J18" s="712">
        <f>ROUND(Table47[[#This Row],[Tax Base Envelope amount]]*$J$7,0)</f>
        <v>242358</v>
      </c>
      <c r="L18" s="880" t="e">
        <f>Table47[[#This Row],[Tax Base Total]]+'-B7-'!$F18</f>
        <v>#REF!</v>
      </c>
    </row>
    <row r="19" spans="1:12">
      <c r="A19" s="731">
        <f>'A. 20-21 FN Schools Data'!A15</f>
        <v>273</v>
      </c>
      <c r="B19" s="731" t="str">
        <f>'A. 20-21 FN Schools Data'!B15</f>
        <v>Roseau River</v>
      </c>
      <c r="C19" s="731">
        <f>'A. 20-21 FN Schools Data'!C15</f>
        <v>5717</v>
      </c>
      <c r="D19" s="731" t="str">
        <f>'A. 20-21 FN Schools Data'!D15</f>
        <v>Ginew School</v>
      </c>
      <c r="E19" s="1098">
        <f>INDEX(TableAFNSchools[Total Funded FTE],MATCH(Table7[[#This Row],[School '#]],TableAFNSchools[School No.],0))</f>
        <v>153</v>
      </c>
      <c r="F19" s="1101" t="e">
        <f>ROUND('-B7-'!$E19*FundingRate_StudServ,0)</f>
        <v>#REF!</v>
      </c>
      <c r="G19" s="731"/>
      <c r="I19" s="37">
        <f>INDEX(Table28[Envelope Allocation],MATCH(Table7[[#This Row],[School '#]],Table28[School '#],0))</f>
        <v>1575594</v>
      </c>
      <c r="J19" s="712">
        <f>ROUND(Table47[[#This Row],[Tax Base Envelope amount]]*$J$7,0)</f>
        <v>295220</v>
      </c>
      <c r="L19" s="880" t="e">
        <f>Table47[[#This Row],[Tax Base Total]]+'-B7-'!$F19</f>
        <v>#REF!</v>
      </c>
    </row>
    <row r="20" spans="1:12">
      <c r="A20" s="731">
        <f>'A. 20-21 FN Schools Data'!A16</f>
        <v>305</v>
      </c>
      <c r="B20" s="731" t="str">
        <f>'A. 20-21 FN Schools Data'!B16</f>
        <v>Fox Lake</v>
      </c>
      <c r="C20" s="731">
        <f>'A. 20-21 FN Schools Data'!C16</f>
        <v>6413</v>
      </c>
      <c r="D20" s="731" t="str">
        <f>'A. 20-21 FN Schools Data'!D16</f>
        <v>Fox Lake School</v>
      </c>
      <c r="E20" s="1098">
        <f>INDEX(TableAFNSchools[Total Funded FTE],MATCH(Table7[[#This Row],[School '#]],TableAFNSchools[School No.],0))</f>
        <v>27</v>
      </c>
      <c r="F20" s="1101" t="e">
        <f>ROUND('-B7-'!$E20*FundingRate_StudServ,0)</f>
        <v>#REF!</v>
      </c>
      <c r="G20" s="731"/>
      <c r="I20" s="37">
        <f>INDEX(Table28[Envelope Allocation],MATCH(Table7[[#This Row],[School '#]],Table28[School '#],0))</f>
        <v>313740</v>
      </c>
      <c r="J20" s="712">
        <f>ROUND(Table47[[#This Row],[Tax Base Envelope amount]]*$J$7,0)</f>
        <v>58786</v>
      </c>
      <c r="L20" s="880" t="e">
        <f>Table47[[#This Row],[Tax Base Total]]+'-B7-'!$F20</f>
        <v>#REF!</v>
      </c>
    </row>
    <row r="21" spans="1:12">
      <c r="A21" s="731">
        <f>'A. 20-21 FN Schools Data'!A17</f>
        <v>286</v>
      </c>
      <c r="B21" s="731" t="str">
        <f>'A. 20-21 FN Schools Data'!B17</f>
        <v>Keeseekoowenin</v>
      </c>
      <c r="C21" s="731">
        <f>'A. 20-21 FN Schools Data'!C17</f>
        <v>8990</v>
      </c>
      <c r="D21" s="731" t="str">
        <f>'A. 20-21 FN Schools Data'!D17</f>
        <v>Keeseekoowenin School</v>
      </c>
      <c r="E21" s="1098">
        <f>INDEX(TableAFNSchools[Total Funded FTE],MATCH(Table7[[#This Row],[School '#]],TableAFNSchools[School No.],0))</f>
        <v>99</v>
      </c>
      <c r="F21" s="1101" t="e">
        <f>ROUND('-B7-'!$E21*FundingRate_StudServ,0)</f>
        <v>#REF!</v>
      </c>
      <c r="G21" s="731"/>
      <c r="I21" s="37">
        <f>INDEX(Table28[Envelope Allocation],MATCH(Table7[[#This Row],[School '#]],Table28[School '#],0))</f>
        <v>865656</v>
      </c>
      <c r="J21" s="712">
        <f>ROUND(Table47[[#This Row],[Tax Base Envelope amount]]*$J$7,0)</f>
        <v>162199</v>
      </c>
      <c r="L21" s="880" t="e">
        <f>Table47[[#This Row],[Tax Base Total]]+'-B7-'!$F21</f>
        <v>#REF!</v>
      </c>
    </row>
    <row r="22" spans="1:12">
      <c r="A22" s="731">
        <f>'A. 20-21 FN Schools Data'!A18</f>
        <v>261</v>
      </c>
      <c r="B22" s="731" t="str">
        <f>'A. 20-21 FN Schools Data'!B18</f>
        <v>Brokenhead</v>
      </c>
      <c r="C22" s="731">
        <f>'A. 20-21 FN Schools Data'!C18</f>
        <v>50250</v>
      </c>
      <c r="D22" s="731" t="str">
        <f>'A. 20-21 FN Schools Data'!D18</f>
        <v>Brokenhead Ojibway Nation Adult Learning Centre</v>
      </c>
      <c r="E22" s="1098">
        <f>INDEX(TableAFNSchools[Total Funded FTE],MATCH(Table7[[#This Row],[School '#]],TableAFNSchools[School No.],0))</f>
        <v>25</v>
      </c>
      <c r="F22" s="1101" t="e">
        <f>ROUND('-B7-'!$E22*FundingRate_StudServ,0)</f>
        <v>#REF!</v>
      </c>
      <c r="G22" s="731"/>
      <c r="I22" s="37">
        <f>INDEX(Table28[Envelope Allocation],MATCH(Table7[[#This Row],[School '#]],Table28[School '#],0))</f>
        <v>262900</v>
      </c>
      <c r="J22" s="712">
        <f>ROUND(Table47[[#This Row],[Tax Base Envelope amount]]*$J$7,0)</f>
        <v>49260</v>
      </c>
      <c r="L22" s="880" t="e">
        <f>Table47[[#This Row],[Tax Base Total]]+'-B7-'!$F22</f>
        <v>#REF!</v>
      </c>
    </row>
    <row r="23" spans="1:12">
      <c r="A23" s="1102" t="s">
        <v>72</v>
      </c>
      <c r="B23" s="1102"/>
      <c r="C23" s="1102"/>
      <c r="D23" s="1102"/>
      <c r="E23" s="1103">
        <f>SUBTOTAL(109,'-B7-'!$E$11:$E$22)</f>
        <v>2026</v>
      </c>
      <c r="F23" s="1104" t="e">
        <f>SUBTOTAL(109,'-B7-'!$F$11:$F$22)</f>
        <v>#REF!</v>
      </c>
      <c r="G23" s="731"/>
      <c r="I23" t="s">
        <v>72</v>
      </c>
      <c r="J23" s="1220">
        <f>SUBTOTAL(109,Table47[Tax Base Total])</f>
        <v>3919223</v>
      </c>
      <c r="L23" s="1462" t="e">
        <f>SUM(L11:L22)</f>
        <v>#REF!</v>
      </c>
    </row>
    <row r="24" spans="1:12">
      <c r="A24" s="731"/>
      <c r="B24" s="731"/>
      <c r="C24" s="731"/>
      <c r="D24" s="731"/>
      <c r="E24" s="731"/>
      <c r="F24" s="731"/>
      <c r="G24" s="731"/>
    </row>
    <row r="28" spans="1:12">
      <c r="A28" t="s">
        <v>358</v>
      </c>
    </row>
    <row r="29" spans="1:12">
      <c r="A29" t="s">
        <v>359</v>
      </c>
      <c r="E29" t="s">
        <v>368</v>
      </c>
      <c r="F29">
        <v>0.13</v>
      </c>
    </row>
    <row r="30" spans="1:12" ht="13.25" customHeight="1">
      <c r="A30" t="s">
        <v>369</v>
      </c>
      <c r="E30" t="s">
        <v>370</v>
      </c>
      <c r="F30">
        <v>500</v>
      </c>
    </row>
    <row r="31" spans="1:12">
      <c r="E31" t="s">
        <v>371</v>
      </c>
      <c r="F31">
        <v>303</v>
      </c>
    </row>
    <row r="34" spans="1:17">
      <c r="G34" t="s">
        <v>372</v>
      </c>
    </row>
    <row r="35" spans="1:17" s="72" customFormat="1" ht="60">
      <c r="A35" s="72" t="s">
        <v>373</v>
      </c>
      <c r="B35" s="72" t="s">
        <v>374</v>
      </c>
      <c r="C35" s="72" t="s">
        <v>375</v>
      </c>
      <c r="D35" s="72" t="s">
        <v>331</v>
      </c>
      <c r="E35" s="72" t="s">
        <v>376</v>
      </c>
      <c r="F35" s="72" t="s">
        <v>377</v>
      </c>
      <c r="G35" s="72" t="s">
        <v>378</v>
      </c>
      <c r="H35" s="72" t="s">
        <v>379</v>
      </c>
      <c r="I35" s="72" t="s">
        <v>380</v>
      </c>
      <c r="J35" s="72" t="s">
        <v>381</v>
      </c>
      <c r="K35" s="72" t="s">
        <v>382</v>
      </c>
      <c r="L35" s="72" t="s">
        <v>383</v>
      </c>
      <c r="M35" s="72" t="s">
        <v>384</v>
      </c>
      <c r="N35" s="72" t="s">
        <v>385</v>
      </c>
      <c r="O35" s="72" t="s">
        <v>386</v>
      </c>
      <c r="P35" s="72" t="s">
        <v>387</v>
      </c>
      <c r="Q35" s="72" t="s">
        <v>458</v>
      </c>
    </row>
    <row r="36" spans="1:17">
      <c r="A36">
        <v>272</v>
      </c>
      <c r="B36" t="s">
        <v>388</v>
      </c>
      <c r="C36">
        <v>1140</v>
      </c>
      <c r="D36" t="s">
        <v>389</v>
      </c>
      <c r="E36" s="37">
        <v>435</v>
      </c>
      <c r="F36" s="37">
        <v>131805</v>
      </c>
      <c r="G36" s="685">
        <v>0.61</v>
      </c>
      <c r="H36" s="685">
        <v>0.13</v>
      </c>
      <c r="I36" s="685">
        <v>0.49</v>
      </c>
      <c r="J36" s="37">
        <v>561</v>
      </c>
      <c r="K36" s="37">
        <v>244035</v>
      </c>
      <c r="L36" s="685">
        <v>6.2456627342123525E-2</v>
      </c>
      <c r="M36" s="37">
        <v>31.228313671061763</v>
      </c>
      <c r="N36" s="37">
        <v>13584.316446911867</v>
      </c>
      <c r="O36" s="37">
        <v>389424.31644691189</v>
      </c>
      <c r="P36" s="37">
        <f>ROUND(Table53[[#This Row],[Total Allocation by with variable data by FN for low income, and CFS]],0)</f>
        <v>389424</v>
      </c>
      <c r="Q36" s="37">
        <f>Table53[[#This Row],[Rounded Total]]/Table53[[#This Row],[Sum of Total Sum of Final Funding FTE Count]]</f>
        <v>895.2275862068966</v>
      </c>
    </row>
    <row r="37" spans="1:17">
      <c r="A37">
        <v>275</v>
      </c>
      <c r="B37" t="s">
        <v>390</v>
      </c>
      <c r="C37">
        <v>1144</v>
      </c>
      <c r="D37" t="s">
        <v>391</v>
      </c>
      <c r="E37" s="37">
        <v>398</v>
      </c>
      <c r="F37" s="37">
        <v>120594</v>
      </c>
      <c r="G37" s="685">
        <v>0.6</v>
      </c>
      <c r="H37" s="685">
        <v>0.13</v>
      </c>
      <c r="I37" s="685">
        <v>0.48</v>
      </c>
      <c r="J37" s="37">
        <v>535</v>
      </c>
      <c r="K37" s="37">
        <v>212930</v>
      </c>
      <c r="L37" s="685">
        <v>6.2456627342123525E-2</v>
      </c>
      <c r="M37" s="37">
        <v>31.228313671061763</v>
      </c>
      <c r="N37" s="37">
        <v>12428.868841082582</v>
      </c>
      <c r="O37" s="37">
        <v>345952.86884108256</v>
      </c>
      <c r="P37" s="37">
        <f>ROUND(Table53[[#This Row],[Total Allocation by with variable data by FN for low income, and CFS]],0)</f>
        <v>345953</v>
      </c>
      <c r="Q37" s="37">
        <f>Table53[[#This Row],[Rounded Total]]/Table53[[#This Row],[Sum of Total Sum of Final Funding FTE Count]]</f>
        <v>869.2286432160804</v>
      </c>
    </row>
    <row r="38" spans="1:17">
      <c r="A38">
        <v>267</v>
      </c>
      <c r="B38" t="s">
        <v>392</v>
      </c>
      <c r="C38">
        <v>1148</v>
      </c>
      <c r="D38" t="s">
        <v>393</v>
      </c>
      <c r="E38" s="37">
        <v>194</v>
      </c>
      <c r="F38" s="37">
        <v>58782</v>
      </c>
      <c r="G38" s="685">
        <v>0.59</v>
      </c>
      <c r="H38" s="685">
        <v>0.13</v>
      </c>
      <c r="I38" s="685">
        <v>0.48</v>
      </c>
      <c r="J38" s="37">
        <v>535</v>
      </c>
      <c r="K38" s="37">
        <v>103790</v>
      </c>
      <c r="L38" s="685">
        <v>0.1225347559004203</v>
      </c>
      <c r="M38" s="37">
        <v>61.267377950210154</v>
      </c>
      <c r="N38" s="37">
        <v>11885.87132234077</v>
      </c>
      <c r="O38" s="37">
        <v>174457.87132234077</v>
      </c>
      <c r="P38" s="37">
        <f>ROUND(Table53[[#This Row],[Total Allocation by with variable data by FN for low income, and CFS]],0)</f>
        <v>174458</v>
      </c>
      <c r="Q38" s="37">
        <f>Table53[[#This Row],[Rounded Total]]/Table53[[#This Row],[Sum of Total Sum of Final Funding FTE Count]]</f>
        <v>899.26804123711338</v>
      </c>
    </row>
    <row r="39" spans="1:17">
      <c r="A39">
        <v>304</v>
      </c>
      <c r="B39" t="s">
        <v>394</v>
      </c>
      <c r="C39">
        <v>1166</v>
      </c>
      <c r="D39" t="s">
        <v>395</v>
      </c>
      <c r="E39" s="37">
        <v>142</v>
      </c>
      <c r="F39" s="37">
        <v>43026</v>
      </c>
      <c r="G39" s="685">
        <v>0.46</v>
      </c>
      <c r="H39" s="685">
        <v>0.13</v>
      </c>
      <c r="I39" s="685">
        <v>0.38</v>
      </c>
      <c r="J39" s="37">
        <v>276</v>
      </c>
      <c r="K39" s="37">
        <v>39192</v>
      </c>
      <c r="L39" s="685">
        <v>8.8709677419354843E-2</v>
      </c>
      <c r="M39" s="37">
        <v>44.354838709677423</v>
      </c>
      <c r="N39" s="37">
        <v>6298.3870967741941</v>
      </c>
      <c r="O39" s="37">
        <v>88516.387096774197</v>
      </c>
      <c r="P39" s="37">
        <f>ROUND(Table53[[#This Row],[Total Allocation by with variable data by FN for low income, and CFS]],0)</f>
        <v>88516</v>
      </c>
      <c r="Q39" s="37">
        <f>Table53[[#This Row],[Rounded Total]]/Table53[[#This Row],[Sum of Total Sum of Final Funding FTE Count]]</f>
        <v>623.35211267605632</v>
      </c>
    </row>
    <row r="40" spans="1:17">
      <c r="A40">
        <v>271</v>
      </c>
      <c r="B40" t="s">
        <v>396</v>
      </c>
      <c r="C40">
        <v>1345</v>
      </c>
      <c r="D40" t="s">
        <v>397</v>
      </c>
      <c r="E40" s="37">
        <v>303</v>
      </c>
      <c r="F40" s="37">
        <v>91809</v>
      </c>
      <c r="G40" s="685">
        <v>0.69</v>
      </c>
      <c r="H40" s="685">
        <v>0.13</v>
      </c>
      <c r="I40" s="685">
        <v>0.55000000000000004</v>
      </c>
      <c r="J40" s="37">
        <v>800</v>
      </c>
      <c r="K40" s="37">
        <v>242400</v>
      </c>
      <c r="L40" s="685">
        <v>6.2456627342123525E-2</v>
      </c>
      <c r="M40" s="37">
        <v>31.228313671061763</v>
      </c>
      <c r="N40" s="37">
        <v>9462.1790423317143</v>
      </c>
      <c r="O40" s="37">
        <v>343671.1790423317</v>
      </c>
      <c r="P40" s="37">
        <f>ROUND(Table53[[#This Row],[Total Allocation by with variable data by FN for low income, and CFS]],0)</f>
        <v>343671</v>
      </c>
      <c r="Q40" s="37">
        <f>Table53[[#This Row],[Rounded Total]]/Table53[[#This Row],[Sum of Total Sum of Final Funding FTE Count]]</f>
        <v>1134.2277227722773</v>
      </c>
    </row>
    <row r="41" spans="1:17">
      <c r="A41">
        <v>288</v>
      </c>
      <c r="B41" t="s">
        <v>398</v>
      </c>
      <c r="C41">
        <v>1486</v>
      </c>
      <c r="D41" t="s">
        <v>399</v>
      </c>
      <c r="E41" s="37">
        <v>86</v>
      </c>
      <c r="F41" s="37">
        <v>26058</v>
      </c>
      <c r="G41" s="685">
        <v>0.76</v>
      </c>
      <c r="H41" s="685">
        <v>0.13</v>
      </c>
      <c r="I41" s="685">
        <v>0.6</v>
      </c>
      <c r="J41" s="37">
        <v>999</v>
      </c>
      <c r="K41" s="37">
        <v>85914</v>
      </c>
      <c r="L41" s="685">
        <v>4.2875989445910291E-2</v>
      </c>
      <c r="M41" s="37">
        <v>21.437994722955146</v>
      </c>
      <c r="N41" s="37">
        <v>1843.6675461741427</v>
      </c>
      <c r="O41" s="37">
        <v>113815.66754617414</v>
      </c>
      <c r="P41" s="37">
        <f>ROUND(Table53[[#This Row],[Total Allocation by with variable data by FN for low income, and CFS]],0)</f>
        <v>113816</v>
      </c>
      <c r="Q41" s="37">
        <f>Table53[[#This Row],[Rounded Total]]/Table53[[#This Row],[Sum of Total Sum of Final Funding FTE Count]]</f>
        <v>1323.4418604651162</v>
      </c>
    </row>
    <row r="42" spans="1:17">
      <c r="A42">
        <v>261</v>
      </c>
      <c r="B42" t="s">
        <v>400</v>
      </c>
      <c r="C42">
        <v>1756</v>
      </c>
      <c r="D42" t="s">
        <v>401</v>
      </c>
      <c r="E42" s="37">
        <v>123</v>
      </c>
      <c r="F42" s="37">
        <v>37269</v>
      </c>
      <c r="G42" s="685">
        <v>0.43</v>
      </c>
      <c r="H42" s="685">
        <v>0.13</v>
      </c>
      <c r="I42" s="685">
        <v>0.36</v>
      </c>
      <c r="J42" s="37">
        <v>237</v>
      </c>
      <c r="K42" s="37">
        <v>29151</v>
      </c>
      <c r="L42" s="685">
        <v>0.1225347559004203</v>
      </c>
      <c r="M42" s="37">
        <v>61.267377950210154</v>
      </c>
      <c r="N42" s="37">
        <v>7535.8874878758488</v>
      </c>
      <c r="O42" s="37">
        <v>73955.887487875851</v>
      </c>
      <c r="P42" s="37">
        <f>ROUND(Table53[[#This Row],[Total Allocation by with variable data by FN for low income, and CFS]],0)</f>
        <v>73956</v>
      </c>
      <c r="Q42" s="37">
        <f>Table53[[#This Row],[Rounded Total]]/Table53[[#This Row],[Sum of Total Sum of Final Funding FTE Count]]</f>
        <v>601.26829268292681</v>
      </c>
    </row>
    <row r="43" spans="1:17">
      <c r="A43">
        <v>273</v>
      </c>
      <c r="B43" t="s">
        <v>402</v>
      </c>
      <c r="C43">
        <v>5717</v>
      </c>
      <c r="D43" t="s">
        <v>403</v>
      </c>
      <c r="E43" s="37">
        <v>153</v>
      </c>
      <c r="F43" s="37">
        <v>46359</v>
      </c>
      <c r="G43" s="685">
        <v>0.87</v>
      </c>
      <c r="H43" s="685">
        <v>0.13</v>
      </c>
      <c r="I43" s="685">
        <v>0.69</v>
      </c>
      <c r="J43" s="37">
        <v>1358</v>
      </c>
      <c r="K43" s="37">
        <v>207774</v>
      </c>
      <c r="L43" s="685">
        <v>9.8331870061457424E-2</v>
      </c>
      <c r="M43" s="37">
        <v>49.165935030728711</v>
      </c>
      <c r="N43" s="37">
        <v>7522.3880597014931</v>
      </c>
      <c r="O43" s="37">
        <v>261655.38805970148</v>
      </c>
      <c r="P43" s="37">
        <f>ROUND(Table53[[#This Row],[Total Allocation by with variable data by FN for low income, and CFS]],0)</f>
        <v>261655</v>
      </c>
      <c r="Q43" s="37">
        <f>Table53[[#This Row],[Rounded Total]]/Table53[[#This Row],[Sum of Total Sum of Final Funding FTE Count]]</f>
        <v>1710.1633986928105</v>
      </c>
    </row>
    <row r="44" spans="1:17">
      <c r="A44">
        <v>305</v>
      </c>
      <c r="B44" t="s">
        <v>404</v>
      </c>
      <c r="C44">
        <v>6413</v>
      </c>
      <c r="D44" t="s">
        <v>405</v>
      </c>
      <c r="E44" s="37">
        <v>27</v>
      </c>
      <c r="F44" s="37">
        <v>8181</v>
      </c>
      <c r="G44" s="685">
        <v>0.6</v>
      </c>
      <c r="H44" s="685">
        <v>0.13</v>
      </c>
      <c r="I44" s="685">
        <v>0.48</v>
      </c>
      <c r="J44" s="37">
        <v>535</v>
      </c>
      <c r="K44" s="37">
        <v>14445</v>
      </c>
      <c r="L44" s="685">
        <v>8.8709677419354843E-2</v>
      </c>
      <c r="M44" s="37">
        <v>44.354838709677423</v>
      </c>
      <c r="N44" s="37">
        <v>1197.5806451612905</v>
      </c>
      <c r="O44" s="37">
        <v>23823.580645161288</v>
      </c>
      <c r="P44" s="37">
        <f>ROUND(Table53[[#This Row],[Total Allocation by with variable data by FN for low income, and CFS]],0)</f>
        <v>23824</v>
      </c>
      <c r="Q44" s="37">
        <f>Table53[[#This Row],[Rounded Total]]/Table53[[#This Row],[Sum of Total Sum of Final Funding FTE Count]]</f>
        <v>882.37037037037032</v>
      </c>
    </row>
    <row r="45" spans="1:17">
      <c r="A45">
        <v>286</v>
      </c>
      <c r="B45" t="s">
        <v>406</v>
      </c>
      <c r="C45">
        <v>8990</v>
      </c>
      <c r="D45" t="s">
        <v>407</v>
      </c>
      <c r="E45" s="37">
        <v>99</v>
      </c>
      <c r="F45" s="37">
        <v>29997</v>
      </c>
      <c r="G45" s="685">
        <v>0.75</v>
      </c>
      <c r="H45" s="685">
        <v>0.13</v>
      </c>
      <c r="I45" s="685">
        <v>0.6</v>
      </c>
      <c r="J45" s="37">
        <v>999</v>
      </c>
      <c r="K45" s="37">
        <v>98901</v>
      </c>
      <c r="L45" s="685">
        <v>7.6788830715532289E-2</v>
      </c>
      <c r="M45" s="37">
        <v>38.394415357766142</v>
      </c>
      <c r="N45" s="37">
        <v>3801.047120418848</v>
      </c>
      <c r="O45" s="37">
        <v>132699.04712041887</v>
      </c>
      <c r="P45" s="37">
        <f>ROUND(Table53[[#This Row],[Total Allocation by with variable data by FN for low income, and CFS]],0)</f>
        <v>132699</v>
      </c>
      <c r="Q45" s="37">
        <f>Table53[[#This Row],[Rounded Total]]/Table53[[#This Row],[Sum of Total Sum of Final Funding FTE Count]]</f>
        <v>1340.3939393939395</v>
      </c>
    </row>
    <row r="46" spans="1:17">
      <c r="A46">
        <v>261</v>
      </c>
      <c r="B46" t="s">
        <v>400</v>
      </c>
      <c r="C46">
        <v>50250</v>
      </c>
      <c r="D46" t="s">
        <v>408</v>
      </c>
      <c r="E46" s="37">
        <v>25</v>
      </c>
      <c r="F46" s="37">
        <v>7575</v>
      </c>
      <c r="G46" s="685">
        <v>0.43</v>
      </c>
      <c r="H46" s="685">
        <v>0.13</v>
      </c>
      <c r="I46" s="685">
        <v>0.36</v>
      </c>
      <c r="J46" s="37">
        <v>237</v>
      </c>
      <c r="K46" s="37">
        <v>5925</v>
      </c>
      <c r="L46" s="685">
        <v>0.1225347559004203</v>
      </c>
      <c r="M46" s="37">
        <v>61.267377950210154</v>
      </c>
      <c r="N46" s="37">
        <v>1531.6844487552539</v>
      </c>
      <c r="O46" s="37">
        <v>15031.684448755253</v>
      </c>
      <c r="P46" s="37">
        <f>ROUND(Table53[[#This Row],[Total Allocation by with variable data by FN for low income, and CFS]],0)</f>
        <v>15032</v>
      </c>
      <c r="Q46" s="37">
        <f>Table53[[#This Row],[Rounded Total]]/Table53[[#This Row],[Sum of Total Sum of Final Funding FTE Count]]</f>
        <v>601.28</v>
      </c>
    </row>
    <row r="47" spans="1:17">
      <c r="A47">
        <v>261</v>
      </c>
      <c r="B47" t="s">
        <v>400</v>
      </c>
      <c r="C47">
        <v>1350</v>
      </c>
      <c r="D47" t="s">
        <v>409</v>
      </c>
      <c r="E47" s="37">
        <v>41</v>
      </c>
      <c r="F47" s="37">
        <v>12423</v>
      </c>
      <c r="G47" s="685">
        <v>0.77</v>
      </c>
      <c r="H47" s="685">
        <v>0.13</v>
      </c>
      <c r="I47" s="685">
        <v>0.61</v>
      </c>
      <c r="J47" s="37">
        <v>1040</v>
      </c>
      <c r="K47" s="37">
        <v>42640</v>
      </c>
      <c r="L47" s="685">
        <v>9.8331870061457424E-2</v>
      </c>
      <c r="M47" s="37">
        <v>49.165935030728711</v>
      </c>
      <c r="N47" s="37">
        <v>2015.8033362598771</v>
      </c>
      <c r="O47" s="37">
        <v>57078.80333625988</v>
      </c>
      <c r="P47" s="37">
        <f>ROUND(Table53[[#This Row],[Total Allocation by with variable data by FN for low income, and CFS]],0)</f>
        <v>57079</v>
      </c>
      <c r="Q47" s="37">
        <f>Table53[[#This Row],[Rounded Total]]/Table53[[#This Row],[Sum of Total Sum of Final Funding FTE Count]]</f>
        <v>1392.1707317073171</v>
      </c>
    </row>
  </sheetData>
  <mergeCells count="2">
    <mergeCell ref="A5:D5"/>
    <mergeCell ref="F2:G4"/>
  </mergeCells>
  <hyperlinks>
    <hyperlink ref="F6" r:id="rId1" xr:uid="{00000000-0004-0000-1000-000000000000}"/>
  </hyperlinks>
  <pageMargins left="0.7" right="0.7" top="0.75" bottom="0.75" header="0.3" footer="0.3"/>
  <pageSetup orientation="portrait" r:id="rId2"/>
  <headerFooter>
    <oddHeader>&amp;LMFNERC First Nations School System 2017-18&amp;RE&amp;&amp;OE</oddHeader>
  </headerFooter>
  <legacyDrawing r:id="rId3"/>
  <tableParts count="3">
    <tablePart r:id="rId4"/>
    <tablePart r:id="rId5"/>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dimension ref="A2:J23"/>
  <sheetViews>
    <sheetView workbookViewId="0">
      <selection activeCell="G12" sqref="G12"/>
    </sheetView>
  </sheetViews>
  <sheetFormatPr baseColWidth="10" defaultColWidth="9.19921875" defaultRowHeight="14"/>
  <cols>
    <col min="2" max="2" width="19.19921875" customWidth="1"/>
    <col min="3" max="3" width="8.796875" customWidth="1"/>
    <col min="4" max="4" width="32.796875" customWidth="1"/>
    <col min="5" max="5" width="12" customWidth="1"/>
    <col min="6" max="6" width="18.796875" customWidth="1"/>
    <col min="7" max="7" width="14.59765625" customWidth="1"/>
    <col min="8" max="8" width="15.3984375" customWidth="1"/>
    <col min="9" max="9" width="13.3984375" bestFit="1" customWidth="1"/>
    <col min="10" max="10" width="16.796875" customWidth="1"/>
    <col min="11" max="11" width="15.3984375" customWidth="1"/>
  </cols>
  <sheetData>
    <row r="2" spans="1:10">
      <c r="A2" t="s">
        <v>323</v>
      </c>
    </row>
    <row r="3" spans="1:10" ht="19">
      <c r="A3" s="33" t="s">
        <v>410</v>
      </c>
      <c r="H3" s="33" t="s">
        <v>325</v>
      </c>
    </row>
    <row r="4" spans="1:10">
      <c r="A4" s="1646" t="s">
        <v>411</v>
      </c>
      <c r="B4" s="1646"/>
      <c r="C4" s="1646"/>
      <c r="D4" s="1646"/>
      <c r="E4" s="1646"/>
    </row>
    <row r="5" spans="1:10">
      <c r="A5" s="35"/>
      <c r="B5" s="35"/>
      <c r="C5" s="35"/>
      <c r="D5" s="35"/>
      <c r="E5" s="35"/>
    </row>
    <row r="7" spans="1:10" ht="15">
      <c r="A7" s="1199" t="s">
        <v>328</v>
      </c>
      <c r="B7" s="1221">
        <v>83</v>
      </c>
      <c r="H7" s="1195" t="s">
        <v>328</v>
      </c>
      <c r="I7" s="1196">
        <v>524</v>
      </c>
    </row>
    <row r="8" spans="1:10" ht="15">
      <c r="A8" s="585" t="s">
        <v>412</v>
      </c>
    </row>
    <row r="9" spans="1:10" ht="19.5" customHeight="1">
      <c r="A9" s="2"/>
      <c r="B9" s="2"/>
      <c r="C9" s="2"/>
      <c r="D9" s="2"/>
    </row>
    <row r="10" spans="1:10" ht="46.5" customHeight="1">
      <c r="A10" s="113" t="s">
        <v>285</v>
      </c>
      <c r="B10" s="113" t="s">
        <v>286</v>
      </c>
      <c r="C10" s="113" t="s">
        <v>330</v>
      </c>
      <c r="D10" s="113" t="s">
        <v>331</v>
      </c>
      <c r="E10" s="113" t="s">
        <v>332</v>
      </c>
      <c r="F10" s="710" t="s">
        <v>322</v>
      </c>
      <c r="G10" s="113" t="s">
        <v>458</v>
      </c>
      <c r="H10" s="1456" t="s">
        <v>353</v>
      </c>
      <c r="J10" s="1460" t="s">
        <v>413</v>
      </c>
    </row>
    <row r="11" spans="1:10">
      <c r="A11">
        <f>'A. 20-21 FN Schools Data'!A7</f>
        <v>272</v>
      </c>
      <c r="B11" t="str">
        <f>'A. 20-21 FN Schools Data'!B7</f>
        <v>Pinaymootang</v>
      </c>
      <c r="C11">
        <f>'A. 20-21 FN Schools Data'!C7</f>
        <v>1140</v>
      </c>
      <c r="D11" t="str">
        <f>'A. 20-21 FN Schools Data'!D7</f>
        <v>Pinaymootang School</v>
      </c>
      <c r="E11" s="1">
        <f>INDEX(TableAFNSchools[Total Funded FTE],MATCH(Table8[[#This Row],[School '#]],TableAFNSchools[School No.],0))</f>
        <v>435</v>
      </c>
      <c r="F11" s="704">
        <f>ROUND(Table8[[#This Row],[Eligible FTE]]*FundingRate_CounsGuid,0)</f>
        <v>36105</v>
      </c>
      <c r="G11" s="19">
        <f>Table8[[#This Row],[TOTAL]]/Table8[[#This Row],[Eligible FTE]]</f>
        <v>83</v>
      </c>
      <c r="H11" s="706">
        <f>$I$7*Table8[[#This Row],[Eligible FTE]]</f>
        <v>227940</v>
      </c>
      <c r="J11" s="714">
        <f>H11+Table8[[#This Row],[TOTAL]]</f>
        <v>264045</v>
      </c>
    </row>
    <row r="12" spans="1:10">
      <c r="A12">
        <f>'A. 20-21 FN Schools Data'!A8</f>
        <v>275</v>
      </c>
      <c r="B12" t="str">
        <f>'A. 20-21 FN Schools Data'!B8</f>
        <v>Lake St. Martin</v>
      </c>
      <c r="C12">
        <f>'A. 20-21 FN Schools Data'!C8</f>
        <v>1144</v>
      </c>
      <c r="D12" t="str">
        <f>'A. 20-21 FN Schools Data'!D8</f>
        <v>Lake St. Martin School</v>
      </c>
      <c r="E12" s="80">
        <f>INDEX(TableAFNSchools[Total Funded FTE],MATCH(Table8[[#This Row],[School '#]],TableAFNSchools[School No.],0))</f>
        <v>398</v>
      </c>
      <c r="F12" s="704">
        <f>ROUND(Table8[[#This Row],[Eligible FTE]]*FundingRate_CounsGuid,0)</f>
        <v>33034</v>
      </c>
      <c r="G12" s="19">
        <f>Table8[[#This Row],[TOTAL]]/Table8[[#This Row],[Eligible FTE]]</f>
        <v>83</v>
      </c>
      <c r="H12" s="706">
        <f>$I$7*Table8[[#This Row],[Eligible FTE]]</f>
        <v>208552</v>
      </c>
      <c r="J12" s="714">
        <f>H12+Table8[[#This Row],[TOTAL]]</f>
        <v>241586</v>
      </c>
    </row>
    <row r="13" spans="1:10">
      <c r="A13">
        <f>'A. 20-21 FN Schools Data'!A9</f>
        <v>267</v>
      </c>
      <c r="B13" t="str">
        <f>'A. 20-21 FN Schools Data'!B9</f>
        <v>Bloodvein</v>
      </c>
      <c r="C13">
        <f>'A. 20-21 FN Schools Data'!C9</f>
        <v>1148</v>
      </c>
      <c r="D13" t="str">
        <f>'A. 20-21 FN Schools Data'!D9</f>
        <v>Miskooseepi School</v>
      </c>
      <c r="E13" s="1">
        <f>INDEX(TableAFNSchools[Total Funded FTE],MATCH(Table8[[#This Row],[School '#]],TableAFNSchools[School No.],0))</f>
        <v>194</v>
      </c>
      <c r="F13" s="704">
        <f>ROUND(Table8[[#This Row],[Eligible FTE]]*FundingRate_CounsGuid,0)</f>
        <v>16102</v>
      </c>
      <c r="G13" s="19">
        <f>Table8[[#This Row],[TOTAL]]/Table8[[#This Row],[Eligible FTE]]</f>
        <v>83</v>
      </c>
      <c r="H13" s="706">
        <f>$I$7*Table8[[#This Row],[Eligible FTE]]</f>
        <v>101656</v>
      </c>
      <c r="J13" s="714">
        <f>H13+Table8[[#This Row],[TOTAL]]</f>
        <v>117758</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Funded FTE],MATCH(Table8[[#This Row],[School '#]],TableAFNSchools[School No.],0))</f>
        <v>142</v>
      </c>
      <c r="F14" s="704">
        <f>ROUND(Table8[[#This Row],[Eligible FTE]]*FundingRate_CounsGuid,0)</f>
        <v>11786</v>
      </c>
      <c r="G14" s="19">
        <f>Table8[[#This Row],[TOTAL]]/Table8[[#This Row],[Eligible FTE]]</f>
        <v>83</v>
      </c>
      <c r="H14" s="706">
        <f>$I$7*Table8[[#This Row],[Eligible FTE]]</f>
        <v>74408</v>
      </c>
      <c r="J14" s="714">
        <f>H14+Table8[[#This Row],[TOTAL]]</f>
        <v>86194</v>
      </c>
    </row>
    <row r="15" spans="1:10">
      <c r="A15">
        <f>'A. 20-21 FN Schools Data'!A11</f>
        <v>271</v>
      </c>
      <c r="B15" t="str">
        <f>'A. 20-21 FN Schools Data'!B11</f>
        <v>Lake Manitoba</v>
      </c>
      <c r="C15">
        <f>'A. 20-21 FN Schools Data'!C11</f>
        <v>1345</v>
      </c>
      <c r="D15" t="str">
        <f>'A. 20-21 FN Schools Data'!D11</f>
        <v>Lake Manitoba School</v>
      </c>
      <c r="E15" s="1">
        <f>INDEX(TableAFNSchools[Total Funded FTE],MATCH(Table8[[#This Row],[School '#]],TableAFNSchools[School No.],0))</f>
        <v>303</v>
      </c>
      <c r="F15" s="704">
        <f>ROUND(Table8[[#This Row],[Eligible FTE]]*FundingRate_CounsGuid,0)</f>
        <v>25149</v>
      </c>
      <c r="G15" s="19">
        <f>Table8[[#This Row],[TOTAL]]/Table8[[#This Row],[Eligible FTE]]</f>
        <v>83</v>
      </c>
      <c r="H15" s="706">
        <f>$I$7*Table8[[#This Row],[Eligible FTE]]</f>
        <v>158772</v>
      </c>
      <c r="J15" s="714">
        <f>H15+Table8[[#This Row],[TOTAL]]</f>
        <v>183921</v>
      </c>
    </row>
    <row r="16" spans="1:10">
      <c r="A16">
        <f>'A. 20-21 FN Schools Data'!A12</f>
        <v>295</v>
      </c>
      <c r="B16" t="str">
        <f>'A. 20-21 FN Schools Data'!B12</f>
        <v>Dakota Tipi</v>
      </c>
      <c r="C16">
        <f>'A. 20-21 FN Schools Data'!C12</f>
        <v>1350</v>
      </c>
      <c r="D16" t="str">
        <f>'A. 20-21 FN Schools Data'!D12</f>
        <v>Dakota Tipi School</v>
      </c>
      <c r="E16" s="1">
        <f>INDEX(TableAFNSchools[Total Funded FTE],MATCH(Table8[[#This Row],[School '#]],TableAFNSchools[School No.],0))</f>
        <v>41</v>
      </c>
      <c r="F16" s="704">
        <f>ROUND(Table8[[#This Row],[Eligible FTE]]*FundingRate_CounsGuid,0)</f>
        <v>3403</v>
      </c>
      <c r="G16" s="19">
        <f>Table8[[#This Row],[TOTAL]]/Table8[[#This Row],[Eligible FTE]]</f>
        <v>83</v>
      </c>
      <c r="H16" s="706">
        <f>$I$7*Table8[[#This Row],[Eligible FTE]]</f>
        <v>21484</v>
      </c>
      <c r="J16" s="714">
        <f>H16+Table8[[#This Row],[TOTAL]]</f>
        <v>24887</v>
      </c>
    </row>
    <row r="17" spans="1:10">
      <c r="A17">
        <f>'A. 20-21 FN Schools Data'!A13</f>
        <v>288</v>
      </c>
      <c r="B17" t="str">
        <f>'A. 20-21 FN Schools Data'!B13</f>
        <v>Dakota Plains</v>
      </c>
      <c r="C17">
        <f>'A. 20-21 FN Schools Data'!C13</f>
        <v>1486</v>
      </c>
      <c r="D17" t="str">
        <f>'A. 20-21 FN Schools Data'!D13</f>
        <v>Mahpiya Hdega School</v>
      </c>
      <c r="E17" s="1">
        <f>INDEX(TableAFNSchools[Total Funded FTE],MATCH(Table8[[#This Row],[School '#]],TableAFNSchools[School No.],0))</f>
        <v>86</v>
      </c>
      <c r="F17" s="704">
        <f>ROUND(Table8[[#This Row],[Eligible FTE]]*FundingRate_CounsGuid,0)</f>
        <v>7138</v>
      </c>
      <c r="G17" s="19">
        <f>Table8[[#This Row],[TOTAL]]/Table8[[#This Row],[Eligible FTE]]</f>
        <v>83</v>
      </c>
      <c r="H17" s="706">
        <f>$I$7*Table8[[#This Row],[Eligible FTE]]</f>
        <v>45064</v>
      </c>
      <c r="J17" s="714">
        <f>H17+Table8[[#This Row],[TOTAL]]</f>
        <v>52202</v>
      </c>
    </row>
    <row r="18" spans="1:10">
      <c r="A18">
        <f>'A. 20-21 FN Schools Data'!A14</f>
        <v>261</v>
      </c>
      <c r="B18" t="str">
        <f>'A. 20-21 FN Schools Data'!B14</f>
        <v>Brokenhead</v>
      </c>
      <c r="C18">
        <f>'A. 20-21 FN Schools Data'!C14</f>
        <v>1756</v>
      </c>
      <c r="D18" t="str">
        <f>'A. 20-21 FN Schools Data'!D14</f>
        <v>Sergeant Tommy Prince School</v>
      </c>
      <c r="E18" s="1">
        <f>INDEX(TableAFNSchools[Total Funded FTE],MATCH(Table8[[#This Row],[School '#]],TableAFNSchools[School No.],0))</f>
        <v>123</v>
      </c>
      <c r="F18" s="704">
        <f>ROUND(Table8[[#This Row],[Eligible FTE]]*FundingRate_CounsGuid,0)</f>
        <v>10209</v>
      </c>
      <c r="G18" s="19">
        <f>Table8[[#This Row],[TOTAL]]/Table8[[#This Row],[Eligible FTE]]</f>
        <v>83</v>
      </c>
      <c r="H18" s="706">
        <f>$I$7*Table8[[#This Row],[Eligible FTE]]</f>
        <v>64452</v>
      </c>
      <c r="J18" s="714">
        <f>H18+Table8[[#This Row],[TOTAL]]</f>
        <v>74661</v>
      </c>
    </row>
    <row r="19" spans="1:10">
      <c r="A19">
        <f>'A. 20-21 FN Schools Data'!A15</f>
        <v>273</v>
      </c>
      <c r="B19" t="str">
        <f>'A. 20-21 FN Schools Data'!B15</f>
        <v>Roseau River</v>
      </c>
      <c r="C19">
        <f>'A. 20-21 FN Schools Data'!C15</f>
        <v>5717</v>
      </c>
      <c r="D19" t="str">
        <f>'A. 20-21 FN Schools Data'!D15</f>
        <v>Ginew School</v>
      </c>
      <c r="E19" s="1">
        <f>INDEX(TableAFNSchools[Total Funded FTE],MATCH(Table8[[#This Row],[School '#]],TableAFNSchools[School No.],0))</f>
        <v>153</v>
      </c>
      <c r="F19" s="704">
        <f>ROUND(Table8[[#This Row],[Eligible FTE]]*FundingRate_CounsGuid,0)</f>
        <v>12699</v>
      </c>
      <c r="G19" s="19">
        <f>Table8[[#This Row],[TOTAL]]/Table8[[#This Row],[Eligible FTE]]</f>
        <v>83</v>
      </c>
      <c r="H19" s="706">
        <f>$I$7*Table8[[#This Row],[Eligible FTE]]</f>
        <v>80172</v>
      </c>
      <c r="J19" s="714">
        <f>H19+Table8[[#This Row],[TOTAL]]</f>
        <v>92871</v>
      </c>
    </row>
    <row r="20" spans="1:10">
      <c r="A20">
        <f>'A. 20-21 FN Schools Data'!A16</f>
        <v>305</v>
      </c>
      <c r="B20" t="str">
        <f>'A. 20-21 FN Schools Data'!B16</f>
        <v>Fox Lake</v>
      </c>
      <c r="C20">
        <f>'A. 20-21 FN Schools Data'!C16</f>
        <v>6413</v>
      </c>
      <c r="D20" t="str">
        <f>'A. 20-21 FN Schools Data'!D16</f>
        <v>Fox Lake School</v>
      </c>
      <c r="E20" s="1">
        <f>INDEX(TableAFNSchools[Total Funded FTE],MATCH(Table8[[#This Row],[School '#]],TableAFNSchools[School No.],0))</f>
        <v>27</v>
      </c>
      <c r="F20" s="704">
        <f>ROUND(Table8[[#This Row],[Eligible FTE]]*FundingRate_CounsGuid,0)</f>
        <v>2241</v>
      </c>
      <c r="G20" s="19">
        <f>Table8[[#This Row],[TOTAL]]/Table8[[#This Row],[Eligible FTE]]</f>
        <v>83</v>
      </c>
      <c r="H20" s="706">
        <f>$I$7*Table8[[#This Row],[Eligible FTE]]</f>
        <v>14148</v>
      </c>
      <c r="J20" s="714">
        <f>H20+Table8[[#This Row],[TOTAL]]</f>
        <v>16389</v>
      </c>
    </row>
    <row r="21" spans="1:10">
      <c r="A21">
        <f>'A. 20-21 FN Schools Data'!A17</f>
        <v>286</v>
      </c>
      <c r="B21" t="str">
        <f>'A. 20-21 FN Schools Data'!B17</f>
        <v>Keeseekoowenin</v>
      </c>
      <c r="C21">
        <f>'A. 20-21 FN Schools Data'!C17</f>
        <v>8990</v>
      </c>
      <c r="D21" t="str">
        <f>'A. 20-21 FN Schools Data'!D17</f>
        <v>Keeseekoowenin School</v>
      </c>
      <c r="E21" s="1">
        <f>INDEX(TableAFNSchools[Total Funded FTE],MATCH(Table8[[#This Row],[School '#]],TableAFNSchools[School No.],0))</f>
        <v>99</v>
      </c>
      <c r="F21" s="704">
        <f>ROUND(Table8[[#This Row],[Eligible FTE]]*FundingRate_CounsGuid,0)</f>
        <v>8217</v>
      </c>
      <c r="G21" s="19">
        <f>Table8[[#This Row],[TOTAL]]/Table8[[#This Row],[Eligible FTE]]</f>
        <v>83</v>
      </c>
      <c r="H21" s="706">
        <f>$I$7*Table8[[#This Row],[Eligible FTE]]</f>
        <v>51876</v>
      </c>
      <c r="J21" s="714">
        <f>H21+Table8[[#This Row],[TOTAL]]</f>
        <v>60093</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FTE],MATCH(Table8[[#This Row],[School '#]],TableAFNSchools[School No.],0))</f>
        <v>25</v>
      </c>
      <c r="F22" s="705">
        <f>ROUND(Table8[[#This Row],[Eligible FTE]]*FundingRate_CounsGuid,0)</f>
        <v>2075</v>
      </c>
      <c r="G22" s="19">
        <f>Table8[[#This Row],[TOTAL]]/Table8[[#This Row],[Eligible FTE]]</f>
        <v>83</v>
      </c>
      <c r="H22" s="706">
        <f>$I$7*Table8[[#This Row],[Eligible FTE]]</f>
        <v>13100</v>
      </c>
      <c r="J22" s="714">
        <f>H22+Table8[[#This Row],[TOTAL]]</f>
        <v>15175</v>
      </c>
    </row>
    <row r="23" spans="1:10">
      <c r="A23" t="s">
        <v>72</v>
      </c>
      <c r="E23" s="1197">
        <f>SUBTOTAL(109,Table8[Eligible FTE])</f>
        <v>2026</v>
      </c>
      <c r="F23" s="1198">
        <f>SUBTOTAL(109,Table8[TOTAL])</f>
        <v>168158</v>
      </c>
      <c r="H23" s="1458">
        <f>SUM(H11:H22)</f>
        <v>1061624</v>
      </c>
      <c r="J23" s="1459">
        <f>SUM(J11:J22)</f>
        <v>1229782</v>
      </c>
    </row>
  </sheetData>
  <mergeCells count="1">
    <mergeCell ref="A4:E4"/>
  </mergeCells>
  <hyperlinks>
    <hyperlink ref="A8" r:id="rId1" display="Source: Manitoba Education, Funding of Schools 2020-21 Guide, p3" xr:uid="{00000000-0004-0000-11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1"/>
  <dimension ref="A2:K26"/>
  <sheetViews>
    <sheetView workbookViewId="0">
      <selection activeCell="H12" sqref="H12"/>
    </sheetView>
  </sheetViews>
  <sheetFormatPr baseColWidth="10" defaultColWidth="9.19921875" defaultRowHeight="14"/>
  <cols>
    <col min="1" max="1" width="7.796875" customWidth="1"/>
    <col min="2" max="2" width="18.3984375" customWidth="1"/>
    <col min="3" max="3" width="9.3984375" customWidth="1"/>
    <col min="4" max="4" width="28" customWidth="1"/>
    <col min="5" max="5" width="10.19921875" customWidth="1"/>
    <col min="6" max="6" width="11.796875" customWidth="1"/>
    <col min="7" max="7" width="15.19921875" customWidth="1"/>
    <col min="8" max="8" width="14.59765625" customWidth="1"/>
    <col min="9" max="9" width="15.19921875" customWidth="1"/>
    <col min="10" max="10" width="15.796875" customWidth="1"/>
    <col min="11" max="11" width="16" customWidth="1"/>
    <col min="12" max="12" width="19.796875" customWidth="1"/>
  </cols>
  <sheetData>
    <row r="2" spans="1:11">
      <c r="A2" t="s">
        <v>323</v>
      </c>
      <c r="F2" t="s">
        <v>414</v>
      </c>
    </row>
    <row r="3" spans="1:11" ht="19">
      <c r="A3" s="33" t="s">
        <v>415</v>
      </c>
      <c r="I3" s="33" t="s">
        <v>325</v>
      </c>
    </row>
    <row r="4" spans="1:11" ht="15" customHeight="1">
      <c r="A4" s="1646" t="s">
        <v>416</v>
      </c>
      <c r="B4" s="1646"/>
      <c r="C4" s="1646"/>
      <c r="D4" s="1646"/>
      <c r="E4" s="1646"/>
      <c r="F4" s="1222" t="s">
        <v>417</v>
      </c>
      <c r="G4" s="1223">
        <v>39</v>
      </c>
      <c r="I4" s="1222" t="s">
        <v>417</v>
      </c>
      <c r="J4" s="1223">
        <v>51</v>
      </c>
    </row>
    <row r="5" spans="1:11" ht="15">
      <c r="A5" s="1646"/>
      <c r="B5" s="1646"/>
      <c r="C5" s="1646"/>
      <c r="D5" s="1646"/>
      <c r="E5" s="1646"/>
      <c r="F5" s="1222" t="s">
        <v>418</v>
      </c>
      <c r="G5" s="1223">
        <v>7</v>
      </c>
      <c r="I5" s="1222" t="s">
        <v>418</v>
      </c>
      <c r="J5" s="1223">
        <v>7</v>
      </c>
    </row>
    <row r="6" spans="1:11" ht="27" customHeight="1">
      <c r="A6" s="1646"/>
      <c r="B6" s="1646"/>
      <c r="C6" s="1646"/>
      <c r="D6" s="1646"/>
      <c r="E6" s="1646"/>
      <c r="F6" s="1222" t="s">
        <v>419</v>
      </c>
      <c r="G6" s="1223">
        <v>12</v>
      </c>
      <c r="I6" s="1222" t="s">
        <v>419</v>
      </c>
      <c r="J6" s="1223">
        <v>12</v>
      </c>
    </row>
    <row r="7" spans="1:11" ht="27.75" customHeight="1">
      <c r="E7" s="1648" t="s">
        <v>412</v>
      </c>
      <c r="F7" s="1648"/>
      <c r="G7" s="1648"/>
      <c r="I7" s="621"/>
      <c r="J7" s="622"/>
    </row>
    <row r="8" spans="1:11">
      <c r="E8" s="72"/>
      <c r="F8" s="118"/>
      <c r="G8" s="118"/>
    </row>
    <row r="9" spans="1:11" ht="15">
      <c r="A9" s="2"/>
      <c r="B9" s="2"/>
      <c r="C9" s="2"/>
      <c r="D9" s="2"/>
    </row>
    <row r="10" spans="1:11" ht="50.25" customHeight="1">
      <c r="A10" s="113" t="s">
        <v>285</v>
      </c>
      <c r="B10" s="113" t="s">
        <v>286</v>
      </c>
      <c r="C10" s="113" t="s">
        <v>330</v>
      </c>
      <c r="D10" s="113" t="s">
        <v>331</v>
      </c>
      <c r="E10" s="113" t="s">
        <v>332</v>
      </c>
      <c r="F10" s="117" t="s">
        <v>420</v>
      </c>
      <c r="G10" s="710" t="s">
        <v>322</v>
      </c>
      <c r="H10" s="113" t="s">
        <v>458</v>
      </c>
      <c r="I10" s="1456" t="s">
        <v>353</v>
      </c>
      <c r="K10" s="1460" t="s">
        <v>421</v>
      </c>
    </row>
    <row r="11" spans="1:11">
      <c r="A11">
        <f>'A. 20-21 FN Schools Data'!A7</f>
        <v>272</v>
      </c>
      <c r="B11" t="str">
        <f>'A. 20-21 FN Schools Data'!B7</f>
        <v>Pinaymootang</v>
      </c>
      <c r="C11">
        <f>'A. 20-21 FN Schools Data'!C7</f>
        <v>1140</v>
      </c>
      <c r="D11" t="str">
        <f>'A. 20-21 FN Schools Data'!D7</f>
        <v>Pinaymootang School</v>
      </c>
      <c r="E11" s="1">
        <f>INDEX(TableAFNSchools[Total Funded FTE],MATCH(Table9[[#This Row],[School '#]],TableAFNSchools[School No.],0))</f>
        <v>435</v>
      </c>
      <c r="F11" s="81">
        <f>INDEX(TableAFNSchools[Distance to Winnipeg in km],MATCH(Table9[[#This Row],[School '#]],TableAFNSchools[School No.],0))</f>
        <v>236</v>
      </c>
      <c r="G11" s="711">
        <f>ROUND((FundingRate_ProfDev_perStud+IF(AND(Table9[[#This Row],[Distance to Winnipeg]]&gt;=100,Table9[[#This Row],[Distance to Winnipeg]]&lt;=350),FundingRate_ProfDev_Distance1,IF(Table9[[#This Row],[Distance to Winnipeg]]&gt;350,FundingRate_ProfDev_Distance2,0)))*Table9[[#This Row],[Eligible FTE]],0)</f>
        <v>20010</v>
      </c>
      <c r="H11" s="19">
        <f>Table9[[#This Row],[TOTAL]]/Table9[[#This Row],[Eligible FTE]]</f>
        <v>46</v>
      </c>
      <c r="I11" s="713">
        <f>ROUND(($J$4+IF(AND(Table9[[#This Row],[Distance to Winnipeg]]&gt;=100,Table9[[#This Row],[Distance to Winnipeg]]&lt;=350),$J$5,IF(Table9[[#This Row],[Distance to Winnipeg]]&gt;350,$J$6,0)))*Table9[[#This Row],[Eligible FTE]],0)</f>
        <v>25230</v>
      </c>
      <c r="K11" s="714">
        <f>Table9[[#This Row],[TOTAL]]+I11</f>
        <v>45240</v>
      </c>
    </row>
    <row r="12" spans="1:11">
      <c r="A12">
        <f>'A. 20-21 FN Schools Data'!A8</f>
        <v>275</v>
      </c>
      <c r="B12" t="str">
        <f>'A. 20-21 FN Schools Data'!B8</f>
        <v>Lake St. Martin</v>
      </c>
      <c r="C12">
        <f>'A. 20-21 FN Schools Data'!C8</f>
        <v>1144</v>
      </c>
      <c r="D12" t="str">
        <f>'A. 20-21 FN Schools Data'!D8</f>
        <v>Lake St. Martin School</v>
      </c>
      <c r="E12" s="80">
        <f>INDEX(TableAFNSchools[Total Funded FTE],MATCH(Table9[[#This Row],[School '#]],TableAFNSchools[School No.],0))</f>
        <v>398</v>
      </c>
      <c r="F12" s="81">
        <f>INDEX(TableAFNSchools[Distance to Winnipeg in km],MATCH(Table9[[#This Row],[School '#]],TableAFNSchools[School No.],0))</f>
        <v>261</v>
      </c>
      <c r="G12" s="711">
        <f>ROUND((FundingRate_ProfDev_perStud+IF(AND(Table9[[#This Row],[Distance to Winnipeg]]&gt;=100,Table9[[#This Row],[Distance to Winnipeg]]&lt;=350),FundingRate_ProfDev_Distance1,IF(Table9[[#This Row],[Distance to Winnipeg]]&gt;350,FundingRate_ProfDev_Distance2,0)))*Table9[[#This Row],[Eligible FTE]],0)</f>
        <v>18308</v>
      </c>
      <c r="H12" s="19">
        <f>Table9[[#This Row],[TOTAL]]/Table9[[#This Row],[Eligible FTE]]</f>
        <v>46</v>
      </c>
      <c r="I12" s="713">
        <f>ROUND(($J$4+IF(AND(Table9[[#This Row],[Distance to Winnipeg]]&gt;=100,Table9[[#This Row],[Distance to Winnipeg]]&lt;=350),$J$5,IF(Table9[[#This Row],[Distance to Winnipeg]]&gt;350,$J$6,0)))*Table9[[#This Row],[Eligible FTE]],0)</f>
        <v>23084</v>
      </c>
      <c r="K12" s="714">
        <f>Table9[[#This Row],[TOTAL]]+I12</f>
        <v>41392</v>
      </c>
    </row>
    <row r="13" spans="1:11">
      <c r="A13">
        <f>'A. 20-21 FN Schools Data'!A9</f>
        <v>267</v>
      </c>
      <c r="B13" t="str">
        <f>'A. 20-21 FN Schools Data'!B9</f>
        <v>Bloodvein</v>
      </c>
      <c r="C13">
        <f>'A. 20-21 FN Schools Data'!C9</f>
        <v>1148</v>
      </c>
      <c r="D13" t="str">
        <f>'A. 20-21 FN Schools Data'!D9</f>
        <v>Miskooseepi School</v>
      </c>
      <c r="E13" s="1">
        <f>INDEX(TableAFNSchools[Total Funded FTE],MATCH(Table9[[#This Row],[School '#]],TableAFNSchools[School No.],0))</f>
        <v>194</v>
      </c>
      <c r="F13" s="81">
        <f>INDEX(TableAFNSchools[Distance to Winnipeg in km],MATCH(Table9[[#This Row],[School '#]],TableAFNSchools[School No.],0))</f>
        <v>249</v>
      </c>
      <c r="G13" s="711">
        <f>ROUND((FundingRate_ProfDev_perStud+IF(AND(Table9[[#This Row],[Distance to Winnipeg]]&gt;=100,Table9[[#This Row],[Distance to Winnipeg]]&lt;=350),FundingRate_ProfDev_Distance1,IF(Table9[[#This Row],[Distance to Winnipeg]]&gt;350,FundingRate_ProfDev_Distance2,0)))*Table9[[#This Row],[Eligible FTE]],0)</f>
        <v>8924</v>
      </c>
      <c r="H13" s="19">
        <f>Table9[[#This Row],[TOTAL]]/Table9[[#This Row],[Eligible FTE]]</f>
        <v>46</v>
      </c>
      <c r="I13" s="713">
        <f>ROUND(($J$4+IF(AND(Table9[[#This Row],[Distance to Winnipeg]]&gt;=100,Table9[[#This Row],[Distance to Winnipeg]]&lt;=350),$J$5,IF(Table9[[#This Row],[Distance to Winnipeg]]&gt;350,$J$6,0)))*Table9[[#This Row],[Eligible FTE]],0)</f>
        <v>11252</v>
      </c>
      <c r="K13" s="714">
        <f>Table9[[#This Row],[TOTAL]]+I13</f>
        <v>20176</v>
      </c>
    </row>
    <row r="14" spans="1:11">
      <c r="A14">
        <f>'A. 20-21 FN Schools Data'!A10</f>
        <v>304</v>
      </c>
      <c r="B14" t="str">
        <f>'A. 20-21 FN Schools Data'!B10</f>
        <v>York Factory</v>
      </c>
      <c r="C14">
        <f>'A. 20-21 FN Schools Data'!C10</f>
        <v>1166</v>
      </c>
      <c r="D14" t="str">
        <f>'A. 20-21 FN Schools Data'!D10</f>
        <v>George Saunders Memorial School</v>
      </c>
      <c r="E14" s="1">
        <f>INDEX(TableAFNSchools[Total Funded FTE],MATCH(Table9[[#This Row],[School '#]],TableAFNSchools[School No.],0))</f>
        <v>142</v>
      </c>
      <c r="F14" s="81">
        <f>INDEX(TableAFNSchools[Distance to Winnipeg in km],MATCH(Table9[[#This Row],[School '#]],TableAFNSchools[School No.],0))</f>
        <v>936</v>
      </c>
      <c r="G14" s="711">
        <f>ROUND((FundingRate_ProfDev_perStud+IF(AND(Table9[[#This Row],[Distance to Winnipeg]]&gt;=100,Table9[[#This Row],[Distance to Winnipeg]]&lt;=350),FundingRate_ProfDev_Distance1,IF(Table9[[#This Row],[Distance to Winnipeg]]&gt;350,FundingRate_ProfDev_Distance2,0)))*Table9[[#This Row],[Eligible FTE]],0)</f>
        <v>7242</v>
      </c>
      <c r="H14" s="19">
        <f>Table9[[#This Row],[TOTAL]]/Table9[[#This Row],[Eligible FTE]]</f>
        <v>51</v>
      </c>
      <c r="I14" s="713">
        <f>ROUND(($J$4+IF(AND(Table9[[#This Row],[Distance to Winnipeg]]&gt;=100,Table9[[#This Row],[Distance to Winnipeg]]&lt;=350),$J$5,IF(Table9[[#This Row],[Distance to Winnipeg]]&gt;350,$J$6,0)))*Table9[[#This Row],[Eligible FTE]],0)</f>
        <v>8946</v>
      </c>
      <c r="K14" s="714">
        <f>Table9[[#This Row],[TOTAL]]+I14</f>
        <v>16188</v>
      </c>
    </row>
    <row r="15" spans="1:11">
      <c r="A15">
        <f>'A. 20-21 FN Schools Data'!A11</f>
        <v>271</v>
      </c>
      <c r="B15" t="str">
        <f>'A. 20-21 FN Schools Data'!B11</f>
        <v>Lake Manitoba</v>
      </c>
      <c r="C15">
        <f>'A. 20-21 FN Schools Data'!C11</f>
        <v>1345</v>
      </c>
      <c r="D15" t="str">
        <f>'A. 20-21 FN Schools Data'!D11</f>
        <v>Lake Manitoba School</v>
      </c>
      <c r="E15" s="1">
        <f>INDEX(TableAFNSchools[Total Funded FTE],MATCH(Table9[[#This Row],[School '#]],TableAFNSchools[School No.],0))</f>
        <v>303</v>
      </c>
      <c r="F15" s="81">
        <f>INDEX(TableAFNSchools[Distance to Winnipeg in km],MATCH(Table9[[#This Row],[School '#]],TableAFNSchools[School No.],0))</f>
        <v>180</v>
      </c>
      <c r="G15" s="711">
        <f>ROUND((FundingRate_ProfDev_perStud+IF(AND(Table9[[#This Row],[Distance to Winnipeg]]&gt;=100,Table9[[#This Row],[Distance to Winnipeg]]&lt;=350),FundingRate_ProfDev_Distance1,IF(Table9[[#This Row],[Distance to Winnipeg]]&gt;350,FundingRate_ProfDev_Distance2,0)))*Table9[[#This Row],[Eligible FTE]],0)</f>
        <v>13938</v>
      </c>
      <c r="H15" s="19">
        <f>Table9[[#This Row],[TOTAL]]/Table9[[#This Row],[Eligible FTE]]</f>
        <v>46</v>
      </c>
      <c r="I15" s="713">
        <f>ROUND(($J$4+IF(AND(Table9[[#This Row],[Distance to Winnipeg]]&gt;=100,Table9[[#This Row],[Distance to Winnipeg]]&lt;=350),$J$5,IF(Table9[[#This Row],[Distance to Winnipeg]]&gt;350,$J$6,0)))*Table9[[#This Row],[Eligible FTE]],0)</f>
        <v>17574</v>
      </c>
      <c r="K15" s="714">
        <f>Table9[[#This Row],[TOTAL]]+I15</f>
        <v>31512</v>
      </c>
    </row>
    <row r="16" spans="1:11">
      <c r="A16">
        <f>'A. 20-21 FN Schools Data'!A12</f>
        <v>295</v>
      </c>
      <c r="B16" t="str">
        <f>'A. 20-21 FN Schools Data'!B12</f>
        <v>Dakota Tipi</v>
      </c>
      <c r="C16">
        <f>'A. 20-21 FN Schools Data'!C12</f>
        <v>1350</v>
      </c>
      <c r="D16" t="str">
        <f>'A. 20-21 FN Schools Data'!D12</f>
        <v>Dakota Tipi School</v>
      </c>
      <c r="E16" s="1">
        <f>INDEX(TableAFNSchools[Total Funded FTE],MATCH(Table9[[#This Row],[School '#]],TableAFNSchools[School No.],0))</f>
        <v>41</v>
      </c>
      <c r="F16" s="81">
        <f>INDEX(TableAFNSchools[Distance to Winnipeg in km],MATCH(Table9[[#This Row],[School '#]],TableAFNSchools[School No.],0))</f>
        <v>91</v>
      </c>
      <c r="G16" s="711">
        <f>ROUND((FundingRate_ProfDev_perStud+IF(AND(Table9[[#This Row],[Distance to Winnipeg]]&gt;=100,Table9[[#This Row],[Distance to Winnipeg]]&lt;=350),FundingRate_ProfDev_Distance1,IF(Table9[[#This Row],[Distance to Winnipeg]]&gt;350,FundingRate_ProfDev_Distance2,0)))*Table9[[#This Row],[Eligible FTE]],0)</f>
        <v>1599</v>
      </c>
      <c r="H16" s="19">
        <f>Table9[[#This Row],[TOTAL]]/Table9[[#This Row],[Eligible FTE]]</f>
        <v>39</v>
      </c>
      <c r="I16" s="713">
        <f>ROUND(($J$4+IF(AND(Table9[[#This Row],[Distance to Winnipeg]]&gt;=100,Table9[[#This Row],[Distance to Winnipeg]]&lt;=350),$J$5,IF(Table9[[#This Row],[Distance to Winnipeg]]&gt;350,$J$6,0)))*Table9[[#This Row],[Eligible FTE]],0)</f>
        <v>2091</v>
      </c>
      <c r="K16" s="714">
        <f>Table9[[#This Row],[TOTAL]]+I16</f>
        <v>3690</v>
      </c>
    </row>
    <row r="17" spans="1:11">
      <c r="A17">
        <f>'A. 20-21 FN Schools Data'!A13</f>
        <v>288</v>
      </c>
      <c r="B17" t="str">
        <f>'A. 20-21 FN Schools Data'!B13</f>
        <v>Dakota Plains</v>
      </c>
      <c r="C17">
        <f>'A. 20-21 FN Schools Data'!C13</f>
        <v>1486</v>
      </c>
      <c r="D17" t="str">
        <f>'A. 20-21 FN Schools Data'!D13</f>
        <v>Mahpiya Hdega School</v>
      </c>
      <c r="E17" s="1">
        <f>INDEX(TableAFNSchools[Total Funded FTE],MATCH(Table9[[#This Row],[School '#]],TableAFNSchools[School No.],0))</f>
        <v>86</v>
      </c>
      <c r="F17" s="81">
        <f>INDEX(TableAFNSchools[Distance to Winnipeg in km],MATCH(Table9[[#This Row],[School '#]],TableAFNSchools[School No.],0))</f>
        <v>122</v>
      </c>
      <c r="G17" s="711">
        <f>ROUND((FundingRate_ProfDev_perStud+IF(AND(Table9[[#This Row],[Distance to Winnipeg]]&gt;=100,Table9[[#This Row],[Distance to Winnipeg]]&lt;=350),FundingRate_ProfDev_Distance1,IF(Table9[[#This Row],[Distance to Winnipeg]]&gt;350,FundingRate_ProfDev_Distance2,0)))*Table9[[#This Row],[Eligible FTE]],0)</f>
        <v>3956</v>
      </c>
      <c r="H17" s="19">
        <f>Table9[[#This Row],[TOTAL]]/Table9[[#This Row],[Eligible FTE]]</f>
        <v>46</v>
      </c>
      <c r="I17" s="713">
        <f>ROUND(($J$4+IF(AND(Table9[[#This Row],[Distance to Winnipeg]]&gt;=100,Table9[[#This Row],[Distance to Winnipeg]]&lt;=350),$J$5,IF(Table9[[#This Row],[Distance to Winnipeg]]&gt;350,$J$6,0)))*Table9[[#This Row],[Eligible FTE]],0)</f>
        <v>4988</v>
      </c>
      <c r="K17" s="714">
        <f>Table9[[#This Row],[TOTAL]]+I17</f>
        <v>8944</v>
      </c>
    </row>
    <row r="18" spans="1:11">
      <c r="A18">
        <f>'A. 20-21 FN Schools Data'!A14</f>
        <v>261</v>
      </c>
      <c r="B18" t="str">
        <f>'A. 20-21 FN Schools Data'!B14</f>
        <v>Brokenhead</v>
      </c>
      <c r="C18">
        <f>'A. 20-21 FN Schools Data'!C14</f>
        <v>1756</v>
      </c>
      <c r="D18" t="str">
        <f>'A. 20-21 FN Schools Data'!D14</f>
        <v>Sergeant Tommy Prince School</v>
      </c>
      <c r="E18" s="1">
        <f>INDEX(TableAFNSchools[Total Funded FTE],MATCH(Table9[[#This Row],[School '#]],TableAFNSchools[School No.],0))</f>
        <v>123</v>
      </c>
      <c r="F18" s="81">
        <f>INDEX(TableAFNSchools[Distance to Winnipeg in km],MATCH(Table9[[#This Row],[School '#]],TableAFNSchools[School No.],0))</f>
        <v>72</v>
      </c>
      <c r="G18" s="711">
        <f>ROUND((FundingRate_ProfDev_perStud+IF(AND(Table9[[#This Row],[Distance to Winnipeg]]&gt;=100,Table9[[#This Row],[Distance to Winnipeg]]&lt;=350),FundingRate_ProfDev_Distance1,IF(Table9[[#This Row],[Distance to Winnipeg]]&gt;350,FundingRate_ProfDev_Distance2,0)))*Table9[[#This Row],[Eligible FTE]],0)</f>
        <v>4797</v>
      </c>
      <c r="H18" s="19">
        <f>Table9[[#This Row],[TOTAL]]/Table9[[#This Row],[Eligible FTE]]</f>
        <v>39</v>
      </c>
      <c r="I18" s="713">
        <f>ROUND(($J$4+IF(AND(Table9[[#This Row],[Distance to Winnipeg]]&gt;=100,Table9[[#This Row],[Distance to Winnipeg]]&lt;=350),$J$5,IF(Table9[[#This Row],[Distance to Winnipeg]]&gt;350,$J$6,0)))*Table9[[#This Row],[Eligible FTE]],0)</f>
        <v>6273</v>
      </c>
      <c r="K18" s="714">
        <f>Table9[[#This Row],[TOTAL]]+I18</f>
        <v>11070</v>
      </c>
    </row>
    <row r="19" spans="1:11">
      <c r="A19">
        <f>'A. 20-21 FN Schools Data'!A15</f>
        <v>273</v>
      </c>
      <c r="B19" t="str">
        <f>'A. 20-21 FN Schools Data'!B15</f>
        <v>Roseau River</v>
      </c>
      <c r="C19">
        <f>'A. 20-21 FN Schools Data'!C15</f>
        <v>5717</v>
      </c>
      <c r="D19" t="str">
        <f>'A. 20-21 FN Schools Data'!D15</f>
        <v>Ginew School</v>
      </c>
      <c r="E19" s="1">
        <f>INDEX(TableAFNSchools[Total Funded FTE],MATCH(Table9[[#This Row],[School '#]],TableAFNSchools[School No.],0))</f>
        <v>153</v>
      </c>
      <c r="F19" s="81">
        <f>INDEX(TableAFNSchools[Distance to Winnipeg in km],MATCH(Table9[[#This Row],[School '#]],TableAFNSchools[School No.],0))</f>
        <v>100</v>
      </c>
      <c r="G19" s="711">
        <f>ROUND((FundingRate_ProfDev_perStud+IF(AND(Table9[[#This Row],[Distance to Winnipeg]]&gt;=100,Table9[[#This Row],[Distance to Winnipeg]]&lt;=350),FundingRate_ProfDev_Distance1,IF(Table9[[#This Row],[Distance to Winnipeg]]&gt;350,FundingRate_ProfDev_Distance2,0)))*Table9[[#This Row],[Eligible FTE]],0)</f>
        <v>7038</v>
      </c>
      <c r="H19" s="19">
        <f>Table9[[#This Row],[TOTAL]]/Table9[[#This Row],[Eligible FTE]]</f>
        <v>46</v>
      </c>
      <c r="I19" s="713">
        <f>ROUND(($J$4+IF(AND(Table9[[#This Row],[Distance to Winnipeg]]&gt;=100,Table9[[#This Row],[Distance to Winnipeg]]&lt;=350),$J$5,IF(Table9[[#This Row],[Distance to Winnipeg]]&gt;350,$J$6,0)))*Table9[[#This Row],[Eligible FTE]],0)</f>
        <v>8874</v>
      </c>
      <c r="K19" s="714">
        <f>Table9[[#This Row],[TOTAL]]+I19</f>
        <v>15912</v>
      </c>
    </row>
    <row r="20" spans="1:11">
      <c r="A20">
        <f>'A. 20-21 FN Schools Data'!A16</f>
        <v>305</v>
      </c>
      <c r="B20" t="str">
        <f>'A. 20-21 FN Schools Data'!B16</f>
        <v>Fox Lake</v>
      </c>
      <c r="C20">
        <f>'A. 20-21 FN Schools Data'!C16</f>
        <v>6413</v>
      </c>
      <c r="D20" t="str">
        <f>'A. 20-21 FN Schools Data'!D16</f>
        <v>Fox Lake School</v>
      </c>
      <c r="E20" s="1">
        <f>INDEX(TableAFNSchools[Total Funded FTE],MATCH(Table9[[#This Row],[School '#]],TableAFNSchools[School No.],0))</f>
        <v>27</v>
      </c>
      <c r="F20" s="81">
        <f>INDEX(TableAFNSchools[Distance to Winnipeg in km],MATCH(Table9[[#This Row],[School '#]],TableAFNSchools[School No.],0))</f>
        <v>1064</v>
      </c>
      <c r="G20" s="711">
        <f>ROUND((FundingRate_ProfDev_perStud+IF(AND(Table9[[#This Row],[Distance to Winnipeg]]&gt;=100,Table9[[#This Row],[Distance to Winnipeg]]&lt;=350),FundingRate_ProfDev_Distance1,IF(Table9[[#This Row],[Distance to Winnipeg]]&gt;350,FundingRate_ProfDev_Distance2,0)))*Table9[[#This Row],[Eligible FTE]],0)</f>
        <v>1377</v>
      </c>
      <c r="H20" s="19">
        <f>Table9[[#This Row],[TOTAL]]/Table9[[#This Row],[Eligible FTE]]</f>
        <v>51</v>
      </c>
      <c r="I20" s="713">
        <f>ROUND(($J$4+IF(AND(Table9[[#This Row],[Distance to Winnipeg]]&gt;=100,Table9[[#This Row],[Distance to Winnipeg]]&lt;=350),$J$5,IF(Table9[[#This Row],[Distance to Winnipeg]]&gt;350,$J$6,0)))*Table9[[#This Row],[Eligible FTE]],0)</f>
        <v>1701</v>
      </c>
      <c r="K20" s="714">
        <f>Table9[[#This Row],[TOTAL]]+I20</f>
        <v>3078</v>
      </c>
    </row>
    <row r="21" spans="1:11">
      <c r="A21">
        <f>'A. 20-21 FN Schools Data'!A17</f>
        <v>286</v>
      </c>
      <c r="B21" t="str">
        <f>'A. 20-21 FN Schools Data'!B17</f>
        <v>Keeseekoowenin</v>
      </c>
      <c r="C21">
        <f>'A. 20-21 FN Schools Data'!C17</f>
        <v>8990</v>
      </c>
      <c r="D21" t="str">
        <f>'A. 20-21 FN Schools Data'!D17</f>
        <v>Keeseekoowenin School</v>
      </c>
      <c r="E21" s="1">
        <f>INDEX(TableAFNSchools[Total Funded FTE],MATCH(Table9[[#This Row],[School '#]],TableAFNSchools[School No.],0))</f>
        <v>99</v>
      </c>
      <c r="F21" s="81">
        <f>INDEX(TableAFNSchools[Distance to Winnipeg in km],MATCH(Table9[[#This Row],[School '#]],TableAFNSchools[School No.],0))</f>
        <v>276</v>
      </c>
      <c r="G21" s="711">
        <f>ROUND((FundingRate_ProfDev_perStud+IF(AND(Table9[[#This Row],[Distance to Winnipeg]]&gt;=100,Table9[[#This Row],[Distance to Winnipeg]]&lt;=350),FundingRate_ProfDev_Distance1,IF(Table9[[#This Row],[Distance to Winnipeg]]&gt;350,FundingRate_ProfDev_Distance2,0)))*Table9[[#This Row],[Eligible FTE]],0)</f>
        <v>4554</v>
      </c>
      <c r="H21" s="19">
        <f>Table9[[#This Row],[TOTAL]]/Table9[[#This Row],[Eligible FTE]]</f>
        <v>46</v>
      </c>
      <c r="I21" s="713">
        <f>ROUND(($J$4+IF(AND(Table9[[#This Row],[Distance to Winnipeg]]&gt;=100,Table9[[#This Row],[Distance to Winnipeg]]&lt;=350),$J$5,IF(Table9[[#This Row],[Distance to Winnipeg]]&gt;350,$J$6,0)))*Table9[[#This Row],[Eligible FTE]],0)</f>
        <v>5742</v>
      </c>
      <c r="K21" s="714">
        <f>Table9[[#This Row],[TOTAL]]+I21</f>
        <v>10296</v>
      </c>
    </row>
    <row r="22" spans="1:11">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FTE],MATCH(Table9[[#This Row],[School '#]],TableAFNSchools[School No.],0))</f>
        <v>25</v>
      </c>
      <c r="F22" s="81">
        <f>INDEX(TableAFNSchools[Distance to Winnipeg in km],MATCH(Table9[[#This Row],[School '#]],TableAFNSchools[School No.],0))</f>
        <v>72</v>
      </c>
      <c r="G22" s="711">
        <f>ROUND((FundingRate_ProfDev_perStud+IF(AND(Table9[[#This Row],[Distance to Winnipeg]]&gt;=100,Table9[[#This Row],[Distance to Winnipeg]]&lt;=350),FundingRate_ProfDev_Distance1,IF(Table9[[#This Row],[Distance to Winnipeg]]&gt;350,FundingRate_ProfDev_Distance2,0)))*Table9[[#This Row],[Eligible FTE]],0)</f>
        <v>975</v>
      </c>
      <c r="H22" s="19">
        <f>Table9[[#This Row],[TOTAL]]/Table9[[#This Row],[Eligible FTE]]</f>
        <v>39</v>
      </c>
      <c r="I22" s="713">
        <f>ROUND(($J$4+IF(AND(Table9[[#This Row],[Distance to Winnipeg]]&gt;=100,Table9[[#This Row],[Distance to Winnipeg]]&lt;=350),$J$5,IF(Table9[[#This Row],[Distance to Winnipeg]]&gt;350,$J$6,0)))*Table9[[#This Row],[Eligible FTE]],0)</f>
        <v>1275</v>
      </c>
      <c r="K22" s="714">
        <f>Table9[[#This Row],[TOTAL]]+I22</f>
        <v>2250</v>
      </c>
    </row>
    <row r="23" spans="1:11">
      <c r="A23" t="s">
        <v>72</v>
      </c>
      <c r="E23" s="1197">
        <f>SUBTOTAL(109,Table9[Eligible FTE])</f>
        <v>2026</v>
      </c>
      <c r="F23" s="76"/>
      <c r="G23" s="1224">
        <f>SUBTOTAL(109,Table9[TOTAL])</f>
        <v>92718</v>
      </c>
      <c r="I23" s="1458">
        <f>SUM(I11:I22)</f>
        <v>117030</v>
      </c>
      <c r="K23" s="1459">
        <f>SUM(K11:K22)</f>
        <v>209748</v>
      </c>
    </row>
    <row r="24" spans="1:11">
      <c r="H24" s="19"/>
    </row>
    <row r="25" spans="1:11">
      <c r="H25" s="19"/>
    </row>
    <row r="26" spans="1:11">
      <c r="H26" s="19"/>
    </row>
  </sheetData>
  <mergeCells count="2">
    <mergeCell ref="A4:E6"/>
    <mergeCell ref="E7:G7"/>
  </mergeCells>
  <hyperlinks>
    <hyperlink ref="E7" r:id="rId1" display="http://www.edu.gov.mb.ca/k12/finance/schfund/funding_16-17.pdf" xr:uid="{00000000-0004-0000-1200-000000000000}"/>
    <hyperlink ref="E7:G7" r:id="rId2" display="Source: Manitoba Education, Funding of Schools 2017-18 Guide, p5" xr:uid="{00000000-0004-0000-1200-000001000000}"/>
  </hyperlinks>
  <pageMargins left="0.7" right="0.7" top="0.75" bottom="0.75" header="0.3" footer="0.3"/>
  <pageSetup orientation="portrait" r:id="rId3"/>
  <headerFooter>
    <oddHeader>&amp;LMFNERC First Nations School System 2017-18&amp;RE&amp;&amp;OE</oddHeader>
  </headerFooter>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2"/>
  <dimension ref="A2:G24"/>
  <sheetViews>
    <sheetView workbookViewId="0">
      <selection activeCell="G12" sqref="G12"/>
    </sheetView>
  </sheetViews>
  <sheetFormatPr baseColWidth="10" defaultColWidth="9.19921875" defaultRowHeight="14"/>
  <cols>
    <col min="2" max="2" width="18.796875" customWidth="1"/>
    <col min="3" max="3" width="9.59765625" customWidth="1"/>
    <col min="4" max="4" width="31.796875" customWidth="1"/>
    <col min="5" max="5" width="14.19921875" customWidth="1"/>
    <col min="6" max="6" width="16.796875" customWidth="1"/>
    <col min="7" max="7" width="14.59765625" customWidth="1"/>
  </cols>
  <sheetData>
    <row r="2" spans="1:7">
      <c r="A2" t="s">
        <v>323</v>
      </c>
    </row>
    <row r="3" spans="1:7" ht="19">
      <c r="A3" s="33" t="s">
        <v>422</v>
      </c>
    </row>
    <row r="4" spans="1:7">
      <c r="A4" s="1646" t="s">
        <v>423</v>
      </c>
      <c r="B4" s="1646"/>
      <c r="C4" s="1646"/>
      <c r="D4" s="1646"/>
      <c r="E4" s="1646"/>
    </row>
    <row r="5" spans="1:7">
      <c r="A5" s="35"/>
      <c r="B5" s="35"/>
      <c r="C5" s="35"/>
      <c r="D5" s="35"/>
      <c r="E5" s="35"/>
    </row>
    <row r="7" spans="1:7">
      <c r="A7" s="1199" t="s">
        <v>328</v>
      </c>
      <c r="B7" s="1210">
        <v>125</v>
      </c>
    </row>
    <row r="8" spans="1:7" ht="15">
      <c r="A8" s="585" t="s">
        <v>412</v>
      </c>
    </row>
    <row r="9" spans="1:7" ht="15">
      <c r="A9" s="2"/>
      <c r="B9" s="2"/>
      <c r="C9" s="2"/>
      <c r="D9" s="2"/>
    </row>
    <row r="10" spans="1:7" ht="48" customHeight="1">
      <c r="A10" s="113" t="s">
        <v>285</v>
      </c>
      <c r="B10" s="113" t="s">
        <v>286</v>
      </c>
      <c r="C10" s="113" t="s">
        <v>330</v>
      </c>
      <c r="D10" s="113" t="s">
        <v>331</v>
      </c>
      <c r="E10" s="117" t="s">
        <v>424</v>
      </c>
      <c r="F10" s="710"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INDEX(TableAFNSchools[Gr11 FTE Sum],MATCH(Table10[[#This Row],[School '#]],TableAFNSchools[School No.],0))+INDEX(TableAFNSchools[Gr12 FTE Sum],MATCH(Table10[[#This Row],[School '#]],TableAFNSchools[School No.],0))</f>
        <v>88</v>
      </c>
      <c r="F11" s="704">
        <f>Table10[[#This Row],[Gr. 11-12 Eligible FTE]]*FundingRate_PhysEd</f>
        <v>11000</v>
      </c>
      <c r="G11" s="19">
        <f>Table10[[#This Row],[TOTAL]]/Table10[[#This Row],[Gr. 11-12 Eligible FTE]]</f>
        <v>125</v>
      </c>
    </row>
    <row r="12" spans="1:7">
      <c r="A12">
        <f>'A. 20-21 FN Schools Data'!A8</f>
        <v>275</v>
      </c>
      <c r="B12" t="str">
        <f>'A. 20-21 FN Schools Data'!B8</f>
        <v>Lake St. Martin</v>
      </c>
      <c r="C12">
        <f>'A. 20-21 FN Schools Data'!C8</f>
        <v>1144</v>
      </c>
      <c r="D12" t="str">
        <f>'A. 20-21 FN Schools Data'!D8</f>
        <v>Lake St. Martin School</v>
      </c>
      <c r="E12" s="1">
        <f>INDEX(TableAFNSchools[Gr11 FTE Sum],MATCH(Table10[[#This Row],[School '#]],TableAFNSchools[School No.],0))+INDEX(TableAFNSchools[Gr12 FTE Sum],MATCH(Table10[[#This Row],[School '#]],TableAFNSchools[School No.],0))</f>
        <v>17</v>
      </c>
      <c r="F12" s="704">
        <f>Table10[[#This Row],[Gr. 11-12 Eligible FTE]]*FundingRate_PhysEd</f>
        <v>2125</v>
      </c>
      <c r="G12" s="19">
        <f>Table10[[#This Row],[TOTAL]]/Table10[[#This Row],[Gr. 11-12 Eligible FTE]]</f>
        <v>125</v>
      </c>
    </row>
    <row r="13" spans="1:7">
      <c r="A13">
        <f>'A. 20-21 FN Schools Data'!A9</f>
        <v>267</v>
      </c>
      <c r="B13" t="str">
        <f>'A. 20-21 FN Schools Data'!B9</f>
        <v>Bloodvein</v>
      </c>
      <c r="C13">
        <f>'A. 20-21 FN Schools Data'!C9</f>
        <v>1148</v>
      </c>
      <c r="D13" t="str">
        <f>'A. 20-21 FN Schools Data'!D9</f>
        <v>Miskooseepi School</v>
      </c>
      <c r="E13" s="1">
        <f>INDEX(TableAFNSchools[Gr11 FTE Sum],MATCH(Table10[[#This Row],[School '#]],TableAFNSchools[School No.],0))+INDEX(TableAFNSchools[Gr12 FTE Sum],MATCH(Table10[[#This Row],[School '#]],TableAFNSchools[School No.],0))</f>
        <v>2</v>
      </c>
      <c r="F13" s="704">
        <f>Table10[[#This Row],[Gr. 11-12 Eligible FTE]]*FundingRate_PhysEd</f>
        <v>250</v>
      </c>
      <c r="G13" s="19">
        <f>Table10[[#This Row],[TOTAL]]/Table10[[#This Row],[Gr. 11-12 Eligible FTE]]</f>
        <v>125</v>
      </c>
    </row>
    <row r="14" spans="1:7">
      <c r="A14">
        <f>'A. 20-21 FN Schools Data'!A10</f>
        <v>304</v>
      </c>
      <c r="B14" t="str">
        <f>'A. 20-21 FN Schools Data'!B10</f>
        <v>York Factory</v>
      </c>
      <c r="C14">
        <f>'A. 20-21 FN Schools Data'!C10</f>
        <v>1166</v>
      </c>
      <c r="D14" t="str">
        <f>'A. 20-21 FN Schools Data'!D10</f>
        <v>George Saunders Memorial School</v>
      </c>
      <c r="E14" s="1">
        <f>INDEX(TableAFNSchools[Gr11 FTE Sum],MATCH(Table10[[#This Row],[School '#]],TableAFNSchools[School No.],0))+INDEX(TableAFNSchools[Gr12 FTE Sum],MATCH(Table10[[#This Row],[School '#]],TableAFNSchools[School No.],0))</f>
        <v>9</v>
      </c>
      <c r="F14" s="704">
        <f>Table10[[#This Row],[Gr. 11-12 Eligible FTE]]*FundingRate_PhysEd</f>
        <v>1125</v>
      </c>
      <c r="G14" s="19">
        <f>Table10[[#This Row],[TOTAL]]/Table10[[#This Row],[Gr. 11-12 Eligible FTE]]</f>
        <v>125</v>
      </c>
    </row>
    <row r="15" spans="1:7">
      <c r="A15">
        <f>'A. 20-21 FN Schools Data'!A11</f>
        <v>271</v>
      </c>
      <c r="B15" t="str">
        <f>'A. 20-21 FN Schools Data'!B11</f>
        <v>Lake Manitoba</v>
      </c>
      <c r="C15">
        <f>'A. 20-21 FN Schools Data'!C11</f>
        <v>1345</v>
      </c>
      <c r="D15" t="str">
        <f>'A. 20-21 FN Schools Data'!D11</f>
        <v>Lake Manitoba School</v>
      </c>
      <c r="E15" s="1">
        <f>INDEX(TableAFNSchools[Gr11 FTE Sum],MATCH(Table10[[#This Row],[School '#]],TableAFNSchools[School No.],0))+INDEX(TableAFNSchools[Gr12 FTE Sum],MATCH(Table10[[#This Row],[School '#]],TableAFNSchools[School No.],0))</f>
        <v>48</v>
      </c>
      <c r="F15" s="704">
        <f>Table10[[#This Row],[Gr. 11-12 Eligible FTE]]*FundingRate_PhysEd</f>
        <v>6000</v>
      </c>
      <c r="G15" s="19">
        <f>Table10[[#This Row],[TOTAL]]/Table10[[#This Row],[Gr. 11-12 Eligible FTE]]</f>
        <v>125</v>
      </c>
    </row>
    <row r="16" spans="1:7">
      <c r="A16">
        <f>'A. 20-21 FN Schools Data'!A12</f>
        <v>295</v>
      </c>
      <c r="B16" t="str">
        <f>'A. 20-21 FN Schools Data'!B12</f>
        <v>Dakota Tipi</v>
      </c>
      <c r="C16">
        <f>'A. 20-21 FN Schools Data'!C12</f>
        <v>1350</v>
      </c>
      <c r="D16" t="str">
        <f>'A. 20-21 FN Schools Data'!D12</f>
        <v>Dakota Tipi School</v>
      </c>
      <c r="E16" s="1">
        <f>INDEX(TableAFNSchools[Gr11 FTE Sum],MATCH(Table10[[#This Row],[School '#]],TableAFNSchools[School No.],0))+INDEX(TableAFNSchools[Gr12 FTE Sum],MATCH(Table10[[#This Row],[School '#]],TableAFNSchools[School No.],0))</f>
        <v>4</v>
      </c>
      <c r="F16" s="704">
        <f>Table10[[#This Row],[Gr. 11-12 Eligible FTE]]*FundingRate_PhysEd</f>
        <v>500</v>
      </c>
      <c r="G16" s="19">
        <f>Table10[[#This Row],[TOTAL]]/Table10[[#This Row],[Gr. 11-12 Eligible FTE]]</f>
        <v>125</v>
      </c>
    </row>
    <row r="17" spans="1:7">
      <c r="A17">
        <f>'A. 20-21 FN Schools Data'!A13</f>
        <v>288</v>
      </c>
      <c r="B17" t="str">
        <f>'A. 20-21 FN Schools Data'!B13</f>
        <v>Dakota Plains</v>
      </c>
      <c r="C17">
        <f>'A. 20-21 FN Schools Data'!C13</f>
        <v>1486</v>
      </c>
      <c r="D17" t="str">
        <f>'A. 20-21 FN Schools Data'!D13</f>
        <v>Mahpiya Hdega School</v>
      </c>
      <c r="E17" s="1">
        <f>INDEX(TableAFNSchools[Gr11 FTE Sum],MATCH(Table10[[#This Row],[School '#]],TableAFNSchools[School No.],0))+INDEX(TableAFNSchools[Gr12 FTE Sum],MATCH(Table10[[#This Row],[School '#]],TableAFNSchools[School No.],0))</f>
        <v>0</v>
      </c>
      <c r="F17" s="704">
        <f>Table10[[#This Row],[Gr. 11-12 Eligible FTE]]*FundingRate_PhysEd</f>
        <v>0</v>
      </c>
      <c r="G17" s="19" t="e">
        <f>Table10[[#This Row],[TOTAL]]/Table10[[#This Row],[Gr. 11-12 Eligible FTE]]</f>
        <v>#DIV/0!</v>
      </c>
    </row>
    <row r="18" spans="1:7">
      <c r="A18">
        <f>'A. 20-21 FN Schools Data'!A14</f>
        <v>261</v>
      </c>
      <c r="B18" t="str">
        <f>'A. 20-21 FN Schools Data'!B14</f>
        <v>Brokenhead</v>
      </c>
      <c r="C18">
        <f>'A. 20-21 FN Schools Data'!C14</f>
        <v>1756</v>
      </c>
      <c r="D18" t="str">
        <f>'A. 20-21 FN Schools Data'!D14</f>
        <v>Sergeant Tommy Prince School</v>
      </c>
      <c r="E18" s="1">
        <f>INDEX(TableAFNSchools[Gr11 FTE Sum],MATCH(Table10[[#This Row],[School '#]],TableAFNSchools[School No.],0))+INDEX(TableAFNSchools[Gr12 FTE Sum],MATCH(Table10[[#This Row],[School '#]],TableAFNSchools[School No.],0))</f>
        <v>8</v>
      </c>
      <c r="F18" s="704">
        <f>Table10[[#This Row],[Gr. 11-12 Eligible FTE]]*FundingRate_PhysEd</f>
        <v>1000</v>
      </c>
      <c r="G18" s="19">
        <f>Table10[[#This Row],[TOTAL]]/Table10[[#This Row],[Gr. 11-12 Eligible FTE]]</f>
        <v>125</v>
      </c>
    </row>
    <row r="19" spans="1:7">
      <c r="A19">
        <f>'A. 20-21 FN Schools Data'!A15</f>
        <v>273</v>
      </c>
      <c r="B19" t="str">
        <f>'A. 20-21 FN Schools Data'!B15</f>
        <v>Roseau River</v>
      </c>
      <c r="C19">
        <f>'A. 20-21 FN Schools Data'!C15</f>
        <v>5717</v>
      </c>
      <c r="D19" t="str">
        <f>'A. 20-21 FN Schools Data'!D15</f>
        <v>Ginew School</v>
      </c>
      <c r="E19" s="1">
        <f>INDEX(TableAFNSchools[Gr11 FTE Sum],MATCH(Table10[[#This Row],[School '#]],TableAFNSchools[School No.],0))+INDEX(TableAFNSchools[Gr12 FTE Sum],MATCH(Table10[[#This Row],[School '#]],TableAFNSchools[School No.],0))</f>
        <v>0</v>
      </c>
      <c r="F19" s="704">
        <f>Table10[[#This Row],[Gr. 11-12 Eligible FTE]]*FundingRate_PhysEd</f>
        <v>0</v>
      </c>
      <c r="G19" s="19" t="e">
        <f>Table10[[#This Row],[TOTAL]]/Table10[[#This Row],[Gr. 11-12 Eligible FTE]]</f>
        <v>#DIV/0!</v>
      </c>
    </row>
    <row r="20" spans="1:7">
      <c r="A20">
        <f>'A. 20-21 FN Schools Data'!A16</f>
        <v>305</v>
      </c>
      <c r="B20" t="str">
        <f>'A. 20-21 FN Schools Data'!B16</f>
        <v>Fox Lake</v>
      </c>
      <c r="C20">
        <f>'A. 20-21 FN Schools Data'!C16</f>
        <v>6413</v>
      </c>
      <c r="D20" t="str">
        <f>'A. 20-21 FN Schools Data'!D16</f>
        <v>Fox Lake School</v>
      </c>
      <c r="E20" s="1">
        <f>INDEX(TableAFNSchools[Gr11 FTE Sum],MATCH(Table10[[#This Row],[School '#]],TableAFNSchools[School No.],0))+INDEX(TableAFNSchools[Gr12 FTE Sum],MATCH(Table10[[#This Row],[School '#]],TableAFNSchools[School No.],0))</f>
        <v>0</v>
      </c>
      <c r="F20" s="704">
        <f>Table10[[#This Row],[Gr. 11-12 Eligible FTE]]*FundingRate_PhysEd</f>
        <v>0</v>
      </c>
      <c r="G20" s="19" t="e">
        <f>Table10[[#This Row],[TOTAL]]/Table10[[#This Row],[Gr. 11-12 Eligible FTE]]</f>
        <v>#DIV/0!</v>
      </c>
    </row>
    <row r="21" spans="1:7">
      <c r="A21">
        <f>'A. 20-21 FN Schools Data'!A17</f>
        <v>286</v>
      </c>
      <c r="B21" t="str">
        <f>'A. 20-21 FN Schools Data'!B17</f>
        <v>Keeseekoowenin</v>
      </c>
      <c r="C21">
        <f>'A. 20-21 FN Schools Data'!C17</f>
        <v>8990</v>
      </c>
      <c r="D21" t="str">
        <f>'A. 20-21 FN Schools Data'!D17</f>
        <v>Keeseekoowenin School</v>
      </c>
      <c r="E21" s="1">
        <f>INDEX(TableAFNSchools[Gr11 FTE Sum],MATCH(Table10[[#This Row],[School '#]],TableAFNSchools[School No.],0))+INDEX(TableAFNSchools[Gr12 FTE Sum],MATCH(Table10[[#This Row],[School '#]],TableAFNSchools[School No.],0))</f>
        <v>0</v>
      </c>
      <c r="F21" s="704">
        <f>Table10[[#This Row],[Gr. 11-12 Eligible FTE]]*FundingRate_PhysEd</f>
        <v>0</v>
      </c>
      <c r="G21" s="19" t="e">
        <f>Table10[[#This Row],[TOTAL]]/Table10[[#This Row],[Gr. 11-12 Eligible FTE]]</f>
        <v>#DIV/0!</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INDEX(TableAFNSchools[Gr11 FTE Sum],MATCH(Table10[[#This Row],[School '#]],TableAFNSchools[School No.],0))+INDEX(TableAFNSchools[Gr12 FTE Sum],MATCH(Table10[[#This Row],[School '#]],TableAFNSchools[School No.],0))</f>
        <v>25</v>
      </c>
      <c r="F22" s="704">
        <f>Table10[[#This Row],[Gr. 11-12 Eligible FTE]]*FundingRate_PhysEd</f>
        <v>3125</v>
      </c>
      <c r="G22" s="19">
        <f>Table10[[#This Row],[TOTAL]]/Table10[[#This Row],[Gr. 11-12 Eligible FTE]]</f>
        <v>125</v>
      </c>
    </row>
    <row r="23" spans="1:7">
      <c r="A23" t="s">
        <v>72</v>
      </c>
      <c r="E23" s="1">
        <f>SUBTOTAL(109,Table10[Gr. 11-12 Eligible FTE])</f>
        <v>201</v>
      </c>
      <c r="F23" s="709">
        <f>SUBTOTAL(109,Table10[TOTAL])</f>
        <v>25125</v>
      </c>
    </row>
    <row r="24" spans="1:7" ht="15">
      <c r="F24" s="22"/>
    </row>
  </sheetData>
  <mergeCells count="1">
    <mergeCell ref="A4:E4"/>
  </mergeCells>
  <hyperlinks>
    <hyperlink ref="A8" r:id="rId1" display="Source: Manitoba Education, Funding of Schools 2020-21 Guide, p3" xr:uid="{00000000-0004-0000-13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3"/>
  <dimension ref="A2:O38"/>
  <sheetViews>
    <sheetView topLeftCell="A14" workbookViewId="0">
      <selection activeCell="L37" sqref="L37"/>
    </sheetView>
  </sheetViews>
  <sheetFormatPr baseColWidth="10" defaultColWidth="9.19921875" defaultRowHeight="14"/>
  <cols>
    <col min="1" max="1" width="16.59765625" customWidth="1"/>
    <col min="2" max="2" width="24.19921875" customWidth="1"/>
    <col min="3" max="3" width="11.59765625" customWidth="1"/>
    <col min="4" max="4" width="32.59765625" customWidth="1"/>
    <col min="5" max="5" width="20.59765625" customWidth="1"/>
    <col min="6" max="6" width="12.19921875" customWidth="1"/>
    <col min="7" max="7" width="17.3984375" customWidth="1"/>
    <col min="8" max="8" width="12.3984375" customWidth="1"/>
    <col min="9" max="9" width="13.796875" customWidth="1"/>
    <col min="10" max="10" width="16.3984375" customWidth="1"/>
    <col min="11" max="11" width="14.59765625" customWidth="1"/>
    <col min="12" max="12" width="22.796875" customWidth="1"/>
    <col min="13" max="13" width="11.796875" customWidth="1"/>
    <col min="15" max="15" width="12.796875" customWidth="1"/>
  </cols>
  <sheetData>
    <row r="2" spans="1:15">
      <c r="A2" t="s">
        <v>323</v>
      </c>
    </row>
    <row r="3" spans="1:15" ht="19">
      <c r="A3" s="33" t="s">
        <v>425</v>
      </c>
      <c r="I3" s="33" t="s">
        <v>325</v>
      </c>
      <c r="J3" s="33"/>
    </row>
    <row r="4" spans="1:15" ht="15" customHeight="1">
      <c r="A4" s="1649" t="s">
        <v>426</v>
      </c>
      <c r="B4" s="1650"/>
      <c r="C4" s="1650"/>
      <c r="D4" s="1650"/>
      <c r="E4" s="1650"/>
      <c r="F4" s="1650"/>
      <c r="G4" s="1651"/>
      <c r="H4" s="35"/>
      <c r="I4" s="1659" t="s">
        <v>427</v>
      </c>
      <c r="J4" s="1659"/>
      <c r="K4" s="715"/>
      <c r="L4" s="715"/>
      <c r="M4" s="715"/>
      <c r="N4" s="715"/>
    </row>
    <row r="5" spans="1:15" ht="25.5" customHeight="1">
      <c r="A5" s="1652"/>
      <c r="B5" s="1653"/>
      <c r="C5" s="1653"/>
      <c r="D5" s="1653"/>
      <c r="E5" s="1653"/>
      <c r="F5" s="1653"/>
      <c r="G5" s="1654"/>
      <c r="H5" s="35"/>
      <c r="I5" s="1659"/>
      <c r="J5" s="1659"/>
      <c r="K5" s="715"/>
      <c r="L5" s="715"/>
      <c r="M5" s="715"/>
      <c r="N5" s="715"/>
    </row>
    <row r="6" spans="1:15" ht="48.75" customHeight="1">
      <c r="A6" s="1655" t="s">
        <v>428</v>
      </c>
      <c r="B6" s="1656"/>
      <c r="C6" s="1656"/>
      <c r="D6" s="1656"/>
      <c r="E6" s="1656"/>
      <c r="F6" s="1657"/>
      <c r="G6" s="1658"/>
      <c r="H6" s="35"/>
      <c r="I6" s="1659"/>
      <c r="J6" s="1659"/>
      <c r="K6" s="715"/>
      <c r="L6" s="715"/>
      <c r="M6" s="715"/>
      <c r="N6" s="715"/>
    </row>
    <row r="7" spans="1:15" ht="28.5" customHeight="1">
      <c r="A7" s="1463" t="s">
        <v>429</v>
      </c>
      <c r="B7" s="1225" t="s">
        <v>430</v>
      </c>
      <c r="C7" s="1225" t="s">
        <v>431</v>
      </c>
      <c r="D7" s="1464" t="s">
        <v>432</v>
      </c>
      <c r="E7" s="2"/>
      <c r="F7" s="49"/>
      <c r="G7" s="1465" t="s">
        <v>433</v>
      </c>
      <c r="H7" s="35"/>
      <c r="I7" s="817" t="s">
        <v>429</v>
      </c>
      <c r="J7" s="1466" t="s">
        <v>434</v>
      </c>
      <c r="K7" s="1466" t="s">
        <v>435</v>
      </c>
      <c r="L7" s="1466" t="s">
        <v>436</v>
      </c>
      <c r="M7" s="818" t="s">
        <v>437</v>
      </c>
      <c r="N7" s="688"/>
    </row>
    <row r="8" spans="1:15" ht="15.75" customHeight="1">
      <c r="A8" s="686" t="s">
        <v>438</v>
      </c>
      <c r="B8" s="844">
        <v>1253430</v>
      </c>
      <c r="C8" s="845">
        <v>3.0681843216449423</v>
      </c>
      <c r="D8" s="848">
        <v>33.03</v>
      </c>
      <c r="E8" s="850"/>
      <c r="F8" s="49"/>
      <c r="G8" s="813" t="s">
        <v>439</v>
      </c>
      <c r="H8" s="35"/>
      <c r="I8" s="809" t="s">
        <v>438</v>
      </c>
      <c r="J8" s="810">
        <v>2698785</v>
      </c>
      <c r="K8" s="811">
        <v>6.6061685331375068</v>
      </c>
      <c r="L8" s="811">
        <v>71.108137473838809</v>
      </c>
      <c r="M8" s="812">
        <v>408525</v>
      </c>
      <c r="N8" s="688"/>
    </row>
    <row r="9" spans="1:15" ht="15.75" customHeight="1">
      <c r="A9" s="686" t="s">
        <v>440</v>
      </c>
      <c r="B9" s="844">
        <v>844740</v>
      </c>
      <c r="C9" s="845">
        <v>3.199106246804643</v>
      </c>
      <c r="D9" s="848">
        <v>34.43</v>
      </c>
      <c r="E9" s="850"/>
      <c r="F9" s="49"/>
      <c r="G9" s="814">
        <v>10.7639</v>
      </c>
      <c r="H9" s="35"/>
      <c r="I9" s="809" t="s">
        <v>440</v>
      </c>
      <c r="J9" s="810">
        <v>1523217</v>
      </c>
      <c r="K9" s="811">
        <v>5.7685595803904492</v>
      </c>
      <c r="L9" s="811">
        <v>62.092198467364753</v>
      </c>
      <c r="M9" s="812">
        <v>264055</v>
      </c>
      <c r="N9" s="688"/>
    </row>
    <row r="10" spans="1:15" ht="15.75" customHeight="1">
      <c r="A10" s="686" t="s">
        <v>441</v>
      </c>
      <c r="B10" s="844">
        <v>4190355</v>
      </c>
      <c r="C10" s="845">
        <v>2.8438820655829158</v>
      </c>
      <c r="D10" s="848">
        <v>30.61</v>
      </c>
      <c r="E10" s="850"/>
      <c r="F10" s="49"/>
      <c r="G10" s="49"/>
      <c r="H10" s="35"/>
      <c r="I10" s="809" t="s">
        <v>441</v>
      </c>
      <c r="J10" s="810">
        <v>17331016</v>
      </c>
      <c r="K10" s="811">
        <v>11.76209786061815</v>
      </c>
      <c r="L10" s="811">
        <v>126.60604516190769</v>
      </c>
      <c r="M10" s="812">
        <v>1473463</v>
      </c>
      <c r="N10" s="688"/>
      <c r="O10" s="689"/>
    </row>
    <row r="11" spans="1:15" ht="15.75" customHeight="1">
      <c r="A11" s="686" t="s">
        <v>442</v>
      </c>
      <c r="B11" s="844">
        <v>792585</v>
      </c>
      <c r="C11" s="845">
        <v>3.3979190245910074</v>
      </c>
      <c r="D11" s="848">
        <v>36.57</v>
      </c>
      <c r="E11" s="850"/>
      <c r="F11" s="49"/>
      <c r="G11" s="49"/>
      <c r="H11" s="35"/>
      <c r="I11" s="809" t="s">
        <v>442</v>
      </c>
      <c r="J11" s="810">
        <v>1306260</v>
      </c>
      <c r="K11" s="811">
        <v>5.6001131803683508</v>
      </c>
      <c r="L11" s="811">
        <v>60.279058262166892</v>
      </c>
      <c r="M11" s="812">
        <v>233256</v>
      </c>
      <c r="N11" s="688"/>
      <c r="O11" s="689"/>
    </row>
    <row r="12" spans="1:15" ht="15.75" customHeight="1">
      <c r="A12" s="686" t="s">
        <v>443</v>
      </c>
      <c r="B12" s="844">
        <v>1989585</v>
      </c>
      <c r="C12" s="845">
        <v>2.7986296514064994</v>
      </c>
      <c r="D12" s="848">
        <v>30.12</v>
      </c>
      <c r="E12" s="850"/>
      <c r="F12" s="49"/>
      <c r="G12" s="49"/>
      <c r="H12" s="35"/>
      <c r="I12" s="809" t="s">
        <v>443</v>
      </c>
      <c r="J12" s="810">
        <v>5280263</v>
      </c>
      <c r="K12" s="811">
        <v>7.4274286341245217</v>
      </c>
      <c r="L12" s="811">
        <v>79.948099074852934</v>
      </c>
      <c r="M12" s="812">
        <v>710914</v>
      </c>
      <c r="N12" s="688"/>
      <c r="O12" s="689"/>
    </row>
    <row r="13" spans="1:15" ht="15.75" customHeight="1">
      <c r="A13" s="686" t="s">
        <v>444</v>
      </c>
      <c r="B13" s="844">
        <v>2238390</v>
      </c>
      <c r="C13" s="845">
        <v>2.9077439292910006</v>
      </c>
      <c r="D13" s="848">
        <v>31.3</v>
      </c>
      <c r="E13" s="850"/>
      <c r="F13" s="49"/>
      <c r="G13" s="49"/>
      <c r="H13" s="35"/>
      <c r="I13" s="809" t="s">
        <v>444</v>
      </c>
      <c r="J13" s="810">
        <v>4122288</v>
      </c>
      <c r="K13" s="811">
        <v>5.3549908223272711</v>
      </c>
      <c r="L13" s="811">
        <v>57.640585712448505</v>
      </c>
      <c r="M13" s="812">
        <v>769803</v>
      </c>
      <c r="N13" s="688"/>
      <c r="O13" s="689"/>
    </row>
    <row r="14" spans="1:15" ht="15.75" customHeight="1">
      <c r="A14" s="686" t="s">
        <v>445</v>
      </c>
      <c r="B14" s="844">
        <v>1739925</v>
      </c>
      <c r="C14" s="845">
        <v>3.5367564106473153</v>
      </c>
      <c r="D14" s="848">
        <v>38.07</v>
      </c>
      <c r="E14" s="850"/>
      <c r="F14" s="49"/>
      <c r="G14" s="49"/>
      <c r="H14" s="35"/>
      <c r="I14" s="809" t="s">
        <v>445</v>
      </c>
      <c r="J14" s="810">
        <v>2745284</v>
      </c>
      <c r="K14" s="811">
        <v>5.5803559268632297</v>
      </c>
      <c r="L14" s="811">
        <v>60.066393161163113</v>
      </c>
      <c r="M14" s="812">
        <v>491955</v>
      </c>
      <c r="N14" s="688"/>
      <c r="O14" s="689"/>
    </row>
    <row r="15" spans="1:15" ht="15.75" customHeight="1">
      <c r="A15" s="686" t="s">
        <v>446</v>
      </c>
      <c r="B15" s="844">
        <v>1155105</v>
      </c>
      <c r="C15" s="845">
        <v>3.5884081652940831</v>
      </c>
      <c r="D15" s="848">
        <v>38.630000000000003</v>
      </c>
      <c r="E15" s="850"/>
      <c r="F15" s="49"/>
      <c r="G15" s="49"/>
      <c r="H15" s="35"/>
      <c r="I15" s="809" t="s">
        <v>446</v>
      </c>
      <c r="J15" s="810">
        <v>2506950</v>
      </c>
      <c r="K15" s="811">
        <v>7.7880018266599151</v>
      </c>
      <c r="L15" s="811">
        <v>83.829272861984649</v>
      </c>
      <c r="M15" s="812">
        <v>321899</v>
      </c>
      <c r="N15" s="688"/>
      <c r="O15" s="689"/>
    </row>
    <row r="16" spans="1:15" ht="15.75" customHeight="1">
      <c r="A16" s="686" t="s">
        <v>447</v>
      </c>
      <c r="B16" s="844">
        <v>2124675</v>
      </c>
      <c r="C16" s="845">
        <v>2.80438131164808</v>
      </c>
      <c r="D16" s="848">
        <v>30.19</v>
      </c>
      <c r="E16" s="850"/>
      <c r="F16" s="49"/>
      <c r="G16" s="49"/>
      <c r="H16" s="35"/>
      <c r="I16" s="809" t="s">
        <v>447</v>
      </c>
      <c r="J16" s="810">
        <v>5152896</v>
      </c>
      <c r="K16" s="811">
        <v>6.8013626758286065</v>
      </c>
      <c r="L16" s="811">
        <v>73.209187706351543</v>
      </c>
      <c r="M16" s="812">
        <v>757627</v>
      </c>
      <c r="N16" s="688"/>
      <c r="O16" s="689"/>
    </row>
    <row r="17" spans="1:15" ht="15.75" customHeight="1">
      <c r="A17" s="686" t="s">
        <v>448</v>
      </c>
      <c r="B17" s="844">
        <v>597645</v>
      </c>
      <c r="C17" s="845">
        <v>3.3072598183800297</v>
      </c>
      <c r="D17" s="848">
        <v>35.6</v>
      </c>
      <c r="E17" s="850"/>
      <c r="F17" s="49"/>
      <c r="G17" s="49"/>
      <c r="H17" s="35"/>
      <c r="I17" s="809" t="s">
        <v>448</v>
      </c>
      <c r="J17" s="810">
        <v>953533</v>
      </c>
      <c r="K17" s="811">
        <v>5.2766799293884574</v>
      </c>
      <c r="L17" s="811">
        <v>56.797655091944414</v>
      </c>
      <c r="M17" s="812">
        <v>180707</v>
      </c>
      <c r="N17" s="688"/>
      <c r="O17" s="689"/>
    </row>
    <row r="18" spans="1:15" ht="15.75" customHeight="1">
      <c r="A18" s="686" t="s">
        <v>449</v>
      </c>
      <c r="B18" s="844">
        <v>1267965</v>
      </c>
      <c r="C18" s="845">
        <v>3.2241507764366046</v>
      </c>
      <c r="D18" s="848">
        <v>34.700000000000003</v>
      </c>
      <c r="E18" s="850"/>
      <c r="F18" s="49"/>
      <c r="G18" s="49"/>
      <c r="H18" s="35"/>
      <c r="I18" s="809" t="s">
        <v>450</v>
      </c>
      <c r="J18" s="810">
        <v>3071155</v>
      </c>
      <c r="K18" s="811">
        <v>7.8092587554129338</v>
      </c>
      <c r="L18" s="811">
        <v>84.058080317389269</v>
      </c>
      <c r="M18" s="812">
        <v>393271</v>
      </c>
      <c r="N18" s="688"/>
      <c r="O18" s="689"/>
    </row>
    <row r="19" spans="1:15" ht="15.75" customHeight="1">
      <c r="A19" s="69" t="s">
        <v>451</v>
      </c>
      <c r="B19" s="846">
        <v>1784385</v>
      </c>
      <c r="C19" s="847">
        <v>2.942082822207273</v>
      </c>
      <c r="D19" s="849">
        <v>31.67</v>
      </c>
      <c r="E19" s="850"/>
      <c r="F19" s="49"/>
      <c r="G19" s="49"/>
      <c r="H19" s="35"/>
      <c r="I19" s="809" t="s">
        <v>451</v>
      </c>
      <c r="J19" s="810">
        <v>3393694</v>
      </c>
      <c r="K19" s="811">
        <v>5.5955014311529681</v>
      </c>
      <c r="L19" s="811">
        <v>60.229417854787435</v>
      </c>
      <c r="M19" s="812">
        <v>606504</v>
      </c>
      <c r="N19" s="688"/>
      <c r="O19" s="689"/>
    </row>
    <row r="20" spans="1:15" ht="15.75" customHeight="1">
      <c r="B20" s="49"/>
      <c r="C20" s="49"/>
      <c r="D20" s="49"/>
      <c r="E20" s="49"/>
      <c r="F20" s="49"/>
      <c r="G20" s="49"/>
      <c r="H20" s="35"/>
      <c r="I20" s="815" t="s">
        <v>452</v>
      </c>
      <c r="J20" s="1467">
        <v>50085341</v>
      </c>
      <c r="K20" s="1468"/>
      <c r="L20" s="1469">
        <v>81.540000000000006</v>
      </c>
      <c r="M20" s="816">
        <v>6611979</v>
      </c>
      <c r="N20" s="688"/>
      <c r="O20" s="689"/>
    </row>
    <row r="21" spans="1:15">
      <c r="A21" s="388"/>
      <c r="B21" s="819"/>
      <c r="C21" s="35"/>
      <c r="D21" s="35"/>
      <c r="E21" s="35"/>
      <c r="H21" s="35"/>
      <c r="L21" s="689"/>
      <c r="M21" s="690"/>
      <c r="N21" s="688"/>
      <c r="O21" s="689"/>
    </row>
    <row r="22" spans="1:15" ht="15">
      <c r="A22" s="585" t="s">
        <v>453</v>
      </c>
      <c r="J22" s="690"/>
      <c r="K22" s="689"/>
      <c r="L22" s="690"/>
      <c r="M22" s="688"/>
      <c r="N22" s="689"/>
    </row>
    <row r="23" spans="1:15" ht="15">
      <c r="A23" s="567" t="s">
        <v>454</v>
      </c>
      <c r="B23" s="2"/>
      <c r="C23" s="2"/>
      <c r="D23" s="2"/>
      <c r="E23" s="2"/>
      <c r="J23" s="689"/>
      <c r="K23" s="689"/>
      <c r="L23" s="690"/>
      <c r="M23" s="688"/>
      <c r="N23" s="689"/>
    </row>
    <row r="24" spans="1:15" ht="42" customHeight="1">
      <c r="A24" s="113" t="s">
        <v>285</v>
      </c>
      <c r="B24" s="113" t="s">
        <v>286</v>
      </c>
      <c r="C24" s="113" t="s">
        <v>330</v>
      </c>
      <c r="D24" s="113" t="s">
        <v>331</v>
      </c>
      <c r="E24" s="113" t="s">
        <v>455</v>
      </c>
      <c r="F24" s="117" t="s">
        <v>456</v>
      </c>
      <c r="G24" s="984" t="s">
        <v>457</v>
      </c>
      <c r="H24" s="113" t="s">
        <v>458</v>
      </c>
      <c r="I24" s="1470" t="s">
        <v>459</v>
      </c>
      <c r="J24" s="1471" t="s">
        <v>460</v>
      </c>
      <c r="L24" s="1472" t="s">
        <v>461</v>
      </c>
    </row>
    <row r="25" spans="1:15">
      <c r="A25">
        <f>'A. 20-21 FN Schools Data'!A7</f>
        <v>272</v>
      </c>
      <c r="B25" t="str">
        <f>'A. 20-21 FN Schools Data'!B7</f>
        <v>Pinaymootang</v>
      </c>
      <c r="C25">
        <f>'A. 20-21 FN Schools Data'!C7</f>
        <v>1140</v>
      </c>
      <c r="D25" t="str">
        <f>'A. 20-21 FN Schools Data'!D7</f>
        <v>Pinaymootang School</v>
      </c>
      <c r="E25" t="str">
        <f>INDEX(TableAFNSchools[Proximate Provincial School Division],MATCH(Table11[[#This Row],[School '#]],TableAFNSchools[School No.],0))</f>
        <v>LAKESHORE</v>
      </c>
      <c r="F25" s="119">
        <f>INDEX(TableAFNSchools[School size],MATCH(Table11[[#This Row],[School '#]],TableAFNSchools[School No.],0))</f>
        <v>4753.7</v>
      </c>
      <c r="G25" s="704">
        <f>ROUND(INDEX($D$8:$D$19,MATCH(Table11[[#This Row],[Proximate School Division]],$A$8:$A$19,0))*Table11[[#This Row],[School Size Sq M]],0)</f>
        <v>173843</v>
      </c>
      <c r="H25">
        <f>Table11[[#This Row],[Total Occupancy Base]]/Table11[[#This Row],[School Size Sq M]]</f>
        <v>36.570040179228812</v>
      </c>
      <c r="I25" s="119">
        <f>INDEX(TableAFNSchools[Remoteness Index (According to the BCM)],MATCH(Table11[[#This Row],[School '#]],TableAFNSchools[School No.],0))</f>
        <v>0.22</v>
      </c>
      <c r="J25" s="707">
        <f>ROUND(((H401+I25)*$L$20)*Table11[[#This Row],[School Size Sq M]],0)</f>
        <v>85276</v>
      </c>
      <c r="K25">
        <f>J25/Table11[[#This Row],[School Size Sq M]]</f>
        <v>17.93886867071965</v>
      </c>
      <c r="L25" s="706">
        <f>J25-Table11[[#This Row],[Total Occupancy Base]]</f>
        <v>-88567</v>
      </c>
    </row>
    <row r="26" spans="1:15">
      <c r="A26">
        <f>'A. 20-21 FN Schools Data'!A8</f>
        <v>275</v>
      </c>
      <c r="B26" t="str">
        <f>'A. 20-21 FN Schools Data'!B8</f>
        <v>Lake St. Martin</v>
      </c>
      <c r="C26">
        <f>'A. 20-21 FN Schools Data'!C8</f>
        <v>1144</v>
      </c>
      <c r="D26" t="str">
        <f>'A. 20-21 FN Schools Data'!D8</f>
        <v>Lake St. Martin School</v>
      </c>
      <c r="E26" t="str">
        <f>INDEX(TableAFNSchools[Proximate Provincial School Division],MATCH(Table11[[#This Row],[School '#]],TableAFNSchools[School No.],0))</f>
        <v>FRONTIER</v>
      </c>
      <c r="F26" s="119">
        <f>INDEX(TableAFNSchools[School size],MATCH(Table11[[#This Row],[School '#]],TableAFNSchools[School No.],0))</f>
        <v>4032</v>
      </c>
      <c r="G26" s="705">
        <f>ROUND(INDEX($D$8:$D$19,MATCH(Table11[[#This Row],[Proximate School Division]],$A$8:$A$19,0))*Table11[[#This Row],[School Size Sq M]],0)</f>
        <v>123420</v>
      </c>
      <c r="H26">
        <f>Table11[[#This Row],[Total Occupancy Base]]/Table11[[#This Row],[School Size Sq M]]</f>
        <v>30.610119047619047</v>
      </c>
      <c r="I26" s="119">
        <f>INDEX(TableAFNSchools[Remoteness Index (According to the BCM)],MATCH(Table11[[#This Row],[School '#]],TableAFNSchools[School No.],0))</f>
        <v>0.22</v>
      </c>
      <c r="J26" s="707">
        <f>ROUND(((1+I26)*$L$20)*Table11[[#This Row],[School Size Sq M]],0)</f>
        <v>401099</v>
      </c>
      <c r="K26">
        <f>J26/Table11[[#This Row],[School Size Sq M]]</f>
        <v>99.478918650793645</v>
      </c>
      <c r="L26" s="706">
        <f>J26-Table11[[#This Row],[Total Occupancy Base]]</f>
        <v>277679</v>
      </c>
    </row>
    <row r="27" spans="1:15">
      <c r="A27">
        <f>'A. 20-21 FN Schools Data'!A9</f>
        <v>267</v>
      </c>
      <c r="B27" t="str">
        <f>'A. 20-21 FN Schools Data'!B9</f>
        <v>Bloodvein</v>
      </c>
      <c r="C27">
        <f>'A. 20-21 FN Schools Data'!C9</f>
        <v>1148</v>
      </c>
      <c r="D27" t="str">
        <f>'A. 20-21 FN Schools Data'!D9</f>
        <v>Miskooseepi School</v>
      </c>
      <c r="E27" t="str">
        <f>INDEX(TableAFNSchools[Proximate Provincial School Division],MATCH(Table11[[#This Row],[School '#]],TableAFNSchools[School No.],0))</f>
        <v>FRONTIER</v>
      </c>
      <c r="F27" s="119">
        <f>INDEX(TableAFNSchools[School size],MATCH(Table11[[#This Row],[School '#]],TableAFNSchools[School No.],0))</f>
        <v>2865.2</v>
      </c>
      <c r="G27" s="704">
        <f>ROUND(INDEX($D$8:$D$19,MATCH(Table11[[#This Row],[Proximate School Division]],$A$8:$A$19,0))*Table11[[#This Row],[School Size Sq M]],0)</f>
        <v>87704</v>
      </c>
      <c r="H27">
        <f>Table11[[#This Row],[Total Occupancy Base]]/Table11[[#This Row],[School Size Sq M]]</f>
        <v>30.610079575596821</v>
      </c>
      <c r="I27" s="119">
        <f>INDEX(TableAFNSchools[Remoteness Index (According to the BCM)],MATCH(Table11[[#This Row],[School '#]],TableAFNSchools[School No.],0))</f>
        <v>0.63</v>
      </c>
      <c r="J27" s="707">
        <f>ROUND(((1+I27)*$L$20)*Table11[[#This Row],[School Size Sq M]],0)</f>
        <v>380814</v>
      </c>
      <c r="L27" s="706">
        <f>J27-Table11[[#This Row],[Total Occupancy Base]]</f>
        <v>293110</v>
      </c>
    </row>
    <row r="28" spans="1:15">
      <c r="A28">
        <f>'A. 20-21 FN Schools Data'!A10</f>
        <v>304</v>
      </c>
      <c r="B28" t="str">
        <f>'A. 20-21 FN Schools Data'!B10</f>
        <v>York Factory</v>
      </c>
      <c r="C28">
        <f>'A. 20-21 FN Schools Data'!C10</f>
        <v>1166</v>
      </c>
      <c r="D28" t="str">
        <f>'A. 20-21 FN Schools Data'!D10</f>
        <v>George Saunders Memorial School</v>
      </c>
      <c r="E28" t="str">
        <f>INDEX(TableAFNSchools[Proximate Provincial School Division],MATCH(Table11[[#This Row],[School '#]],TableAFNSchools[School No.],0))</f>
        <v>FRONTIER</v>
      </c>
      <c r="F28" s="119">
        <f>INDEX(TableAFNSchools[School size],MATCH(Table11[[#This Row],[School '#]],TableAFNSchools[School No.],0))</f>
        <v>1994</v>
      </c>
      <c r="G28" s="704">
        <f>ROUND(INDEX($D$8:$D$19,MATCH(Table11[[#This Row],[Proximate School Division]],$A$8:$A$19,0))*Table11[[#This Row],[School Size Sq M]],0)</f>
        <v>61036</v>
      </c>
      <c r="H28">
        <f>Table11[[#This Row],[Total Occupancy Base]]/Table11[[#This Row],[School Size Sq M]]</f>
        <v>30.609829488465397</v>
      </c>
      <c r="I28" s="119">
        <f>INDEX(TableAFNSchools[Remoteness Index (According to the BCM)],MATCH(Table11[[#This Row],[School '#]],TableAFNSchools[School No.],0))</f>
        <v>0.6</v>
      </c>
      <c r="J28" s="707">
        <f>ROUND(((1+I28)*$L$20)*Table11[[#This Row],[School Size Sq M]],0)</f>
        <v>260145</v>
      </c>
      <c r="L28" s="706">
        <f>J28-Table11[[#This Row],[Total Occupancy Base]]</f>
        <v>199109</v>
      </c>
    </row>
    <row r="29" spans="1:15">
      <c r="A29">
        <f>'A. 20-21 FN Schools Data'!A11</f>
        <v>271</v>
      </c>
      <c r="B29" t="str">
        <f>'A. 20-21 FN Schools Data'!B11</f>
        <v>Lake Manitoba</v>
      </c>
      <c r="C29">
        <f>'A. 20-21 FN Schools Data'!C11</f>
        <v>1345</v>
      </c>
      <c r="D29" t="str">
        <f>'A. 20-21 FN Schools Data'!D11</f>
        <v>Lake Manitoba School</v>
      </c>
      <c r="E29" t="str">
        <f>INDEX(TableAFNSchools[Proximate Provincial School Division],MATCH(Table11[[#This Row],[School '#]],TableAFNSchools[School No.],0))</f>
        <v>LAKESHORE</v>
      </c>
      <c r="F29" s="119">
        <f>INDEX(TableAFNSchools[School size],MATCH(Table11[[#This Row],[School '#]],TableAFNSchools[School No.],0))</f>
        <v>2892.3</v>
      </c>
      <c r="G29" s="704">
        <f>ROUND(INDEX($D$8:$D$19,MATCH(Table11[[#This Row],[Proximate School Division]],$A$8:$A$19,0))*Table11[[#This Row],[School Size Sq M]],0)</f>
        <v>105771</v>
      </c>
      <c r="I29" s="119">
        <f>INDEX(TableAFNSchools[Remoteness Index (According to the BCM)],MATCH(Table11[[#This Row],[School '#]],TableAFNSchools[School No.],0))</f>
        <v>0.22</v>
      </c>
      <c r="J29" s="707">
        <f>ROUND(((1+I29)*$L$20)*Table11[[#This Row],[School Size Sq M]],0)</f>
        <v>287723</v>
      </c>
      <c r="L29" s="706">
        <f>J29-Table11[[#This Row],[Total Occupancy Base]]</f>
        <v>181952</v>
      </c>
    </row>
    <row r="30" spans="1:15">
      <c r="A30">
        <f>'A. 20-21 FN Schools Data'!A12</f>
        <v>295</v>
      </c>
      <c r="B30" t="str">
        <f>'A. 20-21 FN Schools Data'!B12</f>
        <v>Dakota Tipi</v>
      </c>
      <c r="C30">
        <f>'A. 20-21 FN Schools Data'!C12</f>
        <v>1350</v>
      </c>
      <c r="D30" t="str">
        <f>'A. 20-21 FN Schools Data'!D12</f>
        <v>Dakota Tipi School</v>
      </c>
      <c r="E30" t="str">
        <f>INDEX(TableAFNSchools[Proximate Provincial School Division],MATCH(Table11[[#This Row],[School '#]],TableAFNSchools[School No.],0))</f>
        <v>PORTAGE LA PRAIRIE</v>
      </c>
      <c r="F30" s="119">
        <f>INDEX(TableAFNSchools[School size],MATCH(Table11[[#This Row],[School '#]],TableAFNSchools[School No.],0))</f>
        <v>80</v>
      </c>
      <c r="G30" s="704">
        <f>ROUND(INDEX($D$8:$D$19,MATCH(Table11[[#This Row],[Proximate School Division]],$A$8:$A$19,0))*Table11[[#This Row],[School Size Sq M]],0)</f>
        <v>2534</v>
      </c>
      <c r="I30" s="119">
        <f>INDEX(TableAFNSchools[Remoteness Index (According to the BCM)],MATCH(Table11[[#This Row],[School '#]],TableAFNSchools[School No.],0))</f>
        <v>0.12</v>
      </c>
      <c r="J30" s="707">
        <f>ROUND(((1+I30)*$L$20)*Table11[[#This Row],[School Size Sq M]],0)</f>
        <v>7306</v>
      </c>
      <c r="L30" s="706">
        <f>J30-Table11[[#This Row],[Total Occupancy Base]]</f>
        <v>4772</v>
      </c>
    </row>
    <row r="31" spans="1:15">
      <c r="A31">
        <f>'A. 20-21 FN Schools Data'!A13</f>
        <v>288</v>
      </c>
      <c r="B31" t="str">
        <f>'A. 20-21 FN Schools Data'!B13</f>
        <v>Dakota Plains</v>
      </c>
      <c r="C31">
        <f>'A. 20-21 FN Schools Data'!C13</f>
        <v>1486</v>
      </c>
      <c r="D31" t="str">
        <f>'A. 20-21 FN Schools Data'!D13</f>
        <v>Mahpiya Hdega School</v>
      </c>
      <c r="E31" t="str">
        <f>INDEX(TableAFNSchools[Proximate Provincial School Division],MATCH(Table11[[#This Row],[School '#]],TableAFNSchools[School No.],0))</f>
        <v>PORTAGE LA PRAIRIE</v>
      </c>
      <c r="F31" s="119">
        <f>INDEX(TableAFNSchools[School size],MATCH(Table11[[#This Row],[School '#]],TableAFNSchools[School No.],0))</f>
        <v>1589.3899999999999</v>
      </c>
      <c r="G31" s="704">
        <f>ROUND(INDEX($D$8:$D$19,MATCH(Table11[[#This Row],[Proximate School Division]],$A$8:$A$19,0))*Table11[[#This Row],[School Size Sq M]],0)</f>
        <v>50336</v>
      </c>
      <c r="H31" t="s">
        <v>462</v>
      </c>
      <c r="I31" s="119">
        <f>INDEX(TableAFNSchools[Remoteness Index (According to the BCM)],MATCH(Table11[[#This Row],[School '#]],TableAFNSchools[School No.],0))</f>
        <v>0.12</v>
      </c>
      <c r="J31" s="707">
        <f>ROUND(((1+I31)*$L$20)*Table11[[#This Row],[School Size Sq M]],0)</f>
        <v>145151</v>
      </c>
      <c r="L31" s="706">
        <f>J31-Table11[[#This Row],[Total Occupancy Base]]</f>
        <v>94815</v>
      </c>
    </row>
    <row r="32" spans="1:15">
      <c r="A32">
        <f>'A. 20-21 FN Schools Data'!A14</f>
        <v>261</v>
      </c>
      <c r="B32" t="str">
        <f>'A. 20-21 FN Schools Data'!B14</f>
        <v>Brokenhead</v>
      </c>
      <c r="C32">
        <f>'A. 20-21 FN Schools Data'!C14</f>
        <v>1756</v>
      </c>
      <c r="D32" t="str">
        <f>'A. 20-21 FN Schools Data'!D14</f>
        <v>Sergeant Tommy Prince School</v>
      </c>
      <c r="E32" t="str">
        <f>INDEX(TableAFNSchools[Proximate Provincial School Division],MATCH(Table11[[#This Row],[School '#]],TableAFNSchools[School No.],0))</f>
        <v>LORD SELKIRK</v>
      </c>
      <c r="F32" s="119">
        <f>INDEX(TableAFNSchools[School size],MATCH(Table11[[#This Row],[School '#]],TableAFNSchools[School No.],0))</f>
        <v>1312</v>
      </c>
      <c r="G32" s="704">
        <f>ROUND(INDEX($D$8:$D$19,MATCH(Table11[[#This Row],[Proximate School Division]],$A$8:$A$19,0))*Table11[[#This Row],[School Size Sq M]],0)</f>
        <v>39517</v>
      </c>
      <c r="I32" s="119">
        <f>INDEX(TableAFNSchools[Remoteness Index (According to the BCM)],MATCH(Table11[[#This Row],[School '#]],TableAFNSchools[School No.],0))</f>
        <v>0.22</v>
      </c>
      <c r="J32" s="707">
        <f>ROUND(((1+I32)*$L$20)*Table11[[#This Row],[School Size Sq M]],0)</f>
        <v>130516</v>
      </c>
      <c r="L32" s="706">
        <f>J32-Table11[[#This Row],[Total Occupancy Base]]</f>
        <v>90999</v>
      </c>
    </row>
    <row r="33" spans="1:12">
      <c r="A33">
        <f>'A. 20-21 FN Schools Data'!A15</f>
        <v>273</v>
      </c>
      <c r="B33" t="str">
        <f>'A. 20-21 FN Schools Data'!B15</f>
        <v>Roseau River</v>
      </c>
      <c r="C33">
        <f>'A. 20-21 FN Schools Data'!C15</f>
        <v>5717</v>
      </c>
      <c r="D33" t="str">
        <f>'A. 20-21 FN Schools Data'!D15</f>
        <v>Ginew School</v>
      </c>
      <c r="E33" t="str">
        <f>INDEX(TableAFNSchools[Proximate Provincial School Division],MATCH(Table11[[#This Row],[School '#]],TableAFNSchools[School No.],0))</f>
        <v>BORDER LAND</v>
      </c>
      <c r="F33" s="119">
        <f>INDEX(TableAFNSchools[School size],MATCH(Table11[[#This Row],[School '#]],TableAFNSchools[School No.],0))</f>
        <v>2380</v>
      </c>
      <c r="G33" s="704">
        <f>ROUND(INDEX($D$8:$D$19,MATCH(Table11[[#This Row],[Proximate School Division]],$A$8:$A$19,0))*Table11[[#This Row],[School Size Sq M]],0)</f>
        <v>78611</v>
      </c>
      <c r="I33" s="119">
        <f>INDEX(TableAFNSchools[Remoteness Index (According to the BCM)],MATCH(Table11[[#This Row],[School '#]],TableAFNSchools[School No.],0))</f>
        <v>0.18</v>
      </c>
      <c r="J33" s="707">
        <f>ROUND(((1+I33)*$L$20)*Table11[[#This Row],[School Size Sq M]],0)</f>
        <v>228997</v>
      </c>
      <c r="L33" s="706">
        <f>J33-Table11[[#This Row],[Total Occupancy Base]]</f>
        <v>150386</v>
      </c>
    </row>
    <row r="34" spans="1:12">
      <c r="A34">
        <f>'A. 20-21 FN Schools Data'!A16</f>
        <v>305</v>
      </c>
      <c r="B34" t="str">
        <f>'A. 20-21 FN Schools Data'!B16</f>
        <v>Fox Lake</v>
      </c>
      <c r="C34">
        <f>'A. 20-21 FN Schools Data'!C16</f>
        <v>6413</v>
      </c>
      <c r="D34" t="str">
        <f>'A. 20-21 FN Schools Data'!D16</f>
        <v>Fox Lake School</v>
      </c>
      <c r="E34" t="str">
        <f>INDEX(TableAFNSchools[Proximate Provincial School Division],MATCH(Table11[[#This Row],[School '#]],TableAFNSchools[School No.],0))</f>
        <v>FRONTIER</v>
      </c>
      <c r="F34" s="119">
        <f>INDEX(TableAFNSchools[School size],MATCH(Table11[[#This Row],[School '#]],TableAFNSchools[School No.],0))</f>
        <v>1416</v>
      </c>
      <c r="G34" s="704">
        <f>ROUND(INDEX($D$8:$D$19,MATCH(Table11[[#This Row],[Proximate School Division]],$A$8:$A$19,0))*Table11[[#This Row],[School Size Sq M]],0)</f>
        <v>43344</v>
      </c>
      <c r="I34" s="119">
        <f>INDEX(TableAFNSchools[Remoteness Index (According to the BCM)],MATCH(Table11[[#This Row],[School '#]],TableAFNSchools[School No.],0))</f>
        <v>0.3</v>
      </c>
      <c r="J34" s="707">
        <f>ROUND(((1+I34)*$L$20)*Table11[[#This Row],[School Size Sq M]],0)</f>
        <v>150099</v>
      </c>
      <c r="L34" s="706">
        <f>J34-Table11[[#This Row],[Total Occupancy Base]]</f>
        <v>106755</v>
      </c>
    </row>
    <row r="35" spans="1:12">
      <c r="A35">
        <f>'A. 20-21 FN Schools Data'!A17</f>
        <v>286</v>
      </c>
      <c r="B35" t="str">
        <f>'A. 20-21 FN Schools Data'!B17</f>
        <v>Keeseekoowenin</v>
      </c>
      <c r="C35">
        <f>'A. 20-21 FN Schools Data'!C17</f>
        <v>8990</v>
      </c>
      <c r="D35" t="str">
        <f>'A. 20-21 FN Schools Data'!D17</f>
        <v>Keeseekoowenin School</v>
      </c>
      <c r="E35" t="str">
        <f>INDEX(TableAFNSchools[Proximate Provincial School Division],MATCH(Table11[[#This Row],[School '#]],TableAFNSchools[School No.],0))</f>
        <v>ROLLING RIVER</v>
      </c>
      <c r="F35" s="119">
        <f>INDEX(TableAFNSchools[School size],MATCH(Table11[[#This Row],[School '#]],TableAFNSchools[School No.],0))</f>
        <v>1585</v>
      </c>
      <c r="G35" s="704">
        <f>ROUND(INDEX($D$8:$D$19,MATCH(Table11[[#This Row],[Proximate School Division]],$A$8:$A$19,0))*Table11[[#This Row],[School Size Sq M]],0)</f>
        <v>61229</v>
      </c>
      <c r="H35">
        <f>Table11[[#This Row],[Total Occupancy Base]]/Table11[[#This Row],[School Size Sq M]]</f>
        <v>38.630283911671924</v>
      </c>
      <c r="I35" s="119">
        <f>INDEX(TableAFNSchools[Remoteness Index (According to the BCM)],MATCH(Table11[[#This Row],[School '#]],TableAFNSchools[School No.],0))</f>
        <v>0.22</v>
      </c>
      <c r="J35" s="707">
        <f>ROUND(((1+I35)*$L$20)*Table11[[#This Row],[School Size Sq M]],0)</f>
        <v>157674</v>
      </c>
      <c r="L35" s="706">
        <f>J35-Table11[[#This Row],[Total Occupancy Base]]</f>
        <v>96445</v>
      </c>
    </row>
    <row r="36" spans="1:12">
      <c r="A36">
        <f>'A. 20-21 FN Schools Data'!A18</f>
        <v>261</v>
      </c>
      <c r="B36" t="str">
        <f>'A. 20-21 FN Schools Data'!B18</f>
        <v>Brokenhead</v>
      </c>
      <c r="C36">
        <f>'A. 20-21 FN Schools Data'!C18</f>
        <v>50250</v>
      </c>
      <c r="D36" t="str">
        <f>'A. 20-21 FN Schools Data'!D18</f>
        <v>Brokenhead Ojibway Nation Adult Learning Centre</v>
      </c>
      <c r="E36" t="str">
        <f>INDEX(TableAFNSchools[Proximate Provincial School Division],MATCH(Table11[[#This Row],[School '#]],TableAFNSchools[School No.],0))</f>
        <v>LORD SELKIRK</v>
      </c>
      <c r="F36" s="119">
        <f>INDEX(TableAFNSchools[School size],MATCH(Table11[[#This Row],[School '#]],TableAFNSchools[School No.],0))</f>
        <v>0</v>
      </c>
      <c r="G36" s="705">
        <f>ROUND(INDEX($D$8:$D$19,MATCH(Table11[[#This Row],[Proximate School Division]],$A$8:$A$19,0))*Table11[[#This Row],[School Size Sq M]],0)</f>
        <v>0</v>
      </c>
      <c r="I36" s="119">
        <f>INDEX(TableAFNSchools[Remoteness Index (According to the BCM)],MATCH(Table11[[#This Row],[School '#]],TableAFNSchools[School No.],0))</f>
        <v>0.22</v>
      </c>
      <c r="J36" s="707">
        <f>ROUND(((1+I36)*$L$20)*Table11[[#This Row],[School Size Sq M]],0)</f>
        <v>0</v>
      </c>
      <c r="L36" s="706">
        <f>J36-Table11[[#This Row],[Total Occupancy Base]]</f>
        <v>0</v>
      </c>
    </row>
    <row r="37" spans="1:12">
      <c r="A37" t="s">
        <v>72</v>
      </c>
      <c r="F37" s="1197">
        <f>SUBTOTAL(109,Table11[School Size Sq M])</f>
        <v>24899.59</v>
      </c>
      <c r="G37" s="709">
        <f>SUBTOTAL(109,Table11[Total Occupancy Base])</f>
        <v>827345</v>
      </c>
      <c r="I37" s="1473"/>
      <c r="J37" s="1459">
        <f>SUM(J25:J36)</f>
        <v>2234800</v>
      </c>
      <c r="L37" s="1458">
        <f>SUM(L25:L36)</f>
        <v>1407455</v>
      </c>
    </row>
    <row r="38" spans="1:12">
      <c r="F38" s="1"/>
    </row>
  </sheetData>
  <mergeCells count="3">
    <mergeCell ref="A4:G5"/>
    <mergeCell ref="A6:G6"/>
    <mergeCell ref="I4:J6"/>
  </mergeCells>
  <conditionalFormatting sqref="A8:A16">
    <cfRule type="duplicateValues" dxfId="6" priority="5"/>
  </conditionalFormatting>
  <conditionalFormatting sqref="A17:A18">
    <cfRule type="duplicateValues" dxfId="5" priority="2"/>
  </conditionalFormatting>
  <conditionalFormatting sqref="A19">
    <cfRule type="duplicateValues" dxfId="4" priority="1"/>
  </conditionalFormatting>
  <conditionalFormatting sqref="I8:I18">
    <cfRule type="duplicateValues" dxfId="3" priority="4"/>
  </conditionalFormatting>
  <conditionalFormatting sqref="I19">
    <cfRule type="duplicateValues" dxfId="2" priority="3"/>
  </conditionalFormatting>
  <hyperlinks>
    <hyperlink ref="A22" r:id="rId1" display="Source: Manitoba Education, Funding of Schools 2020-21 Guide, p3" xr:uid="{00000000-0004-0000-1400-000000000000}"/>
    <hyperlink ref="A23" r:id="rId2" display="Source: FRAME 2020-21 Budget, Tab 52" xr:uid="{00000000-0004-0000-1400-000001000000}"/>
  </hyperlinks>
  <pageMargins left="0.7" right="0.7" top="0.75" bottom="0.75" header="0.3" footer="0.3"/>
  <pageSetup orientation="portrait" r:id="rId3"/>
  <headerFooter>
    <oddHeader>&amp;LMFNERC First Nations School System 2017-18&amp;RE&amp;&amp;OE</oddHeader>
  </headerFooter>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3"/>
  <sheetViews>
    <sheetView workbookViewId="0">
      <selection activeCell="G12" sqref="G12"/>
    </sheetView>
  </sheetViews>
  <sheetFormatPr baseColWidth="10" defaultColWidth="9.19921875" defaultRowHeight="14"/>
  <cols>
    <col min="2" max="2" width="19.19921875" customWidth="1"/>
    <col min="3" max="3" width="8.796875" customWidth="1"/>
    <col min="4" max="4" width="32.796875" customWidth="1"/>
    <col min="5" max="5" width="12" customWidth="1"/>
    <col min="6" max="6" width="18.796875" customWidth="1"/>
    <col min="7" max="7" width="14.59765625" customWidth="1"/>
    <col min="8" max="8" width="15.3984375" customWidth="1"/>
  </cols>
  <sheetData>
    <row r="2" spans="1:7">
      <c r="A2" t="s">
        <v>323</v>
      </c>
    </row>
    <row r="3" spans="1:7" ht="19">
      <c r="A3" s="33" t="s">
        <v>463</v>
      </c>
    </row>
    <row r="4" spans="1:7">
      <c r="A4" s="1646" t="s">
        <v>464</v>
      </c>
      <c r="B4" s="1646"/>
      <c r="C4" s="1646"/>
      <c r="D4" s="1646"/>
      <c r="E4" s="1646"/>
    </row>
    <row r="5" spans="1:7">
      <c r="A5" s="35"/>
      <c r="B5" s="35"/>
      <c r="C5" s="35"/>
      <c r="D5" s="35"/>
      <c r="E5" s="35"/>
    </row>
    <row r="7" spans="1:7" ht="15">
      <c r="A7" s="1199" t="s">
        <v>328</v>
      </c>
      <c r="B7" s="1221">
        <v>540.97</v>
      </c>
    </row>
    <row r="8" spans="1:7" ht="15">
      <c r="A8" s="585" t="s">
        <v>412</v>
      </c>
    </row>
    <row r="9" spans="1:7" ht="19.5" customHeight="1">
      <c r="A9" s="2"/>
      <c r="B9" s="2"/>
      <c r="C9" s="2"/>
      <c r="D9" s="2"/>
    </row>
    <row r="10" spans="1:7" ht="46.5" customHeight="1">
      <c r="A10" s="113" t="s">
        <v>285</v>
      </c>
      <c r="B10" s="113" t="s">
        <v>286</v>
      </c>
      <c r="C10" s="113" t="s">
        <v>330</v>
      </c>
      <c r="D10" s="113" t="s">
        <v>331</v>
      </c>
      <c r="E10" s="113" t="s">
        <v>332</v>
      </c>
      <c r="F10" s="710"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INDEX(TableAFNSchools[Total Funded FTE],MATCH(Table853[[#This Row],[School '#]],TableAFNSchools[School No.],0))</f>
        <v>435</v>
      </c>
      <c r="F11" s="704">
        <f>ROUND(Table853[[#This Row],[Eligible FTE]]*$B$7,0)</f>
        <v>235322</v>
      </c>
      <c r="G11" s="19">
        <f>Table853[[#This Row],[TOTAL]]/Table853[[#This Row],[Eligible FTE]]</f>
        <v>540.97011494252877</v>
      </c>
    </row>
    <row r="12" spans="1:7">
      <c r="A12">
        <f>'A. 20-21 FN Schools Data'!A8</f>
        <v>275</v>
      </c>
      <c r="B12" t="str">
        <f>'A. 20-21 FN Schools Data'!B8</f>
        <v>Lake St. Martin</v>
      </c>
      <c r="C12">
        <f>'A. 20-21 FN Schools Data'!C8</f>
        <v>1144</v>
      </c>
      <c r="D12" t="str">
        <f>'A. 20-21 FN Schools Data'!D8</f>
        <v>Lake St. Martin School</v>
      </c>
      <c r="E12" s="80">
        <f>INDEX(TableAFNSchools[Total Funded FTE],MATCH(Table853[[#This Row],[School '#]],TableAFNSchools[School No.],0))</f>
        <v>398</v>
      </c>
      <c r="F12" s="704">
        <f>ROUND(Table853[[#This Row],[Eligible FTE]]*$B$7,0)</f>
        <v>215306</v>
      </c>
      <c r="G12" s="19">
        <f>Table853[[#This Row],[TOTAL]]/Table853[[#This Row],[Eligible FTE]]</f>
        <v>540.96984924623121</v>
      </c>
    </row>
    <row r="13" spans="1:7">
      <c r="A13">
        <f>'A. 20-21 FN Schools Data'!A9</f>
        <v>267</v>
      </c>
      <c r="B13" t="str">
        <f>'A. 20-21 FN Schools Data'!B9</f>
        <v>Bloodvein</v>
      </c>
      <c r="C13">
        <f>'A. 20-21 FN Schools Data'!C9</f>
        <v>1148</v>
      </c>
      <c r="D13" t="str">
        <f>'A. 20-21 FN Schools Data'!D9</f>
        <v>Miskooseepi School</v>
      </c>
      <c r="E13" s="1">
        <f>INDEX(TableAFNSchools[Total Funded FTE],MATCH(Table853[[#This Row],[School '#]],TableAFNSchools[School No.],0))</f>
        <v>194</v>
      </c>
      <c r="F13" s="704">
        <f>ROUND(Table853[[#This Row],[Eligible FTE]]*$B$7,0)</f>
        <v>104948</v>
      </c>
      <c r="G13" s="19">
        <f>Table853[[#This Row],[TOTAL]]/Table853[[#This Row],[Eligible FTE]]</f>
        <v>540.96907216494844</v>
      </c>
    </row>
    <row r="14" spans="1:7">
      <c r="A14">
        <f>'A. 20-21 FN Schools Data'!A10</f>
        <v>304</v>
      </c>
      <c r="B14" t="str">
        <f>'A. 20-21 FN Schools Data'!B10</f>
        <v>York Factory</v>
      </c>
      <c r="C14">
        <f>'A. 20-21 FN Schools Data'!C10</f>
        <v>1166</v>
      </c>
      <c r="D14" t="str">
        <f>'A. 20-21 FN Schools Data'!D10</f>
        <v>George Saunders Memorial School</v>
      </c>
      <c r="E14" s="1">
        <f>INDEX(TableAFNSchools[Total Funded FTE],MATCH(Table853[[#This Row],[School '#]],TableAFNSchools[School No.],0))</f>
        <v>142</v>
      </c>
      <c r="F14" s="704">
        <f>ROUND(Table853[[#This Row],[Eligible FTE]]*$B$7,0)</f>
        <v>76818</v>
      </c>
      <c r="G14" s="19">
        <f>Table853[[#This Row],[TOTAL]]/Table853[[#This Row],[Eligible FTE]]</f>
        <v>540.97183098591552</v>
      </c>
    </row>
    <row r="15" spans="1:7">
      <c r="A15">
        <f>'A. 20-21 FN Schools Data'!A11</f>
        <v>271</v>
      </c>
      <c r="B15" t="str">
        <f>'A. 20-21 FN Schools Data'!B11</f>
        <v>Lake Manitoba</v>
      </c>
      <c r="C15">
        <f>'A. 20-21 FN Schools Data'!C11</f>
        <v>1345</v>
      </c>
      <c r="D15" t="str">
        <f>'A. 20-21 FN Schools Data'!D11</f>
        <v>Lake Manitoba School</v>
      </c>
      <c r="E15" s="1">
        <f>INDEX(TableAFNSchools[Total Funded FTE],MATCH(Table853[[#This Row],[School '#]],TableAFNSchools[School No.],0))</f>
        <v>303</v>
      </c>
      <c r="F15" s="704">
        <f>ROUND(Table853[[#This Row],[Eligible FTE]]*$B$7,0)</f>
        <v>163914</v>
      </c>
      <c r="G15" s="19">
        <f>Table853[[#This Row],[TOTAL]]/Table853[[#This Row],[Eligible FTE]]</f>
        <v>540.97029702970292</v>
      </c>
    </row>
    <row r="16" spans="1:7">
      <c r="A16">
        <f>'A. 20-21 FN Schools Data'!A12</f>
        <v>295</v>
      </c>
      <c r="B16" t="str">
        <f>'A. 20-21 FN Schools Data'!B12</f>
        <v>Dakota Tipi</v>
      </c>
      <c r="C16">
        <f>'A. 20-21 FN Schools Data'!C12</f>
        <v>1350</v>
      </c>
      <c r="D16" t="str">
        <f>'A. 20-21 FN Schools Data'!D12</f>
        <v>Dakota Tipi School</v>
      </c>
      <c r="E16" s="1">
        <f>INDEX(TableAFNSchools[Total Funded FTE],MATCH(Table853[[#This Row],[School '#]],TableAFNSchools[School No.],0))</f>
        <v>41</v>
      </c>
      <c r="F16" s="704">
        <f>ROUND(Table853[[#This Row],[Eligible FTE]]*$B$7,0)</f>
        <v>22180</v>
      </c>
      <c r="G16" s="19">
        <f>Table853[[#This Row],[TOTAL]]/Table853[[#This Row],[Eligible FTE]]</f>
        <v>540.97560975609758</v>
      </c>
    </row>
    <row r="17" spans="1:7">
      <c r="A17">
        <f>'A. 20-21 FN Schools Data'!A13</f>
        <v>288</v>
      </c>
      <c r="B17" t="str">
        <f>'A. 20-21 FN Schools Data'!B13</f>
        <v>Dakota Plains</v>
      </c>
      <c r="C17">
        <f>'A. 20-21 FN Schools Data'!C13</f>
        <v>1486</v>
      </c>
      <c r="D17" t="str">
        <f>'A. 20-21 FN Schools Data'!D13</f>
        <v>Mahpiya Hdega School</v>
      </c>
      <c r="E17" s="1">
        <f>INDEX(TableAFNSchools[Total Funded FTE],MATCH(Table853[[#This Row],[School '#]],TableAFNSchools[School No.],0))</f>
        <v>86</v>
      </c>
      <c r="F17" s="704">
        <f>ROUND(Table853[[#This Row],[Eligible FTE]]*$B$7,0)</f>
        <v>46523</v>
      </c>
      <c r="G17" s="19">
        <f>Table853[[#This Row],[TOTAL]]/Table853[[#This Row],[Eligible FTE]]</f>
        <v>540.96511627906978</v>
      </c>
    </row>
    <row r="18" spans="1:7">
      <c r="A18">
        <f>'A. 20-21 FN Schools Data'!A14</f>
        <v>261</v>
      </c>
      <c r="B18" t="str">
        <f>'A. 20-21 FN Schools Data'!B14</f>
        <v>Brokenhead</v>
      </c>
      <c r="C18">
        <f>'A. 20-21 FN Schools Data'!C14</f>
        <v>1756</v>
      </c>
      <c r="D18" t="str">
        <f>'A. 20-21 FN Schools Data'!D14</f>
        <v>Sergeant Tommy Prince School</v>
      </c>
      <c r="E18" s="1">
        <f>INDEX(TableAFNSchools[Total Funded FTE],MATCH(Table853[[#This Row],[School '#]],TableAFNSchools[School No.],0))</f>
        <v>123</v>
      </c>
      <c r="F18" s="704">
        <f>ROUND(Table853[[#This Row],[Eligible FTE]]*$B$7,0)</f>
        <v>66539</v>
      </c>
      <c r="G18" s="19">
        <f>Table853[[#This Row],[TOTAL]]/Table853[[#This Row],[Eligible FTE]]</f>
        <v>540.96747967479678</v>
      </c>
    </row>
    <row r="19" spans="1:7">
      <c r="A19">
        <f>'A. 20-21 FN Schools Data'!A15</f>
        <v>273</v>
      </c>
      <c r="B19" t="str">
        <f>'A. 20-21 FN Schools Data'!B15</f>
        <v>Roseau River</v>
      </c>
      <c r="C19">
        <f>'A. 20-21 FN Schools Data'!C15</f>
        <v>5717</v>
      </c>
      <c r="D19" t="str">
        <f>'A. 20-21 FN Schools Data'!D15</f>
        <v>Ginew School</v>
      </c>
      <c r="E19" s="1">
        <f>INDEX(TableAFNSchools[Total Funded FTE],MATCH(Table853[[#This Row],[School '#]],TableAFNSchools[School No.],0))</f>
        <v>153</v>
      </c>
      <c r="F19" s="704">
        <f>ROUND(Table853[[#This Row],[Eligible FTE]]*$B$7,0)</f>
        <v>82768</v>
      </c>
      <c r="G19" s="19">
        <f>Table853[[#This Row],[TOTAL]]/Table853[[#This Row],[Eligible FTE]]</f>
        <v>540.96732026143786</v>
      </c>
    </row>
    <row r="20" spans="1:7">
      <c r="A20">
        <f>'A. 20-21 FN Schools Data'!A16</f>
        <v>305</v>
      </c>
      <c r="B20" t="str">
        <f>'A. 20-21 FN Schools Data'!B16</f>
        <v>Fox Lake</v>
      </c>
      <c r="C20">
        <f>'A. 20-21 FN Schools Data'!C16</f>
        <v>6413</v>
      </c>
      <c r="D20" t="str">
        <f>'A. 20-21 FN Schools Data'!D16</f>
        <v>Fox Lake School</v>
      </c>
      <c r="E20" s="1">
        <f>INDEX(TableAFNSchools[Total Funded FTE],MATCH(Table853[[#This Row],[School '#]],TableAFNSchools[School No.],0))</f>
        <v>27</v>
      </c>
      <c r="F20" s="704">
        <f>ROUND(Table853[[#This Row],[Eligible FTE]]*$B$7,0)</f>
        <v>14606</v>
      </c>
      <c r="G20" s="19">
        <f>Table853[[#This Row],[TOTAL]]/Table853[[#This Row],[Eligible FTE]]</f>
        <v>540.96296296296293</v>
      </c>
    </row>
    <row r="21" spans="1:7">
      <c r="A21">
        <f>'A. 20-21 FN Schools Data'!A17</f>
        <v>286</v>
      </c>
      <c r="B21" t="str">
        <f>'A. 20-21 FN Schools Data'!B17</f>
        <v>Keeseekoowenin</v>
      </c>
      <c r="C21">
        <f>'A. 20-21 FN Schools Data'!C17</f>
        <v>8990</v>
      </c>
      <c r="D21" t="str">
        <f>'A. 20-21 FN Schools Data'!D17</f>
        <v>Keeseekoowenin School</v>
      </c>
      <c r="E21" s="1">
        <f>INDEX(TableAFNSchools[Total Funded FTE],MATCH(Table853[[#This Row],[School '#]],TableAFNSchools[School No.],0))</f>
        <v>99</v>
      </c>
      <c r="F21" s="704">
        <f>ROUND(Table853[[#This Row],[Eligible FTE]]*$B$7,0)</f>
        <v>53556</v>
      </c>
      <c r="G21" s="19">
        <f>Table853[[#This Row],[TOTAL]]/Table853[[#This Row],[Eligible FTE]]</f>
        <v>540.969696969697</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FTE],MATCH(Table853[[#This Row],[School '#]],TableAFNSchools[School No.],0))</f>
        <v>25</v>
      </c>
      <c r="F22" s="705">
        <f>ROUND(Table853[[#This Row],[Eligible FTE]]*$B$7,0)</f>
        <v>13524</v>
      </c>
      <c r="G22" s="19">
        <f>Table853[[#This Row],[TOTAL]]/Table853[[#This Row],[Eligible FTE]]</f>
        <v>540.96</v>
      </c>
    </row>
    <row r="23" spans="1:7">
      <c r="A23" t="s">
        <v>72</v>
      </c>
      <c r="E23" s="1197">
        <f>SUBTOTAL(109,Table853[Eligible FTE])</f>
        <v>2026</v>
      </c>
      <c r="F23" s="1198">
        <f>SUBTOTAL(109,Table853[TOTAL])</f>
        <v>1096004</v>
      </c>
    </row>
  </sheetData>
  <mergeCells count="1">
    <mergeCell ref="A4:E4"/>
  </mergeCells>
  <hyperlinks>
    <hyperlink ref="A8" r:id="rId1" display="Source: Manitoba Education, Funding of Schools 2020-21 Guide, p3" xr:uid="{00000000-0004-0000-1500-000000000000}"/>
  </hyperlinks>
  <pageMargins left="0.7" right="0.7" top="0.75" bottom="0.75" header="0.3" footer="0.3"/>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4"/>
  <dimension ref="A2:I10"/>
  <sheetViews>
    <sheetView workbookViewId="0"/>
  </sheetViews>
  <sheetFormatPr baseColWidth="10" defaultColWidth="9.19921875" defaultRowHeight="14"/>
  <cols>
    <col min="2" max="2" width="26.796875" customWidth="1"/>
    <col min="3" max="3" width="18.796875" customWidth="1"/>
    <col min="4" max="4" width="20.19921875" customWidth="1"/>
    <col min="5" max="5" width="24.796875" customWidth="1"/>
    <col min="6" max="16" width="8.796875" customWidth="1"/>
  </cols>
  <sheetData>
    <row r="2" spans="1:9">
      <c r="A2" t="s">
        <v>465</v>
      </c>
    </row>
    <row r="3" spans="1:9" ht="19">
      <c r="A3" s="33" t="s">
        <v>466</v>
      </c>
    </row>
    <row r="4" spans="1:9" ht="38.25" customHeight="1">
      <c r="A4" s="1646" t="s">
        <v>467</v>
      </c>
      <c r="B4" s="1646"/>
      <c r="C4" s="1646"/>
      <c r="D4" s="1646"/>
      <c r="E4" s="1646"/>
    </row>
    <row r="6" spans="1:9" ht="33" customHeight="1">
      <c r="A6" s="1660" t="s">
        <v>468</v>
      </c>
      <c r="B6" s="1660"/>
      <c r="C6" s="1660"/>
      <c r="D6" s="1660"/>
      <c r="E6" s="1660"/>
    </row>
    <row r="7" spans="1:9" ht="15">
      <c r="A7" s="2"/>
    </row>
    <row r="8" spans="1:9" ht="15" customHeight="1"/>
    <row r="10" spans="1:9" s="147" customFormat="1">
      <c r="A10"/>
      <c r="B10"/>
      <c r="C10"/>
      <c r="D10"/>
      <c r="E10"/>
      <c r="F10"/>
      <c r="G10"/>
      <c r="H10"/>
      <c r="I10"/>
    </row>
  </sheetData>
  <mergeCells count="2">
    <mergeCell ref="A4:E4"/>
    <mergeCell ref="A6:E6"/>
  </mergeCells>
  <pageMargins left="0.7" right="0.7" top="0.75" bottom="0.75" header="0.3" footer="0.3"/>
  <pageSetup orientation="portrait" r:id="rId1"/>
  <headerFooter>
    <oddHeader>&amp;LMFNERC First Nations School System 2017-18&amp;RE&amp;&amp;OE</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A2:L24"/>
  <sheetViews>
    <sheetView workbookViewId="0"/>
  </sheetViews>
  <sheetFormatPr baseColWidth="10" defaultColWidth="9.19921875" defaultRowHeight="14"/>
  <cols>
    <col min="2" max="2" width="20.19921875" customWidth="1"/>
    <col min="3" max="3" width="25" customWidth="1"/>
    <col min="4" max="4" width="17.796875" customWidth="1"/>
    <col min="5" max="5" width="17.3984375" customWidth="1"/>
    <col min="6" max="6" width="20.59765625" customWidth="1"/>
    <col min="7" max="7" width="18.796875" customWidth="1"/>
    <col min="8" max="8" width="19.3984375" customWidth="1"/>
    <col min="9" max="9" width="18.3984375" customWidth="1"/>
    <col min="10" max="10" width="16.796875" customWidth="1"/>
    <col min="11" max="11" width="15.3984375" customWidth="1"/>
    <col min="12" max="12" width="21" customWidth="1"/>
    <col min="13" max="13" width="18.19921875" customWidth="1"/>
    <col min="14" max="14" width="23.19921875" customWidth="1"/>
    <col min="15" max="15" width="31.19921875" customWidth="1"/>
  </cols>
  <sheetData>
    <row r="2" spans="1:12">
      <c r="A2" t="s">
        <v>465</v>
      </c>
    </row>
    <row r="3" spans="1:12" ht="19">
      <c r="A3" s="33" t="s">
        <v>469</v>
      </c>
    </row>
    <row r="4" spans="1:12" ht="27.75" customHeight="1">
      <c r="A4" s="1661" t="s">
        <v>470</v>
      </c>
      <c r="B4" s="1662"/>
      <c r="C4" s="1662"/>
      <c r="D4" s="1663"/>
      <c r="E4" s="692" t="s">
        <v>471</v>
      </c>
      <c r="F4" s="1226" t="s">
        <v>472</v>
      </c>
      <c r="G4" s="1226" t="s">
        <v>473</v>
      </c>
      <c r="H4" s="1226" t="s">
        <v>474</v>
      </c>
    </row>
    <row r="5" spans="1:12" ht="27.75" customHeight="1">
      <c r="A5" s="851"/>
      <c r="B5" s="828"/>
      <c r="C5" s="828"/>
      <c r="D5" s="852"/>
      <c r="E5" s="748" t="s">
        <v>475</v>
      </c>
      <c r="F5" s="1227">
        <f>'H. PHP Rates'!I16</f>
        <v>21357.07</v>
      </c>
      <c r="G5" s="687"/>
      <c r="H5" s="692"/>
    </row>
    <row r="6" spans="1:12" ht="30">
      <c r="A6" s="1664" t="s">
        <v>476</v>
      </c>
      <c r="B6" s="1653"/>
      <c r="C6" s="1653"/>
      <c r="D6" s="1665"/>
      <c r="E6" s="748" t="s">
        <v>477</v>
      </c>
      <c r="F6" s="1227">
        <f>SUM('H. PHP Rates'!C7:C10,'H. PHP Rates'!C12,'H. PHP Rates'!C14:C15)</f>
        <v>13925.79</v>
      </c>
      <c r="G6" s="874"/>
      <c r="H6" s="875"/>
    </row>
    <row r="7" spans="1:12">
      <c r="A7" s="1666"/>
      <c r="B7" s="1667"/>
      <c r="C7" s="1667"/>
      <c r="D7" s="1668"/>
      <c r="E7" s="749" t="s">
        <v>478</v>
      </c>
      <c r="F7" s="1228"/>
      <c r="G7" s="1229">
        <f>'H. PHP Rates'!C11</f>
        <v>1200</v>
      </c>
      <c r="H7" s="1229">
        <f>'H. PHP Rates'!D11</f>
        <v>4000</v>
      </c>
    </row>
    <row r="8" spans="1:12" ht="15">
      <c r="E8" s="1230" t="s">
        <v>479</v>
      </c>
      <c r="F8" s="1229"/>
      <c r="G8" s="1229">
        <f>'H. PHP Rates'!C13</f>
        <v>162.29</v>
      </c>
      <c r="H8" s="1229">
        <f>'H. PHP Rates'!D13</f>
        <v>540.97</v>
      </c>
    </row>
    <row r="9" spans="1:12" ht="30">
      <c r="E9" s="1230" t="s">
        <v>480</v>
      </c>
      <c r="F9" s="1227">
        <f>'H. PHP Rates'!C7+'H. PHP Rates'!C9+'H. PHP Rates'!C10+'H. PHP Rates'!C12</f>
        <v>7237.21</v>
      </c>
      <c r="G9" s="874"/>
      <c r="H9" s="875"/>
    </row>
    <row r="11" spans="1:12" ht="45">
      <c r="A11" s="114" t="s">
        <v>285</v>
      </c>
      <c r="B11" s="114" t="s">
        <v>481</v>
      </c>
      <c r="C11" s="114" t="s">
        <v>482</v>
      </c>
      <c r="D11" s="114" t="s">
        <v>483</v>
      </c>
      <c r="E11" s="114" t="s">
        <v>484</v>
      </c>
      <c r="F11" s="114" t="s">
        <v>485</v>
      </c>
      <c r="G11" s="114" t="s">
        <v>486</v>
      </c>
      <c r="H11" s="114" t="s">
        <v>487</v>
      </c>
      <c r="I11" s="114" t="s">
        <v>488</v>
      </c>
      <c r="J11" s="114" t="s">
        <v>479</v>
      </c>
      <c r="K11" s="114" t="s">
        <v>489</v>
      </c>
      <c r="L11" s="132" t="s">
        <v>490</v>
      </c>
    </row>
    <row r="12" spans="1:12">
      <c r="A12">
        <f>'A. 20-21 FN Schools Data'!A7</f>
        <v>272</v>
      </c>
      <c r="B12" t="str">
        <f>'A. 20-21 FN Schools Data'!B7</f>
        <v>Pinaymootang</v>
      </c>
      <c r="C12" t="str">
        <f>'A. 20-21 FN Schools Data'!CA7</f>
        <v>South</v>
      </c>
      <c r="D12">
        <f>'A. 20-21 FN Schools Data'!DC7</f>
        <v>0</v>
      </c>
      <c r="E12">
        <f>'A. 20-21 FN Schools Data'!DD7</f>
        <v>0</v>
      </c>
      <c r="F12">
        <f>'A. 20-21 FN Schools Data'!DE7</f>
        <v>0</v>
      </c>
      <c r="G12">
        <f>'A. 20-21 FN Schools Data'!DF7</f>
        <v>0</v>
      </c>
      <c r="H12" s="397">
        <f>$F$6*Table44[[#This Row],[Mandatory PHP &lt;18 Headcount]]+((Table44[[#This Row],[Student Residence &lt;18 Headcount]]+Table44[[#This Row],[Boarding School &lt;18 Headcount]])*$F$5)</f>
        <v>0</v>
      </c>
      <c r="I12" s="397">
        <f>IF(Table44[[#This Row],[FN of  Res. North/South (North of 53 parallel)]]="South",Table44[[#This Row],[Mandatory PHP &lt;18 Headcount]]*$G$7,IF(Table44[[#This Row],[FN of  Res. North/South (North of 53 parallel)]]="North",Table44[[#This Row],[Mandatory PHP &lt;18 Headcount]]*$H$7,0))</f>
        <v>0</v>
      </c>
      <c r="J12"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2" s="397">
        <f>$F$9*Table44[[#This Row],[5-Day Room &amp; Board &lt;18 Headcount]]</f>
        <v>0</v>
      </c>
      <c r="L12" s="413">
        <f>SUM(Table44[[#This Row],[PHP &amp; Residence Set Per Student Amount]:[5-Day Room &amp; Board Rate]])</f>
        <v>0</v>
      </c>
    </row>
    <row r="13" spans="1:12">
      <c r="A13">
        <f>'A. 20-21 FN Schools Data'!A8</f>
        <v>275</v>
      </c>
      <c r="B13" t="str">
        <f>'A. 20-21 FN Schools Data'!B8</f>
        <v>Lake St. Martin</v>
      </c>
      <c r="C13" t="str">
        <f>'A. 20-21 FN Schools Data'!CA8</f>
        <v>South</v>
      </c>
      <c r="D13">
        <f>'A. 20-21 FN Schools Data'!DC8</f>
        <v>0</v>
      </c>
      <c r="E13">
        <f>'A. 20-21 FN Schools Data'!DD8</f>
        <v>0</v>
      </c>
      <c r="F13">
        <f>'A. 20-21 FN Schools Data'!DE8</f>
        <v>0</v>
      </c>
      <c r="G13">
        <f>'A. 20-21 FN Schools Data'!DF8</f>
        <v>0</v>
      </c>
      <c r="H13" s="397">
        <f>$F$6*Table44[[#This Row],[Mandatory PHP &lt;18 Headcount]]+((Table44[[#This Row],[Student Residence &lt;18 Headcount]]+Table44[[#This Row],[Boarding School &lt;18 Headcount]])*$F$5)</f>
        <v>0</v>
      </c>
      <c r="I13" s="397">
        <f>IF(Table44[[#This Row],[FN of  Res. North/South (North of 53 parallel)]]="South",Table44[[#This Row],[Mandatory PHP &lt;18 Headcount]]*$G$7,IF(Table44[[#This Row],[FN of  Res. North/South (North of 53 parallel)]]="North",Table44[[#This Row],[Mandatory PHP &lt;18 Headcount]]*$H$7,0))</f>
        <v>0</v>
      </c>
      <c r="J13"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3" s="397">
        <f>$F$9*Table44[[#This Row],[5-Day Room &amp; Board &lt;18 Headcount]]</f>
        <v>0</v>
      </c>
      <c r="L13" s="413">
        <f>SUM(Table44[[#This Row],[PHP &amp; Residence Set Per Student Amount]:[5-Day Room &amp; Board Rate]])</f>
        <v>0</v>
      </c>
    </row>
    <row r="14" spans="1:12">
      <c r="A14">
        <f>'A. 20-21 FN Schools Data'!A9</f>
        <v>267</v>
      </c>
      <c r="B14" t="str">
        <f>'A. 20-21 FN Schools Data'!B9</f>
        <v>Bloodvein</v>
      </c>
      <c r="C14" t="str">
        <f>'A. 20-21 FN Schools Data'!CA9</f>
        <v>North</v>
      </c>
      <c r="D14">
        <f>'A. 20-21 FN Schools Data'!DC9</f>
        <v>0</v>
      </c>
      <c r="E14">
        <f>'A. 20-21 FN Schools Data'!DD9</f>
        <v>0</v>
      </c>
      <c r="F14">
        <f>'A. 20-21 FN Schools Data'!DE9</f>
        <v>0</v>
      </c>
      <c r="G14">
        <f>'A. 20-21 FN Schools Data'!DF9</f>
        <v>0</v>
      </c>
      <c r="H14" s="397">
        <f>$F$6*Table44[[#This Row],[Mandatory PHP &lt;18 Headcount]]+((Table44[[#This Row],[Student Residence &lt;18 Headcount]]+Table44[[#This Row],[Boarding School &lt;18 Headcount]])*$F$5)</f>
        <v>0</v>
      </c>
      <c r="I14" s="397">
        <f>IF(Table44[[#This Row],[FN of  Res. North/South (North of 53 parallel)]]="South",Table44[[#This Row],[Mandatory PHP &lt;18 Headcount]]*$G$7,IF(Table44[[#This Row],[FN of  Res. North/South (North of 53 parallel)]]="North",Table44[[#This Row],[Mandatory PHP &lt;18 Headcount]]*$H$7,0))</f>
        <v>0</v>
      </c>
      <c r="J14"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4" s="397">
        <f>$F$9*Table44[[#This Row],[5-Day Room &amp; Board &lt;18 Headcount]]</f>
        <v>0</v>
      </c>
      <c r="L14" s="413">
        <f>SUM(Table44[[#This Row],[PHP &amp; Residence Set Per Student Amount]:[5-Day Room &amp; Board Rate]])</f>
        <v>0</v>
      </c>
    </row>
    <row r="15" spans="1:12">
      <c r="A15">
        <f>'A. 20-21 FN Schools Data'!A10</f>
        <v>304</v>
      </c>
      <c r="B15" t="str">
        <f>'A. 20-21 FN Schools Data'!B10</f>
        <v>York Factory</v>
      </c>
      <c r="C15" t="str">
        <f>'A. 20-21 FN Schools Data'!CA10</f>
        <v>North</v>
      </c>
      <c r="D15">
        <f>'A. 20-21 FN Schools Data'!DC10</f>
        <v>0</v>
      </c>
      <c r="E15">
        <f>'A. 20-21 FN Schools Data'!DD10</f>
        <v>0</v>
      </c>
      <c r="F15">
        <f>'A. 20-21 FN Schools Data'!DE10</f>
        <v>0</v>
      </c>
      <c r="G15">
        <f>'A. 20-21 FN Schools Data'!DF10</f>
        <v>0</v>
      </c>
      <c r="H15" s="397">
        <f>$F$6*Table44[[#This Row],[Mandatory PHP &lt;18 Headcount]]+((Table44[[#This Row],[Student Residence &lt;18 Headcount]]+Table44[[#This Row],[Boarding School &lt;18 Headcount]])*$F$5)</f>
        <v>0</v>
      </c>
      <c r="I15" s="397">
        <f>IF(Table44[[#This Row],[FN of  Res. North/South (North of 53 parallel)]]="South",Table44[[#This Row],[Mandatory PHP &lt;18 Headcount]]*$G$7,IF(Table44[[#This Row],[FN of  Res. North/South (North of 53 parallel)]]="North",Table44[[#This Row],[Mandatory PHP &lt;18 Headcount]]*$H$7,0))</f>
        <v>0</v>
      </c>
      <c r="J15"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5" s="397">
        <f>$F$9*Table44[[#This Row],[5-Day Room &amp; Board &lt;18 Headcount]]</f>
        <v>0</v>
      </c>
      <c r="L15" s="413">
        <f>SUM(Table44[[#This Row],[PHP &amp; Residence Set Per Student Amount]:[5-Day Room &amp; Board Rate]])</f>
        <v>0</v>
      </c>
    </row>
    <row r="16" spans="1:12">
      <c r="A16">
        <f>'A. 20-21 FN Schools Data'!A11</f>
        <v>271</v>
      </c>
      <c r="B16" t="str">
        <f>'A. 20-21 FN Schools Data'!B11</f>
        <v>Lake Manitoba</v>
      </c>
      <c r="C16" t="str">
        <f>'A. 20-21 FN Schools Data'!CA11</f>
        <v>South</v>
      </c>
      <c r="D16">
        <f>'A. 20-21 FN Schools Data'!DC11</f>
        <v>0</v>
      </c>
      <c r="E16">
        <f>'A. 20-21 FN Schools Data'!DD11</f>
        <v>0</v>
      </c>
      <c r="F16">
        <f>'A. 20-21 FN Schools Data'!DE11</f>
        <v>0</v>
      </c>
      <c r="G16">
        <f>'A. 20-21 FN Schools Data'!DF11</f>
        <v>0</v>
      </c>
      <c r="H16" s="397">
        <f>$F$6*Table44[[#This Row],[Mandatory PHP &lt;18 Headcount]]+((Table44[[#This Row],[Student Residence &lt;18 Headcount]]+Table44[[#This Row],[Boarding School &lt;18 Headcount]])*$F$5)</f>
        <v>0</v>
      </c>
      <c r="I16" s="397">
        <f>IF(Table44[[#This Row],[FN of  Res. North/South (North of 53 parallel)]]="South",Table44[[#This Row],[Mandatory PHP &lt;18 Headcount]]*$G$7,IF(Table44[[#This Row],[FN of  Res. North/South (North of 53 parallel)]]="North",Table44[[#This Row],[Mandatory PHP &lt;18 Headcount]]*$H$7,0))</f>
        <v>0</v>
      </c>
      <c r="J16"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6" s="397">
        <f>$F$9*Table44[[#This Row],[5-Day Room &amp; Board &lt;18 Headcount]]</f>
        <v>0</v>
      </c>
      <c r="L16" s="413">
        <f>SUM(Table44[[#This Row],[PHP &amp; Residence Set Per Student Amount]:[5-Day Room &amp; Board Rate]])</f>
        <v>0</v>
      </c>
    </row>
    <row r="17" spans="1:12">
      <c r="A17">
        <f>'A. 20-21 FN Schools Data'!A12</f>
        <v>295</v>
      </c>
      <c r="B17" t="str">
        <f>'A. 20-21 FN Schools Data'!B12</f>
        <v>Dakota Tipi</v>
      </c>
      <c r="C17" t="str">
        <f>'A. 20-21 FN Schools Data'!CA12</f>
        <v>South</v>
      </c>
      <c r="D17">
        <f>'A. 20-21 FN Schools Data'!DC12</f>
        <v>0</v>
      </c>
      <c r="E17">
        <f>'A. 20-21 FN Schools Data'!DD12</f>
        <v>0</v>
      </c>
      <c r="F17">
        <f>'A. 20-21 FN Schools Data'!DE12</f>
        <v>0</v>
      </c>
      <c r="G17">
        <f>'A. 20-21 FN Schools Data'!DF12</f>
        <v>0</v>
      </c>
      <c r="H17" s="397">
        <f>$F$6*Table44[[#This Row],[Mandatory PHP &lt;18 Headcount]]+((Table44[[#This Row],[Student Residence &lt;18 Headcount]]+Table44[[#This Row],[Boarding School &lt;18 Headcount]])*$F$5)</f>
        <v>0</v>
      </c>
      <c r="I17" s="397">
        <f>IF(Table44[[#This Row],[FN of  Res. North/South (North of 53 parallel)]]="South",Table44[[#This Row],[Mandatory PHP &lt;18 Headcount]]*$G$7,IF(Table44[[#This Row],[FN of  Res. North/South (North of 53 parallel)]]="North",Table44[[#This Row],[Mandatory PHP &lt;18 Headcount]]*$H$7,0))</f>
        <v>0</v>
      </c>
      <c r="J17"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7" s="397">
        <f>$F$9*Table44[[#This Row],[5-Day Room &amp; Board &lt;18 Headcount]]</f>
        <v>0</v>
      </c>
      <c r="L17" s="413">
        <f>SUM(Table44[[#This Row],[PHP &amp; Residence Set Per Student Amount]:[5-Day Room &amp; Board Rate]])</f>
        <v>0</v>
      </c>
    </row>
    <row r="18" spans="1:12">
      <c r="A18">
        <f>'A. 20-21 FN Schools Data'!A13</f>
        <v>288</v>
      </c>
      <c r="B18" t="str">
        <f>'A. 20-21 FN Schools Data'!B13</f>
        <v>Dakota Plains</v>
      </c>
      <c r="C18" t="str">
        <f>'A. 20-21 FN Schools Data'!CA13</f>
        <v>South</v>
      </c>
      <c r="D18">
        <f>'A. 20-21 FN Schools Data'!DC13</f>
        <v>0</v>
      </c>
      <c r="E18">
        <f>'A. 20-21 FN Schools Data'!DD13</f>
        <v>0</v>
      </c>
      <c r="F18">
        <f>'A. 20-21 FN Schools Data'!DE13</f>
        <v>0</v>
      </c>
      <c r="G18">
        <f>'A. 20-21 FN Schools Data'!DF13</f>
        <v>0</v>
      </c>
      <c r="H18" s="397">
        <f>$F$6*Table44[[#This Row],[Mandatory PHP &lt;18 Headcount]]+((Table44[[#This Row],[Student Residence &lt;18 Headcount]]+Table44[[#This Row],[Boarding School &lt;18 Headcount]])*$F$5)</f>
        <v>0</v>
      </c>
      <c r="I18" s="397">
        <f>IF(Table44[[#This Row],[FN of  Res. North/South (North of 53 parallel)]]="South",Table44[[#This Row],[Mandatory PHP &lt;18 Headcount]]*$G$7,IF(Table44[[#This Row],[FN of  Res. North/South (North of 53 parallel)]]="North",Table44[[#This Row],[Mandatory PHP &lt;18 Headcount]]*$H$7,0))</f>
        <v>0</v>
      </c>
      <c r="J18"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8" s="397">
        <f>$F$9*Table44[[#This Row],[5-Day Room &amp; Board &lt;18 Headcount]]</f>
        <v>0</v>
      </c>
      <c r="L18" s="413">
        <f>SUM(Table44[[#This Row],[PHP &amp; Residence Set Per Student Amount]:[5-Day Room &amp; Board Rate]])</f>
        <v>0</v>
      </c>
    </row>
    <row r="19" spans="1:12">
      <c r="A19">
        <f>'A. 20-21 FN Schools Data'!A14</f>
        <v>261</v>
      </c>
      <c r="B19" t="str">
        <f>'A. 20-21 FN Schools Data'!B14</f>
        <v>Brokenhead</v>
      </c>
      <c r="C19" t="str">
        <f>'A. 20-21 FN Schools Data'!CA14</f>
        <v>South</v>
      </c>
      <c r="D19">
        <f>'A. 20-21 FN Schools Data'!DC14</f>
        <v>0</v>
      </c>
      <c r="E19">
        <f>'A. 20-21 FN Schools Data'!DD14</f>
        <v>0</v>
      </c>
      <c r="F19">
        <f>'A. 20-21 FN Schools Data'!DE14</f>
        <v>0</v>
      </c>
      <c r="G19">
        <f>'A. 20-21 FN Schools Data'!DF14</f>
        <v>0</v>
      </c>
      <c r="H19" s="397">
        <f>$F$6*Table44[[#This Row],[Mandatory PHP &lt;18 Headcount]]+((Table44[[#This Row],[Student Residence &lt;18 Headcount]]+Table44[[#This Row],[Boarding School &lt;18 Headcount]])*$F$5)</f>
        <v>0</v>
      </c>
      <c r="I19" s="397">
        <f>IF(Table44[[#This Row],[FN of  Res. North/South (North of 53 parallel)]]="South",Table44[[#This Row],[Mandatory PHP &lt;18 Headcount]]*$G$7,IF(Table44[[#This Row],[FN of  Res. North/South (North of 53 parallel)]]="North",Table44[[#This Row],[Mandatory PHP &lt;18 Headcount]]*$H$7,0))</f>
        <v>0</v>
      </c>
      <c r="J19"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19" s="397">
        <f>$F$9*Table44[[#This Row],[5-Day Room &amp; Board &lt;18 Headcount]]</f>
        <v>0</v>
      </c>
      <c r="L19" s="413">
        <f>SUM(Table44[[#This Row],[PHP &amp; Residence Set Per Student Amount]:[5-Day Room &amp; Board Rate]])</f>
        <v>0</v>
      </c>
    </row>
    <row r="20" spans="1:12">
      <c r="A20">
        <f>'A. 20-21 FN Schools Data'!A15</f>
        <v>273</v>
      </c>
      <c r="B20" t="str">
        <f>'A. 20-21 FN Schools Data'!B15</f>
        <v>Roseau River</v>
      </c>
      <c r="C20" t="str">
        <f>'A. 20-21 FN Schools Data'!CA15</f>
        <v>South</v>
      </c>
      <c r="D20">
        <f>'A. 20-21 FN Schools Data'!DC15</f>
        <v>0</v>
      </c>
      <c r="E20">
        <f>'A. 20-21 FN Schools Data'!DD15</f>
        <v>0</v>
      </c>
      <c r="F20">
        <f>'A. 20-21 FN Schools Data'!DE15</f>
        <v>0</v>
      </c>
      <c r="G20">
        <f>'A. 20-21 FN Schools Data'!DF15</f>
        <v>0</v>
      </c>
      <c r="H20" s="397">
        <f>$F$6*Table44[[#This Row],[Mandatory PHP &lt;18 Headcount]]+((Table44[[#This Row],[Student Residence &lt;18 Headcount]]+Table44[[#This Row],[Boarding School &lt;18 Headcount]])*$F$5)</f>
        <v>0</v>
      </c>
      <c r="I20" s="397">
        <f>IF(Table44[[#This Row],[FN of  Res. North/South (North of 53 parallel)]]="South",Table44[[#This Row],[Mandatory PHP &lt;18 Headcount]]*$G$7,IF(Table44[[#This Row],[FN of  Res. North/South (North of 53 parallel)]]="North",Table44[[#This Row],[Mandatory PHP &lt;18 Headcount]]*$H$7,0))</f>
        <v>0</v>
      </c>
      <c r="J20"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0" s="397">
        <f>$F$9*Table44[[#This Row],[5-Day Room &amp; Board &lt;18 Headcount]]</f>
        <v>0</v>
      </c>
      <c r="L20" s="413">
        <f>SUM(Table44[[#This Row],[PHP &amp; Residence Set Per Student Amount]:[5-Day Room &amp; Board Rate]])</f>
        <v>0</v>
      </c>
    </row>
    <row r="21" spans="1:12">
      <c r="A21">
        <f>'A. 20-21 FN Schools Data'!A16</f>
        <v>305</v>
      </c>
      <c r="B21" t="str">
        <f>'A. 20-21 FN Schools Data'!B16</f>
        <v>Fox Lake</v>
      </c>
      <c r="C21" t="str">
        <f>'A. 20-21 FN Schools Data'!CA16</f>
        <v>North</v>
      </c>
      <c r="D21">
        <f>'A. 20-21 FN Schools Data'!DC16</f>
        <v>0</v>
      </c>
      <c r="E21">
        <f>'A. 20-21 FN Schools Data'!DD16</f>
        <v>0</v>
      </c>
      <c r="F21">
        <f>'A. 20-21 FN Schools Data'!DE16</f>
        <v>0</v>
      </c>
      <c r="G21">
        <f>'A. 20-21 FN Schools Data'!DF16</f>
        <v>0</v>
      </c>
      <c r="H21" s="397">
        <f>$F$6*Table44[[#This Row],[Mandatory PHP &lt;18 Headcount]]+((Table44[[#This Row],[Student Residence &lt;18 Headcount]]+Table44[[#This Row],[Boarding School &lt;18 Headcount]])*$F$5)</f>
        <v>0</v>
      </c>
      <c r="I21" s="397">
        <f>IF(Table44[[#This Row],[FN of  Res. North/South (North of 53 parallel)]]="South",Table44[[#This Row],[Mandatory PHP &lt;18 Headcount]]*$G$7,IF(Table44[[#This Row],[FN of  Res. North/South (North of 53 parallel)]]="North",Table44[[#This Row],[Mandatory PHP &lt;18 Headcount]]*$H$7,0))</f>
        <v>0</v>
      </c>
      <c r="J21"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1" s="397">
        <f>$F$9*Table44[[#This Row],[5-Day Room &amp; Board &lt;18 Headcount]]</f>
        <v>0</v>
      </c>
      <c r="L21" s="413">
        <f>SUM(Table44[[#This Row],[PHP &amp; Residence Set Per Student Amount]:[5-Day Room &amp; Board Rate]])</f>
        <v>0</v>
      </c>
    </row>
    <row r="22" spans="1:12">
      <c r="A22">
        <f>'A. 20-21 FN Schools Data'!A17</f>
        <v>286</v>
      </c>
      <c r="B22" t="str">
        <f>'A. 20-21 FN Schools Data'!B17</f>
        <v>Keeseekoowenin</v>
      </c>
      <c r="C22" t="str">
        <f>'A. 20-21 FN Schools Data'!CA17</f>
        <v>South</v>
      </c>
      <c r="D22">
        <f>'A. 20-21 FN Schools Data'!DC17</f>
        <v>0</v>
      </c>
      <c r="E22">
        <f>'A. 20-21 FN Schools Data'!DD17</f>
        <v>0</v>
      </c>
      <c r="F22">
        <f>'A. 20-21 FN Schools Data'!DE17</f>
        <v>0</v>
      </c>
      <c r="G22">
        <f>'A. 20-21 FN Schools Data'!DF17</f>
        <v>0</v>
      </c>
      <c r="H22" s="397">
        <f>$F$6*Table44[[#This Row],[Mandatory PHP &lt;18 Headcount]]+((Table44[[#This Row],[Student Residence &lt;18 Headcount]]+Table44[[#This Row],[Boarding School &lt;18 Headcount]])*$F$5)</f>
        <v>0</v>
      </c>
      <c r="I22" s="397">
        <f>IF(Table44[[#This Row],[FN of  Res. North/South (North of 53 parallel)]]="South",Table44[[#This Row],[Mandatory PHP &lt;18 Headcount]]*$G$7,IF(Table44[[#This Row],[FN of  Res. North/South (North of 53 parallel)]]="North",Table44[[#This Row],[Mandatory PHP &lt;18 Headcount]]*$H$7,0))</f>
        <v>0</v>
      </c>
      <c r="J22"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2" s="397">
        <f>$F$9*Table44[[#This Row],[5-Day Room &amp; Board &lt;18 Headcount]]</f>
        <v>0</v>
      </c>
      <c r="L22" s="413">
        <f>SUM(Table44[[#This Row],[PHP &amp; Residence Set Per Student Amount]:[5-Day Room &amp; Board Rate]])</f>
        <v>0</v>
      </c>
    </row>
    <row r="23" spans="1:12">
      <c r="A23">
        <f>'A. 20-21 FN Schools Data'!A18</f>
        <v>261</v>
      </c>
      <c r="B23" t="str">
        <f>'A. 20-21 FN Schools Data'!B18</f>
        <v>Brokenhead</v>
      </c>
      <c r="C23" t="str">
        <f>'A. 20-21 FN Schools Data'!CA18</f>
        <v>South</v>
      </c>
      <c r="D23">
        <f>'A. 20-21 FN Schools Data'!DC18</f>
        <v>0</v>
      </c>
      <c r="E23">
        <f>'A. 20-21 FN Schools Data'!DD18</f>
        <v>0</v>
      </c>
      <c r="F23">
        <f>'A. 20-21 FN Schools Data'!DE18</f>
        <v>0</v>
      </c>
      <c r="G23">
        <f>'A. 20-21 FN Schools Data'!DF18</f>
        <v>0</v>
      </c>
      <c r="H23" s="397">
        <f>$F$6*Table44[[#This Row],[Mandatory PHP &lt;18 Headcount]]+((Table44[[#This Row],[Student Residence &lt;18 Headcount]]+Table44[[#This Row],[Boarding School &lt;18 Headcount]])*$F$5)</f>
        <v>0</v>
      </c>
      <c r="I23" s="397">
        <f>IF(Table44[[#This Row],[FN of  Res. North/South (North of 53 parallel)]]="South",Table44[[#This Row],[Mandatory PHP &lt;18 Headcount]]*$G$7,IF(Table44[[#This Row],[FN of  Res. North/South (North of 53 parallel)]]="North",Table44[[#This Row],[Mandatory PHP &lt;18 Headcount]]*$H$7,0))</f>
        <v>0</v>
      </c>
      <c r="J23" s="397">
        <f>IF(Table44[[#This Row],[FN of  Res. North/South (North of 53 parallel)]]="South",SUM(Table44[[#This Row],[Mandatory PHP &lt;18 Headcount]:[Boarding School &lt;18 Headcount]])*$G$8,IF(Table44[[#This Row],[FN of  Res. North/South (North of 53 parallel)]]="North",SUM(Table44[[#This Row],[Mandatory PHP &lt;18 Headcount]:[Boarding School &lt;18 Headcount]])*$H$8,0))</f>
        <v>0</v>
      </c>
      <c r="K23" s="397">
        <f>$F$9*Table44[[#This Row],[5-Day Room &amp; Board &lt;18 Headcount]]</f>
        <v>0</v>
      </c>
      <c r="L23" s="413">
        <f>SUM(Table44[[#This Row],[PHP &amp; Residence Set Per Student Amount]:[5-Day Room &amp; Board Rate]])</f>
        <v>0</v>
      </c>
    </row>
    <row r="24" spans="1:12">
      <c r="A24" t="s">
        <v>72</v>
      </c>
      <c r="D24">
        <f>SUBTOTAL(109,Table44[Mandatory PHP &lt;18 Headcount])</f>
        <v>0</v>
      </c>
      <c r="E24">
        <f>SUBTOTAL(109,Table44[Student Residence &lt;18 Headcount])</f>
        <v>0</v>
      </c>
      <c r="F24">
        <f>SUBTOTAL(109,Table44[Boarding School &lt;18 Headcount])</f>
        <v>0</v>
      </c>
      <c r="G24">
        <f>SUBTOTAL(109,Table44[5-Day Room &amp; Board &lt;18 Headcount])</f>
        <v>0</v>
      </c>
      <c r="H24" s="1231">
        <f>SUBTOTAL(109,Table44[PHP &amp; Residence Set Per Student Amount])</f>
        <v>0</v>
      </c>
      <c r="I24" s="1231">
        <f>SUBTOTAL(109,Table44[PHP &amp; Residence Seasonal Transportation])</f>
        <v>0</v>
      </c>
      <c r="J24" s="1231">
        <f>SUBTOTAL(109,Table44[Travel Chaperones])</f>
        <v>0</v>
      </c>
      <c r="K24" s="1231">
        <f>SUBTOTAL(109,Table44[5-Day Room &amp; Board Rate])</f>
        <v>0</v>
      </c>
      <c r="L24" s="1231">
        <f>SUBTOTAL(109,Table44[TOTAL Board &amp; Room Band-Op Schools &lt;18])</f>
        <v>0</v>
      </c>
    </row>
  </sheetData>
  <mergeCells count="2">
    <mergeCell ref="A4:D4"/>
    <mergeCell ref="A6:D7"/>
  </mergeCell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6"/>
  <dimension ref="A2:N46"/>
  <sheetViews>
    <sheetView topLeftCell="A19" workbookViewId="0">
      <selection activeCell="L31" sqref="L31"/>
    </sheetView>
  </sheetViews>
  <sheetFormatPr baseColWidth="10" defaultColWidth="9.19921875" defaultRowHeight="14"/>
  <cols>
    <col min="1" max="1" width="21.19921875" customWidth="1"/>
    <col min="2" max="3" width="22.796875" customWidth="1"/>
    <col min="4" max="4" width="30.796875" customWidth="1"/>
    <col min="5" max="5" width="15.59765625" customWidth="1"/>
    <col min="6" max="6" width="14.19921875" customWidth="1"/>
    <col min="7" max="7" width="16.19921875" customWidth="1"/>
    <col min="8" max="8" width="12.19921875" customWidth="1"/>
    <col min="9" max="9" width="13.796875" customWidth="1"/>
    <col min="10" max="10" width="15.796875" customWidth="1"/>
    <col min="11" max="11" width="17.59765625" customWidth="1"/>
    <col min="12" max="12" width="11.796875" customWidth="1"/>
    <col min="13" max="13" width="21.796875" customWidth="1"/>
    <col min="14" max="14" width="19.59765625" customWidth="1"/>
    <col min="15" max="15" width="14.19921875" customWidth="1"/>
    <col min="17" max="17" width="13.59765625" customWidth="1"/>
    <col min="18" max="18" width="13.796875" customWidth="1"/>
  </cols>
  <sheetData>
    <row r="2" spans="1:14">
      <c r="A2" t="s">
        <v>465</v>
      </c>
    </row>
    <row r="3" spans="1:14" ht="19">
      <c r="A3" s="33" t="s">
        <v>491</v>
      </c>
      <c r="J3" s="33" t="s">
        <v>325</v>
      </c>
      <c r="M3" s="19"/>
    </row>
    <row r="4" spans="1:14" ht="63.75" customHeight="1">
      <c r="A4" s="1669" t="s">
        <v>492</v>
      </c>
      <c r="B4" s="1670"/>
      <c r="C4" s="1670"/>
      <c r="D4" s="1671"/>
      <c r="E4" s="147"/>
      <c r="F4" s="693"/>
      <c r="G4" s="694"/>
    </row>
    <row r="5" spans="1:14" ht="30.75" customHeight="1">
      <c r="A5" s="1672"/>
      <c r="B5" s="1673"/>
      <c r="C5" s="1673"/>
      <c r="D5" s="1674"/>
      <c r="E5" s="147"/>
      <c r="F5" s="693"/>
      <c r="G5" s="695"/>
      <c r="J5" s="1195" t="s">
        <v>328</v>
      </c>
      <c r="K5" s="1217">
        <v>2.9214806074316549E-2</v>
      </c>
    </row>
    <row r="6" spans="1:14" ht="27.75" customHeight="1">
      <c r="A6" s="1675" t="s">
        <v>493</v>
      </c>
      <c r="B6" s="1667"/>
      <c r="C6" s="1667"/>
      <c r="D6" s="1676"/>
      <c r="E6" s="75"/>
      <c r="F6" s="696"/>
      <c r="G6" s="697"/>
      <c r="L6" s="52"/>
      <c r="M6" s="52"/>
    </row>
    <row r="7" spans="1:14" ht="14.25" customHeight="1">
      <c r="A7" s="567" t="s">
        <v>494</v>
      </c>
      <c r="B7" s="52"/>
      <c r="C7" s="52"/>
      <c r="F7" s="553"/>
      <c r="G7" s="553"/>
      <c r="L7" s="52"/>
      <c r="M7" s="52"/>
    </row>
    <row r="8" spans="1:14">
      <c r="K8" s="685"/>
      <c r="L8" s="19"/>
      <c r="N8" s="20"/>
    </row>
    <row r="9" spans="1:14" ht="64">
      <c r="B9" s="959" t="s">
        <v>495</v>
      </c>
      <c r="C9" s="855" t="s">
        <v>496</v>
      </c>
      <c r="E9" s="1474" t="s">
        <v>497</v>
      </c>
      <c r="F9" s="1232" t="s">
        <v>498</v>
      </c>
      <c r="G9" s="1232" t="s">
        <v>499</v>
      </c>
      <c r="H9" s="1232" t="s">
        <v>500</v>
      </c>
      <c r="I9" s="1232" t="s">
        <v>501</v>
      </c>
      <c r="J9" s="1232" t="s">
        <v>502</v>
      </c>
      <c r="K9" s="1232" t="s">
        <v>503</v>
      </c>
      <c r="L9" s="1475" t="s">
        <v>504</v>
      </c>
    </row>
    <row r="10" spans="1:14" ht="43.25" customHeight="1">
      <c r="A10" s="1233" t="s">
        <v>505</v>
      </c>
      <c r="B10" s="1234">
        <v>309200</v>
      </c>
      <c r="C10" s="1234">
        <v>1590880.5</v>
      </c>
      <c r="E10" s="1476" t="s">
        <v>443</v>
      </c>
      <c r="F10" s="1235">
        <v>148</v>
      </c>
      <c r="G10" s="1236">
        <v>91.308431452158615</v>
      </c>
      <c r="H10" s="1159">
        <v>0.626</v>
      </c>
      <c r="I10" s="1236">
        <v>97.56</v>
      </c>
      <c r="J10" s="1159">
        <v>0.63900000000000001</v>
      </c>
      <c r="K10" s="1236">
        <v>478.95399106780349</v>
      </c>
      <c r="L10" s="1477">
        <v>519.75</v>
      </c>
    </row>
    <row r="11" spans="1:14" ht="32.25" customHeight="1">
      <c r="A11" s="1233" t="s">
        <v>506</v>
      </c>
      <c r="B11" s="1237">
        <v>2121</v>
      </c>
      <c r="C11" s="1237">
        <v>2121</v>
      </c>
      <c r="E11" s="853" t="s">
        <v>447</v>
      </c>
      <c r="F11" s="859">
        <v>771</v>
      </c>
      <c r="G11" s="860">
        <v>107.88364513104435</v>
      </c>
      <c r="H11">
        <v>0.74</v>
      </c>
      <c r="I11" s="860">
        <v>115.32</v>
      </c>
      <c r="J11">
        <v>0.67500000000000004</v>
      </c>
      <c r="K11" s="860">
        <v>506.16343706746443</v>
      </c>
      <c r="L11" s="24">
        <v>549.03</v>
      </c>
    </row>
    <row r="12" spans="1:14" ht="15">
      <c r="A12" s="1238" t="s">
        <v>507</v>
      </c>
      <c r="B12" s="1239">
        <v>145.78029231494577</v>
      </c>
      <c r="C12" s="1239">
        <v>750.06152758132953</v>
      </c>
      <c r="E12" s="853" t="s">
        <v>441</v>
      </c>
      <c r="F12" s="859">
        <v>14126.5</v>
      </c>
      <c r="G12" s="860">
        <v>145.78029231494577</v>
      </c>
      <c r="H12">
        <v>1</v>
      </c>
      <c r="I12" s="860">
        <v>155.84</v>
      </c>
      <c r="J12">
        <v>1</v>
      </c>
      <c r="K12" s="860">
        <v>750.06152758132953</v>
      </c>
      <c r="L12" s="24">
        <v>813.38</v>
      </c>
    </row>
    <row r="13" spans="1:14" ht="15">
      <c r="A13" s="856" t="s">
        <v>508</v>
      </c>
      <c r="B13" s="857">
        <v>2720698</v>
      </c>
      <c r="C13" s="858">
        <v>13998398</v>
      </c>
      <c r="E13" s="853" t="s">
        <v>442</v>
      </c>
      <c r="F13" s="859">
        <v>738</v>
      </c>
      <c r="G13" s="860">
        <v>105.09182334936598</v>
      </c>
      <c r="H13">
        <v>0.72099999999999997</v>
      </c>
      <c r="I13" s="860">
        <v>112.36</v>
      </c>
      <c r="J13">
        <v>0.84399999999999997</v>
      </c>
      <c r="K13" s="860">
        <v>633.0982291211194</v>
      </c>
      <c r="L13" s="24">
        <v>686.49</v>
      </c>
    </row>
    <row r="14" spans="1:14" ht="15">
      <c r="B14" s="854"/>
      <c r="C14" s="854"/>
      <c r="E14" s="853" t="s">
        <v>438</v>
      </c>
      <c r="F14" s="859">
        <v>153</v>
      </c>
      <c r="G14" s="860">
        <v>109.16073900797251</v>
      </c>
      <c r="H14">
        <v>0.749</v>
      </c>
      <c r="I14" s="860">
        <v>116.72</v>
      </c>
      <c r="J14">
        <v>0.61799999999999999</v>
      </c>
      <c r="K14" s="860">
        <v>463.8804315653793</v>
      </c>
      <c r="L14" s="24">
        <v>502.67</v>
      </c>
    </row>
    <row r="15" spans="1:14" ht="15">
      <c r="B15" s="854"/>
      <c r="C15" s="854"/>
      <c r="E15" s="853" t="s">
        <v>448</v>
      </c>
      <c r="F15" s="859">
        <v>1705</v>
      </c>
      <c r="G15" s="860">
        <v>109.91862830572508</v>
      </c>
      <c r="H15">
        <v>0.754</v>
      </c>
      <c r="I15" s="860">
        <v>117.5</v>
      </c>
      <c r="J15">
        <v>0.71599999999999997</v>
      </c>
      <c r="K15" s="860">
        <v>537.08317349607671</v>
      </c>
      <c r="L15" s="24">
        <v>582.38</v>
      </c>
    </row>
    <row r="16" spans="1:14" ht="15">
      <c r="B16" s="854"/>
      <c r="C16" s="854"/>
      <c r="E16" s="853" t="s">
        <v>446</v>
      </c>
      <c r="F16" s="859">
        <v>116.5</v>
      </c>
      <c r="G16" s="860">
        <v>109.14197720973206</v>
      </c>
      <c r="H16">
        <v>0.749</v>
      </c>
      <c r="I16" s="860">
        <v>116.72</v>
      </c>
      <c r="J16">
        <v>0.38300000000000001</v>
      </c>
      <c r="K16" s="860">
        <v>287.58965198644904</v>
      </c>
      <c r="L16" s="24">
        <v>311.52</v>
      </c>
    </row>
    <row r="17" spans="1:14" ht="15">
      <c r="B17" s="854"/>
      <c r="C17" s="854"/>
      <c r="E17" s="853" t="s">
        <v>445</v>
      </c>
      <c r="F17" s="859">
        <v>77</v>
      </c>
      <c r="G17" s="860">
        <v>107.97387875800887</v>
      </c>
      <c r="H17">
        <v>0.74099999999999999</v>
      </c>
      <c r="I17" s="860">
        <v>115.48</v>
      </c>
      <c r="J17">
        <v>0.46100000000000002</v>
      </c>
      <c r="K17" s="860">
        <v>345.76551996057168</v>
      </c>
      <c r="L17" s="24">
        <v>374.97</v>
      </c>
    </row>
    <row r="18" spans="1:14" ht="15">
      <c r="B18" s="854"/>
      <c r="C18" s="854"/>
      <c r="E18" s="853" t="s">
        <v>440</v>
      </c>
      <c r="F18" s="859">
        <v>14</v>
      </c>
      <c r="G18" s="860">
        <v>109.42717221933667</v>
      </c>
      <c r="H18">
        <v>0.751</v>
      </c>
      <c r="I18" s="860">
        <v>117.04</v>
      </c>
      <c r="J18">
        <v>0.48099999999999998</v>
      </c>
      <c r="K18" s="860">
        <v>360.90328708169483</v>
      </c>
      <c r="L18" s="24">
        <v>391.24</v>
      </c>
    </row>
    <row r="19" spans="1:14" ht="15">
      <c r="B19" s="854"/>
      <c r="C19" s="854"/>
      <c r="E19" s="853" t="s">
        <v>444</v>
      </c>
      <c r="F19" s="859">
        <v>107</v>
      </c>
      <c r="G19" s="860">
        <v>107.74105051856809</v>
      </c>
      <c r="H19">
        <v>0.73899999999999999</v>
      </c>
      <c r="I19" s="860">
        <v>115.17</v>
      </c>
      <c r="J19">
        <v>0.42199999999999999</v>
      </c>
      <c r="K19" s="860">
        <v>316.76295081967214</v>
      </c>
      <c r="L19" s="24">
        <v>343.25</v>
      </c>
    </row>
    <row r="20" spans="1:14" ht="15">
      <c r="B20" s="854"/>
      <c r="C20" s="854"/>
      <c r="E20" s="853" t="s">
        <v>449</v>
      </c>
      <c r="F20" s="859">
        <v>370</v>
      </c>
      <c r="G20" s="860">
        <v>109.24106545308526</v>
      </c>
      <c r="H20">
        <v>0.749</v>
      </c>
      <c r="I20" s="860">
        <v>116.72</v>
      </c>
      <c r="J20">
        <v>0.42499999999999999</v>
      </c>
      <c r="K20" s="860">
        <v>318.98210413599247</v>
      </c>
      <c r="L20" s="24">
        <v>345.69</v>
      </c>
    </row>
    <row r="21" spans="1:14" ht="15">
      <c r="B21" s="854"/>
      <c r="C21" s="854"/>
      <c r="E21" s="323" t="s">
        <v>451</v>
      </c>
      <c r="F21" s="864">
        <v>337</v>
      </c>
      <c r="G21" s="865">
        <v>97.512495448677626</v>
      </c>
      <c r="H21" s="73">
        <v>0.66900000000000004</v>
      </c>
      <c r="I21" s="865">
        <v>104.26</v>
      </c>
      <c r="J21" s="73">
        <v>0.71599999999999997</v>
      </c>
      <c r="K21" s="865">
        <v>536.69881831121108</v>
      </c>
      <c r="L21" s="830">
        <v>582.38</v>
      </c>
    </row>
    <row r="22" spans="1:14" ht="15">
      <c r="B22" s="854"/>
      <c r="C22" s="854"/>
      <c r="E22" s="863" t="s">
        <v>72</v>
      </c>
      <c r="F22" s="983">
        <f>SUM(F10:F21)</f>
        <v>18663</v>
      </c>
      <c r="G22" s="73"/>
      <c r="H22" s="73"/>
      <c r="I22" s="73"/>
      <c r="J22" s="73"/>
      <c r="K22" s="73"/>
      <c r="L22" s="830"/>
    </row>
    <row r="23" spans="1:14" ht="15">
      <c r="B23" s="854"/>
      <c r="C23" s="854"/>
    </row>
    <row r="24" spans="1:14" ht="15">
      <c r="B24" s="854"/>
      <c r="C24" s="854"/>
    </row>
    <row r="25" spans="1:14" ht="15">
      <c r="B25" s="854"/>
      <c r="C25" s="854"/>
      <c r="E25" s="861" t="s">
        <v>509</v>
      </c>
      <c r="F25" s="1450"/>
      <c r="G25" s="862">
        <f>ROUND($B$13/(SUMPRODUCT($F$10:$F$21,$H$10:$H$21)),2)</f>
        <v>155.84</v>
      </c>
    </row>
    <row r="26" spans="1:14" ht="15">
      <c r="A26" s="2"/>
      <c r="B26" s="2"/>
      <c r="C26" s="2"/>
    </row>
    <row r="27" spans="1:14">
      <c r="E27" s="861" t="s">
        <v>510</v>
      </c>
      <c r="F27" s="1450"/>
      <c r="G27" s="862">
        <f>ROUND(C13/(SUMPRODUCT($F$10:$F$21,$J$10:$J$21)),2)</f>
        <v>813.38</v>
      </c>
      <c r="N27" s="20"/>
    </row>
    <row r="28" spans="1:14" ht="15">
      <c r="A28" s="2"/>
      <c r="B28" s="2"/>
      <c r="C28" s="2"/>
      <c r="D28" s="2"/>
      <c r="E28" s="2"/>
      <c r="H28" s="19"/>
      <c r="I28" s="19"/>
    </row>
    <row r="29" spans="1:14" ht="48" customHeight="1">
      <c r="A29" s="113" t="s">
        <v>285</v>
      </c>
      <c r="B29" s="113" t="s">
        <v>286</v>
      </c>
      <c r="C29" s="113" t="s">
        <v>330</v>
      </c>
      <c r="D29" s="113" t="s">
        <v>331</v>
      </c>
      <c r="E29" s="113" t="s">
        <v>511</v>
      </c>
      <c r="F29" s="113" t="s">
        <v>332</v>
      </c>
      <c r="G29" s="122" t="s">
        <v>512</v>
      </c>
      <c r="H29" s="117" t="s">
        <v>513</v>
      </c>
      <c r="I29" s="700" t="s">
        <v>514</v>
      </c>
      <c r="J29" s="113" t="s">
        <v>365</v>
      </c>
      <c r="K29" s="129" t="s">
        <v>366</v>
      </c>
      <c r="L29" s="113" t="s">
        <v>458</v>
      </c>
      <c r="M29" s="1478" t="s">
        <v>515</v>
      </c>
    </row>
    <row r="30" spans="1:14">
      <c r="A30">
        <f>'A. 20-21 FN Schools Data'!A7</f>
        <v>272</v>
      </c>
      <c r="B30" t="str">
        <f>'A. 20-21 FN Schools Data'!B7</f>
        <v>Pinaymootang</v>
      </c>
      <c r="C30">
        <f>'A. 20-21 FN Schools Data'!C7</f>
        <v>1140</v>
      </c>
      <c r="D30" t="str">
        <f>'A. 20-21 FN Schools Data'!D7</f>
        <v>Pinaymootang School</v>
      </c>
      <c r="E30" t="str">
        <f>INDEX(TableAFNSchools[Proximate Provincial School Division],MATCH(Table13[[#This Row],[School '#]],TableAFNSchools[School No.],0))</f>
        <v>LAKESHORE</v>
      </c>
      <c r="F30" s="1">
        <f>INDEX(TableAFNSchools[Total Funded FTE],MATCH(Table13[[#This Row],[School '#]],TableAFNSchools[School No.],0))</f>
        <v>435</v>
      </c>
      <c r="G30" s="167">
        <f>INDEX($I$10:$I$21,MATCH(Table13[[#This Row],[Proximate School Divion ]],$E$10:$E$21,0))*Table13[[#This Row],[Eligible FTE]]</f>
        <v>48876.6</v>
      </c>
      <c r="H30" s="167">
        <f>INDEX($L$10:$L$21,MATCH(Table13[[#This Row],[Proximate School Divion ]],$E$10:$E$21,0))*Table13[[#This Row],[Eligible FTE]]</f>
        <v>298623.15000000002</v>
      </c>
      <c r="I30" s="698">
        <f>ROUND(Table13[[#This Row],[Level 2 and 3 Subtotal]]+Table13[[#This Row],[Coordinator/Clinician Subtotal]],0)</f>
        <v>347500</v>
      </c>
      <c r="J30" s="167">
        <f>'-B7-'!I11</f>
        <v>4160775</v>
      </c>
      <c r="K30" s="701">
        <f>ROUND(Table13[[#This Row],[Tax Base Envelope amount]]*$K$5,0)</f>
        <v>121556</v>
      </c>
      <c r="L30" s="74">
        <f>Table13[[#This Row],[Special Needs TOTAL ]]/Table13[[#This Row],[Eligible FTE]]</f>
        <v>798.85057471264372</v>
      </c>
      <c r="M30" s="707">
        <f>Table13[[#This Row],[Tax Base Total]]+Table13[[#This Row],[Special Needs TOTAL ]]</f>
        <v>469056</v>
      </c>
    </row>
    <row r="31" spans="1:14">
      <c r="A31">
        <f>'A. 20-21 FN Schools Data'!A8</f>
        <v>275</v>
      </c>
      <c r="B31" t="str">
        <f>'A. 20-21 FN Schools Data'!B8</f>
        <v>Lake St. Martin</v>
      </c>
      <c r="C31">
        <f>'A. 20-21 FN Schools Data'!C8</f>
        <v>1144</v>
      </c>
      <c r="D31" t="str">
        <f>'A. 20-21 FN Schools Data'!D8</f>
        <v>Lake St. Martin School</v>
      </c>
      <c r="E31" t="str">
        <f>INDEX(TableAFNSchools[Proximate Provincial School Division],MATCH(Table13[[#This Row],[School '#]],TableAFNSchools[School No.],0))</f>
        <v>FRONTIER</v>
      </c>
      <c r="F31" s="881">
        <f>INDEX(TableAFNSchools[Total Funded FTE],MATCH(Table13[[#This Row],[School '#]],TableAFNSchools[School No.],0))</f>
        <v>398</v>
      </c>
      <c r="G31" s="167">
        <f>INDEX($I$10:$I$21,MATCH(Table13[[#This Row],[Proximate School Divion ]],$E$10:$E$21,0))*Table13[[#This Row],[Eligible FTE]]</f>
        <v>62024.32</v>
      </c>
      <c r="H31" s="167">
        <f>INDEX($L$10:$L$21,MATCH(Table13[[#This Row],[Proximate School Divion ]],$E$10:$E$21,0))*Table13[[#This Row],[Eligible FTE]]</f>
        <v>323725.24</v>
      </c>
      <c r="I31" s="698">
        <f>ROUND(Table13[[#This Row],[Level 2 and 3 Subtotal]]+Table13[[#This Row],[Coordinator/Clinician Subtotal]],0)</f>
        <v>385750</v>
      </c>
      <c r="J31" s="616">
        <f>'-B7-'!I12</f>
        <v>4624760</v>
      </c>
      <c r="K31" s="702">
        <f>ROUND(Table13[[#This Row],[Tax Base Envelope amount]]*$K$5,0)</f>
        <v>135111</v>
      </c>
      <c r="L31" s="74">
        <f>Table13[[#This Row],[Special Needs TOTAL ]]/Table13[[#This Row],[Eligible FTE]]</f>
        <v>969.2211055276382</v>
      </c>
      <c r="M31" s="707">
        <f>Table13[[#This Row],[Tax Base Total]]+Table13[[#This Row],[Special Needs TOTAL ]]</f>
        <v>520861</v>
      </c>
    </row>
    <row r="32" spans="1:14">
      <c r="A32">
        <f>'A. 20-21 FN Schools Data'!A9</f>
        <v>267</v>
      </c>
      <c r="B32" t="str">
        <f>'A. 20-21 FN Schools Data'!B9</f>
        <v>Bloodvein</v>
      </c>
      <c r="C32">
        <f>'A. 20-21 FN Schools Data'!C9</f>
        <v>1148</v>
      </c>
      <c r="D32" t="str">
        <f>'A. 20-21 FN Schools Data'!D9</f>
        <v>Miskooseepi School</v>
      </c>
      <c r="E32" t="str">
        <f>INDEX(TableAFNSchools[Proximate Provincial School Division],MATCH(Table13[[#This Row],[School '#]],TableAFNSchools[School No.],0))</f>
        <v>FRONTIER</v>
      </c>
      <c r="F32" s="1">
        <f>INDEX(TableAFNSchools[Total Funded FTE],MATCH(Table13[[#This Row],[School '#]],TableAFNSchools[School No.],0))</f>
        <v>194</v>
      </c>
      <c r="G32" s="167">
        <f>INDEX($I$10:$I$21,MATCH(Table13[[#This Row],[Proximate School Divion ]],$E$10:$E$21,0))*Table13[[#This Row],[Eligible FTE]]</f>
        <v>30232.959999999999</v>
      </c>
      <c r="H32" s="167">
        <f>INDEX($L$10:$L$21,MATCH(Table13[[#This Row],[Proximate School Divion ]],$E$10:$E$21,0))*Table13[[#This Row],[Eligible FTE]]</f>
        <v>157795.72</v>
      </c>
      <c r="I32" s="698">
        <f>ROUND(Table13[[#This Row],[Level 2 and 3 Subtotal]]+Table13[[#This Row],[Coordinator/Clinician Subtotal]],0)</f>
        <v>188029</v>
      </c>
      <c r="J32" s="167">
        <f>'-B7-'!I13</f>
        <v>2254280</v>
      </c>
      <c r="K32" s="701">
        <f>ROUND(Table13[[#This Row],[Tax Base Envelope amount]]*$K$5,0)</f>
        <v>65858</v>
      </c>
      <c r="L32" s="74">
        <f>Table13[[#This Row],[Special Needs TOTAL ]]/Table13[[#This Row],[Eligible FTE]]</f>
        <v>969.2216494845361</v>
      </c>
      <c r="M32" s="707">
        <f>Table13[[#This Row],[Tax Base Total]]+Table13[[#This Row],[Special Needs TOTAL ]]</f>
        <v>253887</v>
      </c>
    </row>
    <row r="33" spans="1:13">
      <c r="A33">
        <f>'A. 20-21 FN Schools Data'!A10</f>
        <v>304</v>
      </c>
      <c r="B33" t="str">
        <f>'A. 20-21 FN Schools Data'!B10</f>
        <v>York Factory</v>
      </c>
      <c r="C33">
        <f>'A. 20-21 FN Schools Data'!C10</f>
        <v>1166</v>
      </c>
      <c r="D33" t="str">
        <f>'A. 20-21 FN Schools Data'!D10</f>
        <v>George Saunders Memorial School</v>
      </c>
      <c r="E33" t="str">
        <f>INDEX(TableAFNSchools[Proximate Provincial School Division],MATCH(Table13[[#This Row],[School '#]],TableAFNSchools[School No.],0))</f>
        <v>FRONTIER</v>
      </c>
      <c r="F33" s="1">
        <f>INDEX(TableAFNSchools[Total Funded FTE],MATCH(Table13[[#This Row],[School '#]],TableAFNSchools[School No.],0))</f>
        <v>142</v>
      </c>
      <c r="G33" s="167">
        <f>INDEX($I$10:$I$21,MATCH(Table13[[#This Row],[Proximate School Divion ]],$E$10:$E$21,0))*Table13[[#This Row],[Eligible FTE]]</f>
        <v>22129.279999999999</v>
      </c>
      <c r="H33" s="167">
        <f>INDEX($L$10:$L$21,MATCH(Table13[[#This Row],[Proximate School Divion ]],$E$10:$E$21,0))*Table13[[#This Row],[Eligible FTE]]</f>
        <v>115499.96</v>
      </c>
      <c r="I33" s="698">
        <f>ROUND(Table13[[#This Row],[Level 2 and 3 Subtotal]]+Table13[[#This Row],[Coordinator/Clinician Subtotal]],0)</f>
        <v>137629</v>
      </c>
      <c r="J33" s="167">
        <f>'-B7-'!I14</f>
        <v>1650040</v>
      </c>
      <c r="K33" s="701">
        <f>ROUND(Table13[[#This Row],[Tax Base Envelope amount]]*$K$5,0)</f>
        <v>48206</v>
      </c>
      <c r="L33" s="74">
        <f>Table13[[#This Row],[Special Needs TOTAL ]]/Table13[[#This Row],[Eligible FTE]]</f>
        <v>969.21830985915494</v>
      </c>
      <c r="M33" s="707">
        <f>Table13[[#This Row],[Tax Base Total]]+Table13[[#This Row],[Special Needs TOTAL ]]</f>
        <v>185835</v>
      </c>
    </row>
    <row r="34" spans="1:13">
      <c r="A34">
        <f>'A. 20-21 FN Schools Data'!A11</f>
        <v>271</v>
      </c>
      <c r="B34" t="str">
        <f>'A. 20-21 FN Schools Data'!B11</f>
        <v>Lake Manitoba</v>
      </c>
      <c r="C34">
        <f>'A. 20-21 FN Schools Data'!C11</f>
        <v>1345</v>
      </c>
      <c r="D34" t="str">
        <f>'A. 20-21 FN Schools Data'!D11</f>
        <v>Lake Manitoba School</v>
      </c>
      <c r="E34" t="str">
        <f>INDEX(TableAFNSchools[Proximate Provincial School Division],MATCH(Table13[[#This Row],[School '#]],TableAFNSchools[School No.],0))</f>
        <v>LAKESHORE</v>
      </c>
      <c r="F34" s="1">
        <f>INDEX(TableAFNSchools[Total Funded FTE],MATCH(Table13[[#This Row],[School '#]],TableAFNSchools[School No.],0))</f>
        <v>303</v>
      </c>
      <c r="G34" s="167">
        <f>INDEX($I$10:$I$21,MATCH(Table13[[#This Row],[Proximate School Divion ]],$E$10:$E$21,0))*Table13[[#This Row],[Eligible FTE]]</f>
        <v>34045.08</v>
      </c>
      <c r="H34" s="167">
        <f>INDEX($L$10:$L$21,MATCH(Table13[[#This Row],[Proximate School Divion ]],$E$10:$E$21,0))*Table13[[#This Row],[Eligible FTE]]</f>
        <v>208006.47</v>
      </c>
      <c r="I34" s="698">
        <f>ROUND(Table13[[#This Row],[Level 2 and 3 Subtotal]]+Table13[[#This Row],[Coordinator/Clinician Subtotal]],0)</f>
        <v>242052</v>
      </c>
      <c r="J34" s="167">
        <f>'-B7-'!I15</f>
        <v>2898195</v>
      </c>
      <c r="K34" s="701">
        <f>ROUND(Table13[[#This Row],[Tax Base Envelope amount]]*$K$5,0)</f>
        <v>84670</v>
      </c>
      <c r="L34" s="74">
        <f>Table13[[#This Row],[Special Needs TOTAL ]]/Table13[[#This Row],[Eligible FTE]]</f>
        <v>798.85148514851483</v>
      </c>
      <c r="M34" s="707">
        <f>Table13[[#This Row],[Tax Base Total]]+Table13[[#This Row],[Special Needs TOTAL ]]</f>
        <v>326722</v>
      </c>
    </row>
    <row r="35" spans="1:13">
      <c r="A35">
        <f>'A. 20-21 FN Schools Data'!A12</f>
        <v>295</v>
      </c>
      <c r="B35" t="str">
        <f>'A. 20-21 FN Schools Data'!B12</f>
        <v>Dakota Tipi</v>
      </c>
      <c r="C35">
        <f>'A. 20-21 FN Schools Data'!C12</f>
        <v>1350</v>
      </c>
      <c r="D35" t="str">
        <f>'A. 20-21 FN Schools Data'!D12</f>
        <v>Dakota Tipi School</v>
      </c>
      <c r="E35" t="str">
        <f>INDEX(TableAFNSchools[Proximate Provincial School Division],MATCH(Table13[[#This Row],[School '#]],TableAFNSchools[School No.],0))</f>
        <v>PORTAGE LA PRAIRIE</v>
      </c>
      <c r="F35" s="1">
        <f>INDEX(TableAFNSchools[Total Funded FTE],MATCH(Table13[[#This Row],[School '#]],TableAFNSchools[School No.],0))</f>
        <v>41</v>
      </c>
      <c r="G35" s="167">
        <f>INDEX($I$10:$I$21,MATCH(Table13[[#This Row],[Proximate School Divion ]],$E$10:$E$21,0))*Table13[[#This Row],[Eligible FTE]]</f>
        <v>4274.66</v>
      </c>
      <c r="H35" s="167">
        <f>INDEX($L$10:$L$21,MATCH(Table13[[#This Row],[Proximate School Divion ]],$E$10:$E$21,0))*Table13[[#This Row],[Eligible FTE]]</f>
        <v>23877.579999999998</v>
      </c>
      <c r="I35" s="698">
        <f>ROUND(Table13[[#This Row],[Level 2 and 3 Subtotal]]+Table13[[#This Row],[Coordinator/Clinician Subtotal]],0)</f>
        <v>28152</v>
      </c>
      <c r="J35" s="167">
        <f>'-B7-'!I16</f>
        <v>328492</v>
      </c>
      <c r="K35" s="701">
        <f>ROUND(Table13[[#This Row],[Tax Base Envelope amount]]*$K$5,0)</f>
        <v>9597</v>
      </c>
      <c r="L35" s="74">
        <f>Table13[[#This Row],[Special Needs TOTAL ]]/Table13[[#This Row],[Eligible FTE]]</f>
        <v>686.63414634146341</v>
      </c>
      <c r="M35" s="707">
        <f>Table13[[#This Row],[Tax Base Total]]+Table13[[#This Row],[Special Needs TOTAL ]]</f>
        <v>37749</v>
      </c>
    </row>
    <row r="36" spans="1:13">
      <c r="A36">
        <f>'A. 20-21 FN Schools Data'!A13</f>
        <v>288</v>
      </c>
      <c r="B36" t="str">
        <f>'A. 20-21 FN Schools Data'!B13</f>
        <v>Dakota Plains</v>
      </c>
      <c r="C36">
        <f>'A. 20-21 FN Schools Data'!C13</f>
        <v>1486</v>
      </c>
      <c r="D36" t="str">
        <f>'A. 20-21 FN Schools Data'!D13</f>
        <v>Mahpiya Hdega School</v>
      </c>
      <c r="E36" t="str">
        <f>INDEX(TableAFNSchools[Proximate Provincial School Division],MATCH(Table13[[#This Row],[School '#]],TableAFNSchools[School No.],0))</f>
        <v>PORTAGE LA PRAIRIE</v>
      </c>
      <c r="F36" s="1">
        <f>INDEX(TableAFNSchools[Total Funded FTE],MATCH(Table13[[#This Row],[School '#]],TableAFNSchools[School No.],0))</f>
        <v>86</v>
      </c>
      <c r="G36" s="167">
        <f>INDEX($I$10:$I$21,MATCH(Table13[[#This Row],[Proximate School Divion ]],$E$10:$E$21,0))*Table13[[#This Row],[Eligible FTE]]</f>
        <v>8966.36</v>
      </c>
      <c r="H36" s="167">
        <f>INDEX($L$10:$L$21,MATCH(Table13[[#This Row],[Proximate School Divion ]],$E$10:$E$21,0))*Table13[[#This Row],[Eligible FTE]]</f>
        <v>50084.68</v>
      </c>
      <c r="I36" s="698">
        <f>ROUND(Table13[[#This Row],[Level 2 and 3 Subtotal]]+Table13[[#This Row],[Coordinator/Clinician Subtotal]],0)</f>
        <v>59051</v>
      </c>
      <c r="J36" s="167">
        <f>'-B7-'!I17</f>
        <v>689032</v>
      </c>
      <c r="K36" s="701">
        <f>ROUND(Table13[[#This Row],[Tax Base Envelope amount]]*$K$5,0)</f>
        <v>20130</v>
      </c>
      <c r="L36" s="74">
        <f>Table13[[#This Row],[Special Needs TOTAL ]]/Table13[[#This Row],[Eligible FTE]]</f>
        <v>686.6395348837209</v>
      </c>
      <c r="M36" s="707">
        <f>Table13[[#This Row],[Tax Base Total]]+Table13[[#This Row],[Special Needs TOTAL ]]</f>
        <v>79181</v>
      </c>
    </row>
    <row r="37" spans="1:13">
      <c r="A37">
        <f>'A. 20-21 FN Schools Data'!A14</f>
        <v>261</v>
      </c>
      <c r="B37" t="str">
        <f>'A. 20-21 FN Schools Data'!B14</f>
        <v>Brokenhead</v>
      </c>
      <c r="C37">
        <f>'A. 20-21 FN Schools Data'!C14</f>
        <v>1756</v>
      </c>
      <c r="D37" t="str">
        <f>'A. 20-21 FN Schools Data'!D14</f>
        <v>Sergeant Tommy Prince School</v>
      </c>
      <c r="E37" t="str">
        <f>INDEX(TableAFNSchools[Proximate Provincial School Division],MATCH(Table13[[#This Row],[School '#]],TableAFNSchools[School No.],0))</f>
        <v>LORD SELKIRK</v>
      </c>
      <c r="F37" s="1">
        <f>INDEX(TableAFNSchools[Total Funded FTE],MATCH(Table13[[#This Row],[School '#]],TableAFNSchools[School No.],0))</f>
        <v>123</v>
      </c>
      <c r="G37" s="167">
        <f>INDEX($I$10:$I$21,MATCH(Table13[[#This Row],[Proximate School Divion ]],$E$10:$E$21,0))*Table13[[#This Row],[Eligible FTE]]</f>
        <v>11999.880000000001</v>
      </c>
      <c r="H37" s="167">
        <f>INDEX($L$10:$L$21,MATCH(Table13[[#This Row],[Proximate School Divion ]],$E$10:$E$21,0))*Table13[[#This Row],[Eligible FTE]]</f>
        <v>63929.25</v>
      </c>
      <c r="I37" s="698">
        <f>ROUND(Table13[[#This Row],[Level 2 and 3 Subtotal]]+Table13[[#This Row],[Coordinator/Clinician Subtotal]],0)</f>
        <v>75929</v>
      </c>
      <c r="J37" s="167">
        <f>'-B7-'!I18</f>
        <v>1293468</v>
      </c>
      <c r="K37" s="701">
        <f>ROUND(Table13[[#This Row],[Tax Base Envelope amount]]*$K$5,0)</f>
        <v>37788</v>
      </c>
      <c r="L37" s="74">
        <f>Table13[[#This Row],[Special Needs TOTAL ]]/Table13[[#This Row],[Eligible FTE]]</f>
        <v>617.30894308943084</v>
      </c>
      <c r="M37" s="707">
        <f>Table13[[#This Row],[Tax Base Total]]+Table13[[#This Row],[Special Needs TOTAL ]]</f>
        <v>113717</v>
      </c>
    </row>
    <row r="38" spans="1:13">
      <c r="A38">
        <f>'A. 20-21 FN Schools Data'!A15</f>
        <v>273</v>
      </c>
      <c r="B38" t="str">
        <f>'A. 20-21 FN Schools Data'!B15</f>
        <v>Roseau River</v>
      </c>
      <c r="C38">
        <f>'A. 20-21 FN Schools Data'!C15</f>
        <v>5717</v>
      </c>
      <c r="D38" t="str">
        <f>'A. 20-21 FN Schools Data'!D15</f>
        <v>Ginew School</v>
      </c>
      <c r="E38" t="str">
        <f>INDEX(TableAFNSchools[Proximate Provincial School Division],MATCH(Table13[[#This Row],[School '#]],TableAFNSchools[School No.],0))</f>
        <v>BORDER LAND</v>
      </c>
      <c r="F38" s="1">
        <f>INDEX(TableAFNSchools[Total Funded FTE],MATCH(Table13[[#This Row],[School '#]],TableAFNSchools[School No.],0))</f>
        <v>153</v>
      </c>
      <c r="G38" s="167">
        <f>INDEX($I$10:$I$21,MATCH(Table13[[#This Row],[Proximate School Divion ]],$E$10:$E$21,0))*Table13[[#This Row],[Eligible FTE]]</f>
        <v>17858.16</v>
      </c>
      <c r="H38" s="167">
        <f>INDEX($L$10:$L$21,MATCH(Table13[[#This Row],[Proximate School Divion ]],$E$10:$E$21,0))*Table13[[#This Row],[Eligible FTE]]</f>
        <v>76908.510000000009</v>
      </c>
      <c r="I38" s="698">
        <f>ROUND(Table13[[#This Row],[Level 2 and 3 Subtotal]]+Table13[[#This Row],[Coordinator/Clinician Subtotal]],0)</f>
        <v>94767</v>
      </c>
      <c r="J38" s="167">
        <f>'-B7-'!I19</f>
        <v>1575594</v>
      </c>
      <c r="K38" s="701">
        <f>ROUND(Table13[[#This Row],[Tax Base Envelope amount]]*$K$5,0)</f>
        <v>46031</v>
      </c>
      <c r="L38" s="74">
        <f>Table13[[#This Row],[Special Needs TOTAL ]]/Table13[[#This Row],[Eligible FTE]]</f>
        <v>619.39215686274508</v>
      </c>
      <c r="M38" s="707">
        <f>Table13[[#This Row],[Tax Base Total]]+Table13[[#This Row],[Special Needs TOTAL ]]</f>
        <v>140798</v>
      </c>
    </row>
    <row r="39" spans="1:13">
      <c r="A39">
        <f>'A. 20-21 FN Schools Data'!A16</f>
        <v>305</v>
      </c>
      <c r="B39" t="str">
        <f>'A. 20-21 FN Schools Data'!B16</f>
        <v>Fox Lake</v>
      </c>
      <c r="C39">
        <f>'A. 20-21 FN Schools Data'!C16</f>
        <v>6413</v>
      </c>
      <c r="D39" t="str">
        <f>'A. 20-21 FN Schools Data'!D16</f>
        <v>Fox Lake School</v>
      </c>
      <c r="E39" t="str">
        <f>INDEX(TableAFNSchools[Proximate Provincial School Division],MATCH(Table13[[#This Row],[School '#]],TableAFNSchools[School No.],0))</f>
        <v>FRONTIER</v>
      </c>
      <c r="F39" s="1">
        <f>INDEX(TableAFNSchools[Total Funded FTE],MATCH(Table13[[#This Row],[School '#]],TableAFNSchools[School No.],0))</f>
        <v>27</v>
      </c>
      <c r="G39" s="167">
        <f>INDEX($I$10:$I$21,MATCH(Table13[[#This Row],[Proximate School Divion ]],$E$10:$E$21,0))*Table13[[#This Row],[Eligible FTE]]</f>
        <v>4207.68</v>
      </c>
      <c r="H39" s="167">
        <f>INDEX($L$10:$L$21,MATCH(Table13[[#This Row],[Proximate School Divion ]],$E$10:$E$21,0))*Table13[[#This Row],[Eligible FTE]]</f>
        <v>21961.26</v>
      </c>
      <c r="I39" s="698">
        <f>ROUND(Table13[[#This Row],[Level 2 and 3 Subtotal]]+Table13[[#This Row],[Coordinator/Clinician Subtotal]],0)</f>
        <v>26169</v>
      </c>
      <c r="J39" s="167">
        <f>'-B7-'!I20</f>
        <v>313740</v>
      </c>
      <c r="K39" s="701">
        <f>ROUND(Table13[[#This Row],[Tax Base Envelope amount]]*$K$5,0)</f>
        <v>9166</v>
      </c>
      <c r="L39" s="74">
        <f>Table13[[#This Row],[Special Needs TOTAL ]]/Table13[[#This Row],[Eligible FTE]]</f>
        <v>969.22222222222217</v>
      </c>
      <c r="M39" s="707">
        <f>Table13[[#This Row],[Tax Base Total]]+Table13[[#This Row],[Special Needs TOTAL ]]</f>
        <v>35335</v>
      </c>
    </row>
    <row r="40" spans="1:13">
      <c r="A40">
        <f>'A. 20-21 FN Schools Data'!A17</f>
        <v>286</v>
      </c>
      <c r="B40" t="str">
        <f>'A. 20-21 FN Schools Data'!B17</f>
        <v>Keeseekoowenin</v>
      </c>
      <c r="C40">
        <f>'A. 20-21 FN Schools Data'!C17</f>
        <v>8990</v>
      </c>
      <c r="D40" t="str">
        <f>'A. 20-21 FN Schools Data'!D17</f>
        <v>Keeseekoowenin School</v>
      </c>
      <c r="E40" t="str">
        <f>INDEX(TableAFNSchools[Proximate Provincial School Division],MATCH(Table13[[#This Row],[School '#]],TableAFNSchools[School No.],0))</f>
        <v>ROLLING RIVER</v>
      </c>
      <c r="F40" s="1">
        <f>INDEX(TableAFNSchools[Total Funded FTE],MATCH(Table13[[#This Row],[School '#]],TableAFNSchools[School No.],0))</f>
        <v>99</v>
      </c>
      <c r="G40" s="167">
        <f>INDEX($I$10:$I$21,MATCH(Table13[[#This Row],[Proximate School Divion ]],$E$10:$E$21,0))*Table13[[#This Row],[Eligible FTE]]</f>
        <v>11555.28</v>
      </c>
      <c r="H40" s="167">
        <f>INDEX($L$10:$L$21,MATCH(Table13[[#This Row],[Proximate School Divion ]],$E$10:$E$21,0))*Table13[[#This Row],[Eligible FTE]]</f>
        <v>30840.48</v>
      </c>
      <c r="I40" s="698">
        <f>ROUND(Table13[[#This Row],[Level 2 and 3 Subtotal]]+Table13[[#This Row],[Coordinator/Clinician Subtotal]],0)</f>
        <v>42396</v>
      </c>
      <c r="J40" s="167">
        <f>'-B7-'!I21</f>
        <v>865656</v>
      </c>
      <c r="K40" s="701">
        <f>ROUND(Table13[[#This Row],[Tax Base Envelope amount]]*$K$5,0)</f>
        <v>25290</v>
      </c>
      <c r="L40" s="74">
        <f>Table13[[#This Row],[Special Needs TOTAL ]]/Table13[[#This Row],[Eligible FTE]]</f>
        <v>428.24242424242425</v>
      </c>
      <c r="M40" s="707">
        <f>Table13[[#This Row],[Tax Base Total]]+Table13[[#This Row],[Special Needs TOTAL ]]</f>
        <v>67686</v>
      </c>
    </row>
    <row r="41" spans="1:13">
      <c r="A41">
        <f>'A. 20-21 FN Schools Data'!A18</f>
        <v>261</v>
      </c>
      <c r="B41" t="str">
        <f>'A. 20-21 FN Schools Data'!B18</f>
        <v>Brokenhead</v>
      </c>
      <c r="C41">
        <f>'A. 20-21 FN Schools Data'!C18</f>
        <v>50250</v>
      </c>
      <c r="D41" t="str">
        <f>'A. 20-21 FN Schools Data'!D18</f>
        <v>Brokenhead Ojibway Nation Adult Learning Centre</v>
      </c>
      <c r="E41" t="str">
        <f>INDEX(TableAFNSchools[Proximate Provincial School Division],MATCH(Table13[[#This Row],[School '#]],TableAFNSchools[School No.],0))</f>
        <v>LORD SELKIRK</v>
      </c>
      <c r="F41" s="1">
        <f>INDEX(TableAFNSchools[Total Funded FTE],MATCH(Table13[[#This Row],[School '#]],TableAFNSchools[School No.],0))</f>
        <v>25</v>
      </c>
      <c r="G41" s="167">
        <f>INDEX($I$10:$I$21,MATCH(Table13[[#This Row],[Proximate School Divion ]],$E$10:$E$21,0))*Table13[[#This Row],[Eligible FTE]]</f>
        <v>2439</v>
      </c>
      <c r="H41" s="167">
        <f>INDEX($L$10:$L$21,MATCH(Table13[[#This Row],[Proximate School Divion ]],$E$10:$E$21,0))*Table13[[#This Row],[Eligible FTE]]</f>
        <v>12993.75</v>
      </c>
      <c r="I41" s="698">
        <f>ROUND(Table13[[#This Row],[Level 2 and 3 Subtotal]]+Table13[[#This Row],[Coordinator/Clinician Subtotal]],0)</f>
        <v>15433</v>
      </c>
      <c r="J41" s="167">
        <f>'-B7-'!I22</f>
        <v>262900</v>
      </c>
      <c r="K41" s="1240">
        <f>ROUND(Table13[[#This Row],[Tax Base Envelope amount]]*$K$5,0)</f>
        <v>7681</v>
      </c>
      <c r="L41" s="74">
        <f>Table13[[#This Row],[Special Needs TOTAL ]]/Table13[[#This Row],[Eligible FTE]]</f>
        <v>617.32000000000005</v>
      </c>
      <c r="M41" s="707">
        <f>Table13[[#This Row],[Tax Base Total]]+Table13[[#This Row],[Special Needs TOTAL ]]</f>
        <v>23114</v>
      </c>
    </row>
    <row r="42" spans="1:13">
      <c r="A42" t="s">
        <v>72</v>
      </c>
      <c r="F42" s="1197">
        <f>SUBTOTAL(109,Table13[Eligible FTE])</f>
        <v>2026</v>
      </c>
      <c r="G42" s="1241">
        <f>SUBTOTAL(109,Table13[Coordinator/Clinician Subtotal])</f>
        <v>258609.26</v>
      </c>
      <c r="H42" s="74">
        <f>SUBTOTAL(109,Table13[Level 2 and 3 Subtotal])</f>
        <v>1384246.05</v>
      </c>
      <c r="I42" s="699">
        <f>SUBTOTAL(109,Table13[[Special Needs TOTAL ]])</f>
        <v>1642857</v>
      </c>
      <c r="J42" s="74">
        <f>SUBTOTAL(109,Table13[Tax Base Envelope amount])</f>
        <v>20916932</v>
      </c>
      <c r="K42" s="1242">
        <f>SUM(K30:K41)</f>
        <v>611084</v>
      </c>
      <c r="M42" s="1462">
        <f>SUM(M30:M41)</f>
        <v>2253941</v>
      </c>
    </row>
    <row r="43" spans="1:13">
      <c r="G43" s="1"/>
      <c r="M43" s="34"/>
    </row>
    <row r="44" spans="1:13">
      <c r="M44" s="34"/>
    </row>
    <row r="45" spans="1:13">
      <c r="M45" s="34"/>
    </row>
    <row r="46" spans="1:13">
      <c r="M46" s="34"/>
    </row>
  </sheetData>
  <mergeCells count="2">
    <mergeCell ref="A4:D5"/>
    <mergeCell ref="A6:D6"/>
  </mergeCells>
  <hyperlinks>
    <hyperlink ref="A7" r:id="rId1" display="Source: FRAME 2020-21 Budget, Tab 52" xr:uid="{00000000-0004-0000-1800-000000000000}"/>
  </hyperlinks>
  <pageMargins left="0.7" right="0.7" top="0.75" bottom="0.75" header="0.3" footer="0.3"/>
  <pageSetup orientation="portrait" r:id="rId2"/>
  <headerFooter>
    <oddHeader>&amp;LMFNERC First Nations School System 2017-18&amp;RE&amp;&amp;OE</oddHeader>
  </headerFooter>
  <legacyDrawing r:id="rId3"/>
  <tableParts count="1">
    <tablePart r:id="rId4"/>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7"/>
  <dimension ref="A2:G24"/>
  <sheetViews>
    <sheetView topLeftCell="A16" workbookViewId="0">
      <selection activeCell="G12" sqref="G12"/>
    </sheetView>
  </sheetViews>
  <sheetFormatPr baseColWidth="10" defaultColWidth="9.19921875" defaultRowHeight="14"/>
  <cols>
    <col min="2" max="2" width="18.796875" customWidth="1"/>
    <col min="3" max="3" width="8.3984375" customWidth="1"/>
    <col min="4" max="4" width="29" customWidth="1"/>
    <col min="5" max="5" width="19" customWidth="1"/>
    <col min="6" max="6" width="15.796875" customWidth="1"/>
    <col min="7" max="7" width="14.59765625" customWidth="1"/>
  </cols>
  <sheetData>
    <row r="2" spans="1:7">
      <c r="A2" t="s">
        <v>465</v>
      </c>
    </row>
    <row r="3" spans="1:7" ht="19">
      <c r="A3" s="33" t="s">
        <v>516</v>
      </c>
    </row>
    <row r="4" spans="1:7" ht="39.75" customHeight="1">
      <c r="A4" s="1678" t="s">
        <v>517</v>
      </c>
      <c r="B4" s="1662"/>
      <c r="C4" s="1662"/>
      <c r="D4" s="1662"/>
      <c r="E4" s="1243" t="s">
        <v>518</v>
      </c>
      <c r="F4" s="1244">
        <f>'E.3. Prov Data'!AR37</f>
        <v>817218</v>
      </c>
    </row>
    <row r="5" spans="1:7" ht="39" customHeight="1">
      <c r="A5" s="1655" t="s">
        <v>519</v>
      </c>
      <c r="B5" s="1656"/>
      <c r="C5" s="1656"/>
      <c r="D5" s="1656"/>
      <c r="E5" s="1243" t="s">
        <v>520</v>
      </c>
      <c r="F5" s="1245">
        <f>'E.3. Prov Data'!CP46</f>
        <v>2704</v>
      </c>
      <c r="G5" s="35"/>
    </row>
    <row r="6" spans="1:7" ht="30">
      <c r="A6" s="1677" t="s">
        <v>521</v>
      </c>
      <c r="B6" s="1657"/>
      <c r="C6" s="1657"/>
      <c r="D6" s="1657"/>
      <c r="E6" s="1246" t="s">
        <v>522</v>
      </c>
      <c r="F6" s="1247">
        <f>ROUND(F4/F5,2)</f>
        <v>302.23</v>
      </c>
      <c r="G6" s="52"/>
    </row>
    <row r="7" spans="1:7" ht="24" customHeight="1">
      <c r="A7" s="556" t="s">
        <v>523</v>
      </c>
      <c r="B7" s="35"/>
      <c r="C7" s="35"/>
      <c r="D7" s="35"/>
      <c r="G7" s="52"/>
    </row>
    <row r="8" spans="1:7" ht="15">
      <c r="A8" s="567" t="s">
        <v>524</v>
      </c>
    </row>
    <row r="9" spans="1:7" ht="15">
      <c r="B9" s="2"/>
      <c r="C9" s="2"/>
      <c r="D9" s="2"/>
    </row>
    <row r="10" spans="1:7" ht="42" customHeight="1">
      <c r="A10" s="113" t="s">
        <v>285</v>
      </c>
      <c r="B10" s="113" t="s">
        <v>286</v>
      </c>
      <c r="C10" s="113" t="s">
        <v>330</v>
      </c>
      <c r="D10" s="113" t="s">
        <v>331</v>
      </c>
      <c r="E10" s="117" t="s">
        <v>525</v>
      </c>
      <c r="F10" s="743" t="s">
        <v>322</v>
      </c>
      <c r="G10" s="113" t="s">
        <v>458</v>
      </c>
    </row>
    <row r="11" spans="1:7">
      <c r="A11">
        <f>'A. 20-21 FN Schools Data'!A7</f>
        <v>272</v>
      </c>
      <c r="B11" t="str">
        <f>'A. 20-21 FN Schools Data'!B7</f>
        <v>Pinaymootang</v>
      </c>
      <c r="C11">
        <f>'A. 20-21 FN Schools Data'!C7</f>
        <v>1140</v>
      </c>
      <c r="D11" t="str">
        <f>'A. 20-21 FN Schools Data'!D7</f>
        <v>Pinaymootang School</v>
      </c>
      <c r="E11"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88</v>
      </c>
      <c r="F11" s="707">
        <f>ROUND(Table14[[#This Row],[Gr 11-12 Headcount]]*FundingRate_SrYrTech,0)</f>
        <v>26596</v>
      </c>
      <c r="G11" s="19">
        <f>Table14[[#This Row],[TOTAL]]/Table14[[#This Row],[Gr 11-12 Headcount]]</f>
        <v>302.22727272727275</v>
      </c>
    </row>
    <row r="12" spans="1:7">
      <c r="A12">
        <f>'A. 20-21 FN Schools Data'!A8</f>
        <v>275</v>
      </c>
      <c r="B12" t="str">
        <f>'A. 20-21 FN Schools Data'!B8</f>
        <v>Lake St. Martin</v>
      </c>
      <c r="C12">
        <f>'A. 20-21 FN Schools Data'!C8</f>
        <v>1144</v>
      </c>
      <c r="D12" t="str">
        <f>'A. 20-21 FN Schools Data'!D8</f>
        <v>Lake St. Martin School</v>
      </c>
      <c r="E12"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17</v>
      </c>
      <c r="F12" s="707">
        <f>ROUND(Table14[[#This Row],[Gr 11-12 Headcount]]*FundingRate_SrYrTech,0)</f>
        <v>5138</v>
      </c>
      <c r="G12" s="19">
        <f>Table14[[#This Row],[TOTAL]]/Table14[[#This Row],[Gr 11-12 Headcount]]</f>
        <v>302.23529411764707</v>
      </c>
    </row>
    <row r="13" spans="1:7">
      <c r="A13">
        <f>'A. 20-21 FN Schools Data'!A9</f>
        <v>267</v>
      </c>
      <c r="B13" t="str">
        <f>'A. 20-21 FN Schools Data'!B9</f>
        <v>Bloodvein</v>
      </c>
      <c r="C13">
        <f>'A. 20-21 FN Schools Data'!C9</f>
        <v>1148</v>
      </c>
      <c r="D13" t="str">
        <f>'A. 20-21 FN Schools Data'!D9</f>
        <v>Miskooseepi School</v>
      </c>
      <c r="E13"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2</v>
      </c>
      <c r="F13" s="707">
        <f>ROUND(Table14[[#This Row],[Gr 11-12 Headcount]]*FundingRate_SrYrTech,0)</f>
        <v>604</v>
      </c>
      <c r="G13" s="19">
        <f>Table14[[#This Row],[TOTAL]]/Table14[[#This Row],[Gr 11-12 Headcount]]</f>
        <v>302</v>
      </c>
    </row>
    <row r="14" spans="1:7">
      <c r="A14">
        <f>'A. 20-21 FN Schools Data'!A10</f>
        <v>304</v>
      </c>
      <c r="B14" t="str">
        <f>'A. 20-21 FN Schools Data'!B10</f>
        <v>York Factory</v>
      </c>
      <c r="C14">
        <f>'A. 20-21 FN Schools Data'!C10</f>
        <v>1166</v>
      </c>
      <c r="D14" t="str">
        <f>'A. 20-21 FN Schools Data'!D10</f>
        <v>George Saunders Memorial School</v>
      </c>
      <c r="E14"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9</v>
      </c>
      <c r="F14" s="707">
        <f>ROUND(Table14[[#This Row],[Gr 11-12 Headcount]]*FundingRate_SrYrTech,0)</f>
        <v>2720</v>
      </c>
      <c r="G14" s="19">
        <f>Table14[[#This Row],[TOTAL]]/Table14[[#This Row],[Gr 11-12 Headcount]]</f>
        <v>302.22222222222223</v>
      </c>
    </row>
    <row r="15" spans="1:7">
      <c r="A15">
        <f>'A. 20-21 FN Schools Data'!A11</f>
        <v>271</v>
      </c>
      <c r="B15" t="str">
        <f>'A. 20-21 FN Schools Data'!B11</f>
        <v>Lake Manitoba</v>
      </c>
      <c r="C15">
        <f>'A. 20-21 FN Schools Data'!C11</f>
        <v>1345</v>
      </c>
      <c r="D15" t="str">
        <f>'A. 20-21 FN Schools Data'!D11</f>
        <v>Lake Manitoba School</v>
      </c>
      <c r="E15"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48</v>
      </c>
      <c r="F15" s="707">
        <f>ROUND(Table14[[#This Row],[Gr 11-12 Headcount]]*FundingRate_SrYrTech,0)</f>
        <v>14507</v>
      </c>
      <c r="G15" s="19">
        <f>Table14[[#This Row],[TOTAL]]/Table14[[#This Row],[Gr 11-12 Headcount]]</f>
        <v>302.22916666666669</v>
      </c>
    </row>
    <row r="16" spans="1:7">
      <c r="A16">
        <f>'A. 20-21 FN Schools Data'!A12</f>
        <v>295</v>
      </c>
      <c r="B16" t="str">
        <f>'A. 20-21 FN Schools Data'!B12</f>
        <v>Dakota Tipi</v>
      </c>
      <c r="C16">
        <f>'A. 20-21 FN Schools Data'!C12</f>
        <v>1350</v>
      </c>
      <c r="D16" t="str">
        <f>'A. 20-21 FN Schools Data'!D12</f>
        <v>Dakota Tipi School</v>
      </c>
      <c r="E16"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4</v>
      </c>
      <c r="F16" s="707">
        <f>ROUND(Table14[[#This Row],[Gr 11-12 Headcount]]*FundingRate_SrYrTech,0)</f>
        <v>1209</v>
      </c>
      <c r="G16" s="19">
        <f>Table14[[#This Row],[TOTAL]]/Table14[[#This Row],[Gr 11-12 Headcount]]</f>
        <v>302.25</v>
      </c>
    </row>
    <row r="17" spans="1:7">
      <c r="A17">
        <f>'A. 20-21 FN Schools Data'!A13</f>
        <v>288</v>
      </c>
      <c r="B17" t="str">
        <f>'A. 20-21 FN Schools Data'!B13</f>
        <v>Dakota Plains</v>
      </c>
      <c r="C17">
        <f>'A. 20-21 FN Schools Data'!C13</f>
        <v>1486</v>
      </c>
      <c r="D17" t="str">
        <f>'A. 20-21 FN Schools Data'!D13</f>
        <v>Mahpiya Hdega School</v>
      </c>
      <c r="E17"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17" s="707">
        <f>ROUND(Table14[[#This Row],[Gr 11-12 Headcount]]*FundingRate_SrYrTech,0)</f>
        <v>0</v>
      </c>
      <c r="G17" s="19" t="e">
        <f>Table14[[#This Row],[TOTAL]]/Table14[[#This Row],[Gr 11-12 Headcount]]</f>
        <v>#DIV/0!</v>
      </c>
    </row>
    <row r="18" spans="1:7">
      <c r="A18">
        <f>'A. 20-21 FN Schools Data'!A14</f>
        <v>261</v>
      </c>
      <c r="B18" t="str">
        <f>'A. 20-21 FN Schools Data'!B14</f>
        <v>Brokenhead</v>
      </c>
      <c r="C18">
        <f>'A. 20-21 FN Schools Data'!C14</f>
        <v>1756</v>
      </c>
      <c r="D18" t="str">
        <f>'A. 20-21 FN Schools Data'!D14</f>
        <v>Sergeant Tommy Prince School</v>
      </c>
      <c r="E18"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8</v>
      </c>
      <c r="F18" s="707">
        <f>ROUND(Table14[[#This Row],[Gr 11-12 Headcount]]*FundingRate_SrYrTech,0)</f>
        <v>2418</v>
      </c>
      <c r="G18" s="19">
        <f>Table14[[#This Row],[TOTAL]]/Table14[[#This Row],[Gr 11-12 Headcount]]</f>
        <v>302.25</v>
      </c>
    </row>
    <row r="19" spans="1:7">
      <c r="A19">
        <f>'A. 20-21 FN Schools Data'!A15</f>
        <v>273</v>
      </c>
      <c r="B19" t="str">
        <f>'A. 20-21 FN Schools Data'!B15</f>
        <v>Roseau River</v>
      </c>
      <c r="C19">
        <f>'A. 20-21 FN Schools Data'!C15</f>
        <v>5717</v>
      </c>
      <c r="D19" t="str">
        <f>'A. 20-21 FN Schools Data'!D15</f>
        <v>Ginew School</v>
      </c>
      <c r="E19"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19" s="707">
        <f>ROUND(Table14[[#This Row],[Gr 11-12 Headcount]]*FundingRate_SrYrTech,0)</f>
        <v>0</v>
      </c>
      <c r="G19" s="19" t="e">
        <f>Table14[[#This Row],[TOTAL]]/Table14[[#This Row],[Gr 11-12 Headcount]]</f>
        <v>#DIV/0!</v>
      </c>
    </row>
    <row r="20" spans="1:7">
      <c r="A20">
        <f>'A. 20-21 FN Schools Data'!A16</f>
        <v>305</v>
      </c>
      <c r="B20" t="str">
        <f>'A. 20-21 FN Schools Data'!B16</f>
        <v>Fox Lake</v>
      </c>
      <c r="C20">
        <f>'A. 20-21 FN Schools Data'!C16</f>
        <v>6413</v>
      </c>
      <c r="D20" t="str">
        <f>'A. 20-21 FN Schools Data'!D16</f>
        <v>Fox Lake School</v>
      </c>
      <c r="E20"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20" s="707">
        <f>ROUND(Table14[[#This Row],[Gr 11-12 Headcount]]*FundingRate_SrYrTech,0)</f>
        <v>0</v>
      </c>
      <c r="G20" s="19" t="e">
        <f>Table14[[#This Row],[TOTAL]]/Table14[[#This Row],[Gr 11-12 Headcount]]</f>
        <v>#DIV/0!</v>
      </c>
    </row>
    <row r="21" spans="1:7">
      <c r="A21">
        <f>'A. 20-21 FN Schools Data'!A17</f>
        <v>286</v>
      </c>
      <c r="B21" t="str">
        <f>'A. 20-21 FN Schools Data'!B17</f>
        <v>Keeseekoowenin</v>
      </c>
      <c r="C21">
        <f>'A. 20-21 FN Schools Data'!C17</f>
        <v>8990</v>
      </c>
      <c r="D21" t="str">
        <f>'A. 20-21 FN Schools Data'!D17</f>
        <v>Keeseekoowenin School</v>
      </c>
      <c r="E21"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0</v>
      </c>
      <c r="F21" s="707">
        <f>ROUND(Table14[[#This Row],[Gr 11-12 Headcount]]*FundingRate_SrYrTech,0)</f>
        <v>0</v>
      </c>
      <c r="G21" s="19" t="e">
        <f>Table14[[#This Row],[TOTAL]]/Table14[[#This Row],[Gr 11-12 Headcount]]</f>
        <v>#DIV/0!</v>
      </c>
    </row>
    <row r="22" spans="1:7">
      <c r="A22">
        <f>'A. 20-21 FN Schools Data'!A18</f>
        <v>261</v>
      </c>
      <c r="B22" t="str">
        <f>'A. 20-21 FN Schools Data'!B18</f>
        <v>Brokenhead</v>
      </c>
      <c r="C22">
        <f>'A. 20-21 FN Schools Data'!C18</f>
        <v>50250</v>
      </c>
      <c r="D22" t="str">
        <f>'A. 20-21 FN Schools Data'!D18</f>
        <v>Brokenhead Ojibway Nation Adult Learning Centre</v>
      </c>
      <c r="E22" s="1">
        <f>INDEX(TableAFNSchools[Gr11 H],MATCH(Table14[[#This Row],[School '#]],TableAFNSchools[School No.],0))+INDEX(TableAFNSchools[Gr12 H],MATCH(Table14[[#This Row],[School '#]],TableAFNSchools[School No.],0))+INDEX(TableAFNSchools[Ugrd. Sec. H],MATCH(Table14[[#This Row],[School '#]],TableAFNSchools[School No.],0))+INDEX(TableAFNSchools[Gr11 H 22+],MATCH(Table14[[#This Row],[School '#]],TableAFNSchools[School No.],0))+INDEX(TableAFNSchools[Gr12 H 22+],MATCH(Table14[[#This Row],[School '#]],TableAFNSchools[School No.],0))+INDEX(TableAFNSchools[Ungrd. Sec. H 22+],MATCH(Table14[[#This Row],[School '#]],TableAFNSchools[School No.],0))</f>
        <v>25</v>
      </c>
      <c r="F22" s="707">
        <f>ROUND(Table14[[#This Row],[Gr 11-12 Headcount]]*FundingRate_SrYrTech,0)</f>
        <v>7556</v>
      </c>
      <c r="G22" s="19">
        <f>Table14[[#This Row],[TOTAL]]/Table14[[#This Row],[Gr 11-12 Headcount]]</f>
        <v>302.24</v>
      </c>
    </row>
    <row r="23" spans="1:7">
      <c r="A23" t="s">
        <v>72</v>
      </c>
      <c r="E23" s="1">
        <f>SUBTOTAL(109,Table14[Gr 11-12 Headcount])</f>
        <v>201</v>
      </c>
      <c r="F23" s="1248">
        <f>SUBTOTAL(109,Table14[TOTAL])</f>
        <v>60748</v>
      </c>
    </row>
    <row r="24" spans="1:7">
      <c r="E24" s="1"/>
    </row>
  </sheetData>
  <mergeCells count="3">
    <mergeCell ref="A6:D6"/>
    <mergeCell ref="A4:D4"/>
    <mergeCell ref="A5:D5"/>
  </mergeCells>
  <hyperlinks>
    <hyperlink ref="A7" r:id="rId1" xr:uid="{00000000-0004-0000-1900-000000000000}"/>
    <hyperlink ref="A8" r:id="rId2" display="Source: FRAME 2020-21 Budget, Tab 52" xr:uid="{00000000-0004-0000-1900-000001000000}"/>
  </hyperlinks>
  <pageMargins left="0.7" right="0.7" top="0.75" bottom="0.75" header="0.3" footer="0.3"/>
  <pageSetup orientation="portrait" r:id="rId3"/>
  <headerFooter>
    <oddHeader>&amp;LMFNERC First Nations School System 2017-18&amp;RE&amp;&amp;OE</oddHeader>
  </headerFooter>
  <legacyDrawing r:id="rId4"/>
  <tableParts count="1">
    <tablePart r:id="rId5"/>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8"/>
  <dimension ref="A2:N24"/>
  <sheetViews>
    <sheetView topLeftCell="A10" workbookViewId="0">
      <selection activeCell="J12" sqref="J12"/>
    </sheetView>
  </sheetViews>
  <sheetFormatPr baseColWidth="10" defaultColWidth="9.19921875" defaultRowHeight="14"/>
  <cols>
    <col min="2" max="2" width="18.796875" customWidth="1"/>
    <col min="3" max="3" width="9" customWidth="1"/>
    <col min="4" max="4" width="31.59765625" customWidth="1"/>
    <col min="5" max="5" width="13.19921875" customWidth="1"/>
    <col min="6" max="6" width="10.19921875" customWidth="1"/>
    <col min="7" max="8" width="11.19921875" customWidth="1"/>
    <col min="9" max="9" width="11.59765625" customWidth="1"/>
    <col min="10" max="10" width="12.59765625" customWidth="1"/>
    <col min="11" max="11" width="14.19921875" customWidth="1"/>
    <col min="12" max="12" width="11.19921875" bestFit="1" customWidth="1"/>
    <col min="13" max="13" width="5.59765625" customWidth="1"/>
    <col min="14" max="14" width="19.796875" customWidth="1"/>
  </cols>
  <sheetData>
    <row r="2" spans="1:14">
      <c r="A2" t="s">
        <v>465</v>
      </c>
    </row>
    <row r="3" spans="1:14" ht="19">
      <c r="A3" s="750" t="s">
        <v>526</v>
      </c>
      <c r="B3" s="751"/>
      <c r="C3" s="751"/>
      <c r="D3" s="751"/>
      <c r="E3" s="751"/>
      <c r="F3" s="751"/>
      <c r="K3" s="33" t="s">
        <v>325</v>
      </c>
    </row>
    <row r="4" spans="1:14" ht="39.75" customHeight="1">
      <c r="A4" s="1673" t="s">
        <v>527</v>
      </c>
      <c r="B4" s="1673"/>
      <c r="C4" s="1673"/>
      <c r="D4" s="1673"/>
      <c r="E4" s="1673"/>
      <c r="F4" s="1673"/>
      <c r="G4" s="1679" t="s">
        <v>528</v>
      </c>
      <c r="H4" s="1679"/>
      <c r="I4" s="1249">
        <f>ROUND('E.3. Prov Data'!DJ44/'E.3. Prov Data'!DH44,4)</f>
        <v>0.32190000000000002</v>
      </c>
    </row>
    <row r="5" spans="1:14" ht="26.25" customHeight="1">
      <c r="A5" s="1653" t="s">
        <v>529</v>
      </c>
      <c r="B5" s="1653"/>
      <c r="C5" s="1653"/>
      <c r="D5" s="1653"/>
      <c r="E5" s="1653"/>
      <c r="F5" s="1653"/>
      <c r="G5" s="1679" t="s">
        <v>530</v>
      </c>
      <c r="H5" s="1679"/>
      <c r="I5" s="1250">
        <f>'E.3. Prov Data'!AZ20</f>
        <v>2121</v>
      </c>
    </row>
    <row r="6" spans="1:14" ht="39.75" customHeight="1">
      <c r="A6" s="567" t="s">
        <v>531</v>
      </c>
      <c r="F6" s="752"/>
      <c r="G6" s="1679" t="s">
        <v>532</v>
      </c>
      <c r="H6" s="1679"/>
      <c r="I6" s="1251">
        <f>I5*I4</f>
        <v>682.74990000000003</v>
      </c>
    </row>
    <row r="7" spans="1:14" ht="27" customHeight="1">
      <c r="A7" s="1653" t="s">
        <v>533</v>
      </c>
      <c r="B7" s="1653"/>
      <c r="C7" s="1653"/>
      <c r="D7" s="1653"/>
      <c r="E7" s="1653"/>
      <c r="F7" s="1665"/>
      <c r="G7" s="1679" t="s">
        <v>534</v>
      </c>
      <c r="H7" s="1679"/>
      <c r="I7" s="1151">
        <f>'E.3. Prov Data'!AT20</f>
        <v>3000</v>
      </c>
      <c r="K7" s="1195" t="s">
        <v>328</v>
      </c>
      <c r="L7" s="1196">
        <v>1.35</v>
      </c>
    </row>
    <row r="8" spans="1:14" ht="27" customHeight="1">
      <c r="A8" s="1680" t="s">
        <v>535</v>
      </c>
      <c r="B8" s="1681"/>
      <c r="C8" s="1681"/>
      <c r="D8" s="1681"/>
      <c r="E8" s="1681"/>
      <c r="F8" s="1682"/>
      <c r="G8" s="1679" t="s">
        <v>536</v>
      </c>
      <c r="H8" s="1679"/>
      <c r="I8" s="1252">
        <f>ROUND(I7/I6,2)</f>
        <v>4.3899999999999997</v>
      </c>
    </row>
    <row r="9" spans="1:14" ht="15">
      <c r="A9" s="567"/>
      <c r="B9" s="2"/>
      <c r="C9" s="2"/>
      <c r="D9" s="2"/>
    </row>
    <row r="10" spans="1:14" ht="36.75" customHeight="1">
      <c r="A10" s="113" t="s">
        <v>285</v>
      </c>
      <c r="B10" s="113" t="s">
        <v>286</v>
      </c>
      <c r="C10" s="113" t="s">
        <v>330</v>
      </c>
      <c r="D10" s="113" t="s">
        <v>331</v>
      </c>
      <c r="E10" s="113" t="s">
        <v>537</v>
      </c>
      <c r="F10" s="113" t="s">
        <v>538</v>
      </c>
      <c r="G10" s="113" t="s">
        <v>539</v>
      </c>
      <c r="H10" s="113" t="s">
        <v>540</v>
      </c>
      <c r="I10" s="710" t="s">
        <v>322</v>
      </c>
      <c r="J10" s="113" t="s">
        <v>458</v>
      </c>
      <c r="K10" s="1456" t="s">
        <v>353</v>
      </c>
      <c r="N10" s="1460" t="s">
        <v>541</v>
      </c>
    </row>
    <row r="11" spans="1:14">
      <c r="A11">
        <f>'A. 20-21 FN Schools Data'!A7</f>
        <v>272</v>
      </c>
      <c r="B11" t="str">
        <f>'A. 20-21 FN Schools Data'!B7</f>
        <v>Pinaymootang</v>
      </c>
      <c r="C11">
        <f>'A. 20-21 FN Schools Data'!C7</f>
        <v>1140</v>
      </c>
      <c r="D11" t="str">
        <f>'A. 20-21 FN Schools Data'!D7</f>
        <v>Pinaymootang School</v>
      </c>
      <c r="E11" s="1">
        <f>INDEX(TableAFNSchools[K5- Half-Day],MATCH(Table15[[#This Row],[School '#]],TableAFNSchools[School No.],0))+INDEX(TableAFNSchools[K5 - Full Day],MATCH(Table15[[#This Row],[School '#]],TableAFNSchools[School No.],0))</f>
        <v>29</v>
      </c>
      <c r="F11" s="1">
        <f>INDEX(TableAFNSchools[Gr1],MATCH(Table15[[#This Row],[School '#]],TableAFNSchools[School No.],0))</f>
        <v>29</v>
      </c>
      <c r="G11" s="1">
        <f>INDEX(TableAFNSchools[Gr2],MATCH(Table15[[#This Row],[School '#]],TableAFNSchools[School No.],0))</f>
        <v>16</v>
      </c>
      <c r="H11" s="1">
        <f>INDEX(TableAFNSchools[Gr3],MATCH(Table15[[#This Row],[School '#]],TableAFNSchools[School No.],0))</f>
        <v>42</v>
      </c>
      <c r="I11" s="735">
        <f>ROUND(SUM(Table15[[#This Row],[Kindergarten]:[Gr 3 FTE]])*FundingRate_EALperFTE,0)</f>
        <v>509</v>
      </c>
      <c r="J11" s="1">
        <f>Table15[[#This Row],[TOTAL]]/(Table15[[#This Row],[Gr 3 FTE]]+Table15[[#This Row],[Gr 2 FTE]]+Table15[[#This Row],[Gr 1 FTE]]+Table15[[#This Row],[Kindergarten]])</f>
        <v>4.3879310344827589</v>
      </c>
      <c r="K11" s="706">
        <f>ROUND($L$7*(SUM(Table15[[#This Row],[Kindergarten]:[Gr 3 FTE]])),0)</f>
        <v>157</v>
      </c>
      <c r="N11" s="707">
        <f>K11+Table15[[#This Row],[TOTAL]]</f>
        <v>666</v>
      </c>
    </row>
    <row r="12" spans="1:14">
      <c r="A12">
        <f>'A. 20-21 FN Schools Data'!A8</f>
        <v>275</v>
      </c>
      <c r="B12" t="str">
        <f>'A. 20-21 FN Schools Data'!B8</f>
        <v>Lake St. Martin</v>
      </c>
      <c r="C12">
        <f>'A. 20-21 FN Schools Data'!C8</f>
        <v>1144</v>
      </c>
      <c r="D12" t="str">
        <f>'A. 20-21 FN Schools Data'!D8</f>
        <v>Lake St. Martin School</v>
      </c>
      <c r="E12" s="1">
        <f>INDEX(TableAFNSchools[K5- Half-Day],MATCH(Table15[[#This Row],[School '#]],TableAFNSchools[School No.],0))+INDEX(TableAFNSchools[K5 - Full Day],MATCH(Table15[[#This Row],[School '#]],TableAFNSchools[School No.],0))</f>
        <v>23</v>
      </c>
      <c r="F12" s="1">
        <f>INDEX(TableAFNSchools[Gr1],MATCH(Table15[[#This Row],[School '#]],TableAFNSchools[School No.],0))</f>
        <v>39</v>
      </c>
      <c r="G12" s="1">
        <f>INDEX(TableAFNSchools[Gr2],MATCH(Table15[[#This Row],[School '#]],TableAFNSchools[School No.],0))</f>
        <v>30</v>
      </c>
      <c r="H12" s="1">
        <f>INDEX(TableAFNSchools[Gr3],MATCH(Table15[[#This Row],[School '#]],TableAFNSchools[School No.],0))</f>
        <v>37</v>
      </c>
      <c r="I12" s="735">
        <f>ROUND(SUM(Table15[[#This Row],[Kindergarten]:[Gr 3 FTE]])*FundingRate_EALperFTE,0)</f>
        <v>566</v>
      </c>
      <c r="J12" s="1">
        <f>Table15[[#This Row],[TOTAL]]/(Table15[[#This Row],[Gr 3 FTE]]+Table15[[#This Row],[Gr 2 FTE]]+Table15[[#This Row],[Gr 1 FTE]]+Table15[[#This Row],[Kindergarten]])</f>
        <v>4.387596899224806</v>
      </c>
      <c r="K12" s="706">
        <f>ROUND($L$7*(SUM(Table15[[#This Row],[Kindergarten]:[Gr 3 FTE]])),0)</f>
        <v>174</v>
      </c>
      <c r="N12" s="707">
        <f>K12+Table15[[#This Row],[TOTAL]]</f>
        <v>740</v>
      </c>
    </row>
    <row r="13" spans="1:14">
      <c r="A13">
        <f>'A. 20-21 FN Schools Data'!A9</f>
        <v>267</v>
      </c>
      <c r="B13" t="str">
        <f>'A. 20-21 FN Schools Data'!B9</f>
        <v>Bloodvein</v>
      </c>
      <c r="C13">
        <f>'A. 20-21 FN Schools Data'!C9</f>
        <v>1148</v>
      </c>
      <c r="D13" t="str">
        <f>'A. 20-21 FN Schools Data'!D9</f>
        <v>Miskooseepi School</v>
      </c>
      <c r="E13" s="1">
        <f>INDEX(TableAFNSchools[K5- Half-Day],MATCH(Table15[[#This Row],[School '#]],TableAFNSchools[School No.],0))+INDEX(TableAFNSchools[K5 - Full Day],MATCH(Table15[[#This Row],[School '#]],TableAFNSchools[School No.],0))</f>
        <v>19</v>
      </c>
      <c r="F13" s="1">
        <f>INDEX(TableAFNSchools[Gr1],MATCH(Table15[[#This Row],[School '#]],TableAFNSchools[School No.],0))</f>
        <v>24</v>
      </c>
      <c r="G13" s="1">
        <f>INDEX(TableAFNSchools[Gr2],MATCH(Table15[[#This Row],[School '#]],TableAFNSchools[School No.],0))</f>
        <v>13</v>
      </c>
      <c r="H13" s="1">
        <f>INDEX(TableAFNSchools[Gr3],MATCH(Table15[[#This Row],[School '#]],TableAFNSchools[School No.],0))</f>
        <v>13</v>
      </c>
      <c r="I13" s="735">
        <f>ROUND(SUM(Table15[[#This Row],[Kindergarten]:[Gr 3 FTE]])*FundingRate_EALperFTE,0)</f>
        <v>303</v>
      </c>
      <c r="J13" s="1">
        <f>Table15[[#This Row],[TOTAL]]/(Table15[[#This Row],[Gr 3 FTE]]+Table15[[#This Row],[Gr 2 FTE]]+Table15[[#This Row],[Gr 1 FTE]]+Table15[[#This Row],[Kindergarten]])</f>
        <v>4.3913043478260869</v>
      </c>
      <c r="K13" s="706">
        <f>ROUND($L$7*(SUM(Table15[[#This Row],[Kindergarten]:[Gr 3 FTE]])),0)</f>
        <v>93</v>
      </c>
      <c r="N13" s="707">
        <f>K13+Table15[[#This Row],[TOTAL]]</f>
        <v>396</v>
      </c>
    </row>
    <row r="14" spans="1:14">
      <c r="A14">
        <f>'A. 20-21 FN Schools Data'!A10</f>
        <v>304</v>
      </c>
      <c r="B14" t="str">
        <f>'A. 20-21 FN Schools Data'!B10</f>
        <v>York Factory</v>
      </c>
      <c r="C14">
        <f>'A. 20-21 FN Schools Data'!C10</f>
        <v>1166</v>
      </c>
      <c r="D14" t="str">
        <f>'A. 20-21 FN Schools Data'!D10</f>
        <v>George Saunders Memorial School</v>
      </c>
      <c r="E14" s="1">
        <f>INDEX(TableAFNSchools[K5- Half-Day],MATCH(Table15[[#This Row],[School '#]],TableAFNSchools[School No.],0))+INDEX(TableAFNSchools[K5 - Full Day],MATCH(Table15[[#This Row],[School '#]],TableAFNSchools[School No.],0))</f>
        <v>7</v>
      </c>
      <c r="F14" s="1">
        <f>INDEX(TableAFNSchools[Gr1],MATCH(Table15[[#This Row],[School '#]],TableAFNSchools[School No.],0))</f>
        <v>11</v>
      </c>
      <c r="G14" s="1">
        <f>INDEX(TableAFNSchools[Gr2],MATCH(Table15[[#This Row],[School '#]],TableAFNSchools[School No.],0))</f>
        <v>14</v>
      </c>
      <c r="H14" s="1">
        <f>INDEX(TableAFNSchools[Gr3],MATCH(Table15[[#This Row],[School '#]],TableAFNSchools[School No.],0))</f>
        <v>7</v>
      </c>
      <c r="I14" s="735">
        <f>ROUND(SUM(Table15[[#This Row],[Kindergarten]:[Gr 3 FTE]])*FundingRate_EALperFTE,0)</f>
        <v>171</v>
      </c>
      <c r="J14" s="1">
        <f>Table15[[#This Row],[TOTAL]]/(Table15[[#This Row],[Gr 3 FTE]]+Table15[[#This Row],[Gr 2 FTE]]+Table15[[#This Row],[Gr 1 FTE]]+Table15[[#This Row],[Kindergarten]])</f>
        <v>4.384615384615385</v>
      </c>
      <c r="K14" s="706">
        <f>ROUND($L$7*(SUM(Table15[[#This Row],[Kindergarten]:[Gr 3 FTE]])),0)</f>
        <v>53</v>
      </c>
      <c r="N14" s="707">
        <f>K14+Table15[[#This Row],[TOTAL]]</f>
        <v>224</v>
      </c>
    </row>
    <row r="15" spans="1:14">
      <c r="A15">
        <f>'A. 20-21 FN Schools Data'!A11</f>
        <v>271</v>
      </c>
      <c r="B15" t="str">
        <f>'A. 20-21 FN Schools Data'!B11</f>
        <v>Lake Manitoba</v>
      </c>
      <c r="C15">
        <f>'A. 20-21 FN Schools Data'!C11</f>
        <v>1345</v>
      </c>
      <c r="D15" t="str">
        <f>'A. 20-21 FN Schools Data'!D11</f>
        <v>Lake Manitoba School</v>
      </c>
      <c r="E15" s="1">
        <f>INDEX(TableAFNSchools[K5- Half-Day],MATCH(Table15[[#This Row],[School '#]],TableAFNSchools[School No.],0))+INDEX(TableAFNSchools[K5 - Full Day],MATCH(Table15[[#This Row],[School '#]],TableAFNSchools[School No.],0))</f>
        <v>14</v>
      </c>
      <c r="F15" s="1">
        <f>INDEX(TableAFNSchools[Gr1],MATCH(Table15[[#This Row],[School '#]],TableAFNSchools[School No.],0))</f>
        <v>29</v>
      </c>
      <c r="G15" s="1">
        <f>INDEX(TableAFNSchools[Gr2],MATCH(Table15[[#This Row],[School '#]],TableAFNSchools[School No.],0))</f>
        <v>21</v>
      </c>
      <c r="H15" s="1">
        <f>INDEX(TableAFNSchools[Gr3],MATCH(Table15[[#This Row],[School '#]],TableAFNSchools[School No.],0))</f>
        <v>20</v>
      </c>
      <c r="I15" s="735">
        <f>ROUND(SUM(Table15[[#This Row],[Kindergarten]:[Gr 3 FTE]])*FundingRate_EALperFTE,0)</f>
        <v>369</v>
      </c>
      <c r="J15" s="1">
        <f>Table15[[#This Row],[TOTAL]]/(Table15[[#This Row],[Gr 3 FTE]]+Table15[[#This Row],[Gr 2 FTE]]+Table15[[#This Row],[Gr 1 FTE]]+Table15[[#This Row],[Kindergarten]])</f>
        <v>4.3928571428571432</v>
      </c>
      <c r="K15" s="706">
        <f>ROUND($L$7*(SUM(Table15[[#This Row],[Kindergarten]:[Gr 3 FTE]])),0)</f>
        <v>113</v>
      </c>
      <c r="N15" s="707">
        <f>K15+Table15[[#This Row],[TOTAL]]</f>
        <v>482</v>
      </c>
    </row>
    <row r="16" spans="1:14">
      <c r="A16">
        <f>'A. 20-21 FN Schools Data'!A12</f>
        <v>295</v>
      </c>
      <c r="B16" t="str">
        <f>'A. 20-21 FN Schools Data'!B12</f>
        <v>Dakota Tipi</v>
      </c>
      <c r="C16">
        <f>'A. 20-21 FN Schools Data'!C12</f>
        <v>1350</v>
      </c>
      <c r="D16" t="str">
        <f>'A. 20-21 FN Schools Data'!D12</f>
        <v>Dakota Tipi School</v>
      </c>
      <c r="E16" s="1">
        <f>INDEX(TableAFNSchools[K5- Half-Day],MATCH(Table15[[#This Row],[School '#]],TableAFNSchools[School No.],0))+INDEX(TableAFNSchools[K5 - Full Day],MATCH(Table15[[#This Row],[School '#]],TableAFNSchools[School No.],0))</f>
        <v>4</v>
      </c>
      <c r="F16" s="1">
        <f>INDEX(TableAFNSchools[Gr1],MATCH(Table15[[#This Row],[School '#]],TableAFNSchools[School No.],0))</f>
        <v>3</v>
      </c>
      <c r="G16" s="1">
        <f>INDEX(TableAFNSchools[Gr2],MATCH(Table15[[#This Row],[School '#]],TableAFNSchools[School No.],0))</f>
        <v>2</v>
      </c>
      <c r="H16" s="1">
        <f>INDEX(TableAFNSchools[Gr3],MATCH(Table15[[#This Row],[School '#]],TableAFNSchools[School No.],0))</f>
        <v>5</v>
      </c>
      <c r="I16" s="735">
        <f>ROUND(SUM(Table15[[#This Row],[Kindergarten]:[Gr 3 FTE]])*FundingRate_EALperFTE,0)</f>
        <v>61</v>
      </c>
      <c r="J16" s="1">
        <f>Table15[[#This Row],[TOTAL]]/(Table15[[#This Row],[Gr 3 FTE]]+Table15[[#This Row],[Gr 2 FTE]]+Table15[[#This Row],[Gr 1 FTE]]+Table15[[#This Row],[Kindergarten]])</f>
        <v>4.3571428571428568</v>
      </c>
      <c r="K16" s="706">
        <f>ROUND($L$7*(SUM(Table15[[#This Row],[Kindergarten]:[Gr 3 FTE]])),0)</f>
        <v>19</v>
      </c>
      <c r="N16" s="707">
        <f>K16+Table15[[#This Row],[TOTAL]]</f>
        <v>80</v>
      </c>
    </row>
    <row r="17" spans="1:14">
      <c r="A17">
        <f>'A. 20-21 FN Schools Data'!A13</f>
        <v>288</v>
      </c>
      <c r="B17" t="str">
        <f>'A. 20-21 FN Schools Data'!B13</f>
        <v>Dakota Plains</v>
      </c>
      <c r="C17">
        <f>'A. 20-21 FN Schools Data'!C13</f>
        <v>1486</v>
      </c>
      <c r="D17" t="str">
        <f>'A. 20-21 FN Schools Data'!D13</f>
        <v>Mahpiya Hdega School</v>
      </c>
      <c r="E17" s="1">
        <f>INDEX(TableAFNSchools[K5- Half-Day],MATCH(Table15[[#This Row],[School '#]],TableAFNSchools[School No.],0))+INDEX(TableAFNSchools[K5 - Full Day],MATCH(Table15[[#This Row],[School '#]],TableAFNSchools[School No.],0))</f>
        <v>8</v>
      </c>
      <c r="F17" s="1">
        <f>INDEX(TableAFNSchools[Gr1],MATCH(Table15[[#This Row],[School '#]],TableAFNSchools[School No.],0))</f>
        <v>10</v>
      </c>
      <c r="G17" s="1">
        <f>INDEX(TableAFNSchools[Gr2],MATCH(Table15[[#This Row],[School '#]],TableAFNSchools[School No.],0))</f>
        <v>8</v>
      </c>
      <c r="H17" s="1">
        <f>INDEX(TableAFNSchools[Gr3],MATCH(Table15[[#This Row],[School '#]],TableAFNSchools[School No.],0))</f>
        <v>8</v>
      </c>
      <c r="I17" s="735">
        <f>ROUND(SUM(Table15[[#This Row],[Kindergarten]:[Gr 3 FTE]])*FundingRate_EALperFTE,0)</f>
        <v>149</v>
      </c>
      <c r="J17" s="1">
        <f>Table15[[#This Row],[TOTAL]]/(Table15[[#This Row],[Gr 3 FTE]]+Table15[[#This Row],[Gr 2 FTE]]+Table15[[#This Row],[Gr 1 FTE]]+Table15[[#This Row],[Kindergarten]])</f>
        <v>4.382352941176471</v>
      </c>
      <c r="K17" s="706">
        <f>ROUND($L$7*(SUM(Table15[[#This Row],[Kindergarten]:[Gr 3 FTE]])),0)</f>
        <v>46</v>
      </c>
      <c r="N17" s="707">
        <f>K17+Table15[[#This Row],[TOTAL]]</f>
        <v>195</v>
      </c>
    </row>
    <row r="18" spans="1:14">
      <c r="A18">
        <f>'A. 20-21 FN Schools Data'!A14</f>
        <v>261</v>
      </c>
      <c r="B18" t="str">
        <f>'A. 20-21 FN Schools Data'!B14</f>
        <v>Brokenhead</v>
      </c>
      <c r="C18">
        <f>'A. 20-21 FN Schools Data'!C14</f>
        <v>1756</v>
      </c>
      <c r="D18" t="str">
        <f>'A. 20-21 FN Schools Data'!D14</f>
        <v>Sergeant Tommy Prince School</v>
      </c>
      <c r="E18" s="1">
        <f>INDEX(TableAFNSchools[K5- Half-Day],MATCH(Table15[[#This Row],[School '#]],TableAFNSchools[School No.],0))+INDEX(TableAFNSchools[K5 - Full Day],MATCH(Table15[[#This Row],[School '#]],TableAFNSchools[School No.],0))</f>
        <v>8</v>
      </c>
      <c r="F18" s="1">
        <f>INDEX(TableAFNSchools[Gr1],MATCH(Table15[[#This Row],[School '#]],TableAFNSchools[School No.],0))</f>
        <v>8</v>
      </c>
      <c r="G18" s="1">
        <f>INDEX(TableAFNSchools[Gr2],MATCH(Table15[[#This Row],[School '#]],TableAFNSchools[School No.],0))</f>
        <v>11</v>
      </c>
      <c r="H18" s="1">
        <f>INDEX(TableAFNSchools[Gr3],MATCH(Table15[[#This Row],[School '#]],TableAFNSchools[School No.],0))</f>
        <v>4</v>
      </c>
      <c r="I18" s="735">
        <f>ROUND(SUM(Table15[[#This Row],[Kindergarten]:[Gr 3 FTE]])*FundingRate_EALperFTE,0)</f>
        <v>136</v>
      </c>
      <c r="J18" s="1">
        <f>Table15[[#This Row],[TOTAL]]/(Table15[[#This Row],[Gr 3 FTE]]+Table15[[#This Row],[Gr 2 FTE]]+Table15[[#This Row],[Gr 1 FTE]]+Table15[[#This Row],[Kindergarten]])</f>
        <v>4.387096774193548</v>
      </c>
      <c r="K18" s="706">
        <f>ROUND($L$7*(SUM(Table15[[#This Row],[Kindergarten]:[Gr 3 FTE]])),0)</f>
        <v>42</v>
      </c>
      <c r="N18" s="707">
        <f>K18+Table15[[#This Row],[TOTAL]]</f>
        <v>178</v>
      </c>
    </row>
    <row r="19" spans="1:14">
      <c r="A19">
        <f>'A. 20-21 FN Schools Data'!A15</f>
        <v>273</v>
      </c>
      <c r="B19" t="str">
        <f>'A. 20-21 FN Schools Data'!B15</f>
        <v>Roseau River</v>
      </c>
      <c r="C19">
        <f>'A. 20-21 FN Schools Data'!C15</f>
        <v>5717</v>
      </c>
      <c r="D19" t="str">
        <f>'A. 20-21 FN Schools Data'!D15</f>
        <v>Ginew School</v>
      </c>
      <c r="E19" s="1">
        <f>INDEX(TableAFNSchools[K5- Half-Day],MATCH(Table15[[#This Row],[School '#]],TableAFNSchools[School No.],0))+INDEX(TableAFNSchools[K5 - Full Day],MATCH(Table15[[#This Row],[School '#]],TableAFNSchools[School No.],0))</f>
        <v>11</v>
      </c>
      <c r="F19" s="1">
        <f>INDEX(TableAFNSchools[Gr1],MATCH(Table15[[#This Row],[School '#]],TableAFNSchools[School No.],0))</f>
        <v>24</v>
      </c>
      <c r="G19" s="1">
        <f>INDEX(TableAFNSchools[Gr2],MATCH(Table15[[#This Row],[School '#]],TableAFNSchools[School No.],0))</f>
        <v>8</v>
      </c>
      <c r="H19" s="1">
        <f>INDEX(TableAFNSchools[Gr3],MATCH(Table15[[#This Row],[School '#]],TableAFNSchools[School No.],0))</f>
        <v>18</v>
      </c>
      <c r="I19" s="735">
        <f>ROUND(SUM(Table15[[#This Row],[Kindergarten]:[Gr 3 FTE]])*FundingRate_EALperFTE,0)</f>
        <v>268</v>
      </c>
      <c r="J19" s="1">
        <f>Table15[[#This Row],[TOTAL]]/(Table15[[#This Row],[Gr 3 FTE]]+Table15[[#This Row],[Gr 2 FTE]]+Table15[[#This Row],[Gr 1 FTE]]+Table15[[#This Row],[Kindergarten]])</f>
        <v>4.3934426229508201</v>
      </c>
      <c r="K19" s="706">
        <f>ROUND($L$7*(SUM(Table15[[#This Row],[Kindergarten]:[Gr 3 FTE]])),0)</f>
        <v>82</v>
      </c>
      <c r="N19" s="707">
        <f>K19+Table15[[#This Row],[TOTAL]]</f>
        <v>350</v>
      </c>
    </row>
    <row r="20" spans="1:14">
      <c r="A20">
        <f>'A. 20-21 FN Schools Data'!A16</f>
        <v>305</v>
      </c>
      <c r="B20" t="str">
        <f>'A. 20-21 FN Schools Data'!B16</f>
        <v>Fox Lake</v>
      </c>
      <c r="C20">
        <f>'A. 20-21 FN Schools Data'!C16</f>
        <v>6413</v>
      </c>
      <c r="D20" t="str">
        <f>'A. 20-21 FN Schools Data'!D16</f>
        <v>Fox Lake School</v>
      </c>
      <c r="E20" s="1">
        <f>INDEX(TableAFNSchools[K5- Half-Day],MATCH(Table15[[#This Row],[School '#]],TableAFNSchools[School No.],0))+INDEX(TableAFNSchools[K5 - Full Day],MATCH(Table15[[#This Row],[School '#]],TableAFNSchools[School No.],0))</f>
        <v>2</v>
      </c>
      <c r="F20" s="1">
        <f>INDEX(TableAFNSchools[Gr1],MATCH(Table15[[#This Row],[School '#]],TableAFNSchools[School No.],0))</f>
        <v>3</v>
      </c>
      <c r="G20" s="1">
        <f>INDEX(TableAFNSchools[Gr2],MATCH(Table15[[#This Row],[School '#]],TableAFNSchools[School No.],0))</f>
        <v>5</v>
      </c>
      <c r="H20" s="1">
        <f>INDEX(TableAFNSchools[Gr3],MATCH(Table15[[#This Row],[School '#]],TableAFNSchools[School No.],0))</f>
        <v>1</v>
      </c>
      <c r="I20" s="735">
        <f>ROUND(SUM(Table15[[#This Row],[Kindergarten]:[Gr 3 FTE]])*FundingRate_EALperFTE,0)</f>
        <v>48</v>
      </c>
      <c r="J20" s="1">
        <f>Table15[[#This Row],[TOTAL]]/(Table15[[#This Row],[Gr 3 FTE]]+Table15[[#This Row],[Gr 2 FTE]]+Table15[[#This Row],[Gr 1 FTE]]+Table15[[#This Row],[Kindergarten]])</f>
        <v>4.3636363636363633</v>
      </c>
      <c r="K20" s="706">
        <f>ROUND($L$7*(SUM(Table15[[#This Row],[Kindergarten]:[Gr 3 FTE]])),0)</f>
        <v>15</v>
      </c>
      <c r="N20" s="707">
        <f>K20+Table15[[#This Row],[TOTAL]]</f>
        <v>63</v>
      </c>
    </row>
    <row r="21" spans="1:14">
      <c r="A21">
        <f>'A. 20-21 FN Schools Data'!A17</f>
        <v>286</v>
      </c>
      <c r="B21" t="str">
        <f>'A. 20-21 FN Schools Data'!B17</f>
        <v>Keeseekoowenin</v>
      </c>
      <c r="C21">
        <f>'A. 20-21 FN Schools Data'!C17</f>
        <v>8990</v>
      </c>
      <c r="D21" t="str">
        <f>'A. 20-21 FN Schools Data'!D17</f>
        <v>Keeseekoowenin School</v>
      </c>
      <c r="E21" s="1">
        <f>INDEX(TableAFNSchools[K5- Half-Day],MATCH(Table15[[#This Row],[School '#]],TableAFNSchools[School No.],0))+INDEX(TableAFNSchools[K5 - Full Day],MATCH(Table15[[#This Row],[School '#]],TableAFNSchools[School No.],0))</f>
        <v>17</v>
      </c>
      <c r="F21" s="1">
        <f>INDEX(TableAFNSchools[Gr1],MATCH(Table15[[#This Row],[School '#]],TableAFNSchools[School No.],0))</f>
        <v>8</v>
      </c>
      <c r="G21" s="1">
        <f>INDEX(TableAFNSchools[Gr2],MATCH(Table15[[#This Row],[School '#]],TableAFNSchools[School No.],0))</f>
        <v>9</v>
      </c>
      <c r="H21" s="1">
        <f>INDEX(TableAFNSchools[Gr3],MATCH(Table15[[#This Row],[School '#]],TableAFNSchools[School No.],0))</f>
        <v>10</v>
      </c>
      <c r="I21" s="735">
        <f>ROUND(SUM(Table15[[#This Row],[Kindergarten]:[Gr 3 FTE]])*FundingRate_EALperFTE,0)</f>
        <v>193</v>
      </c>
      <c r="J21" s="1">
        <f>Table15[[#This Row],[TOTAL]]/(Table15[[#This Row],[Gr 3 FTE]]+Table15[[#This Row],[Gr 2 FTE]]+Table15[[#This Row],[Gr 1 FTE]]+Table15[[#This Row],[Kindergarten]])</f>
        <v>4.3863636363636367</v>
      </c>
      <c r="K21" s="706">
        <f>ROUND($L$7*(SUM(Table15[[#This Row],[Kindergarten]:[Gr 3 FTE]])),0)</f>
        <v>59</v>
      </c>
      <c r="N21" s="707">
        <f>K21+Table15[[#This Row],[TOTAL]]</f>
        <v>252</v>
      </c>
    </row>
    <row r="22" spans="1:14">
      <c r="A22">
        <f>'A. 20-21 FN Schools Data'!A18</f>
        <v>261</v>
      </c>
      <c r="B22" t="str">
        <f>'A. 20-21 FN Schools Data'!B18</f>
        <v>Brokenhead</v>
      </c>
      <c r="C22">
        <f>'A. 20-21 FN Schools Data'!C18</f>
        <v>50250</v>
      </c>
      <c r="D22" t="str">
        <f>'A. 20-21 FN Schools Data'!D18</f>
        <v>Brokenhead Ojibway Nation Adult Learning Centre</v>
      </c>
      <c r="E22" s="1">
        <f>INDEX(TableAFNSchools[K5- Half-Day],MATCH(Table15[[#This Row],[School '#]],TableAFNSchools[School No.],0))+INDEX(TableAFNSchools[K5 - Full Day],MATCH(Table15[[#This Row],[School '#]],TableAFNSchools[School No.],0))</f>
        <v>0</v>
      </c>
      <c r="F22" s="1">
        <f>INDEX(TableAFNSchools[Gr1],MATCH(Table15[[#This Row],[School '#]],TableAFNSchools[School No.],0))</f>
        <v>0</v>
      </c>
      <c r="G22" s="1">
        <f>INDEX(TableAFNSchools[Gr2],MATCH(Table15[[#This Row],[School '#]],TableAFNSchools[School No.],0))</f>
        <v>0</v>
      </c>
      <c r="H22" s="1">
        <f>INDEX(TableAFNSchools[Gr3],MATCH(Table15[[#This Row],[School '#]],TableAFNSchools[School No.],0))</f>
        <v>0</v>
      </c>
      <c r="I22" s="735">
        <f>ROUND(SUM(Table15[[#This Row],[Kindergarten]:[Gr 3 FTE]])*FundingRate_EALperFTE,0)</f>
        <v>0</v>
      </c>
      <c r="J22" s="1" t="e">
        <f>Table15[[#This Row],[TOTAL]]/(Table15[[#This Row],[Gr 3 FTE]]+Table15[[#This Row],[Gr 2 FTE]]+Table15[[#This Row],[Gr 1 FTE]]+Table15[[#This Row],[Kindergarten]])</f>
        <v>#DIV/0!</v>
      </c>
      <c r="K22" s="706">
        <f>ROUND($L$7*(SUM(Table15[[#This Row],[Kindergarten]:[Gr 3 FTE]])),0)</f>
        <v>0</v>
      </c>
      <c r="N22" s="707">
        <f>K22+Table15[[#This Row],[TOTAL]]</f>
        <v>0</v>
      </c>
    </row>
    <row r="23" spans="1:14">
      <c r="A23" t="s">
        <v>72</v>
      </c>
      <c r="E23" s="1">
        <f>SUBTOTAL(109,Table15[Kindergarten])</f>
        <v>142</v>
      </c>
      <c r="F23" s="1">
        <f>SUBTOTAL(109,Table15[Gr 1 FTE])</f>
        <v>188</v>
      </c>
      <c r="G23" s="1">
        <f>SUBTOTAL(109,Table15[Gr 2 FTE])</f>
        <v>137</v>
      </c>
      <c r="H23" s="1">
        <f>SUBTOTAL(109,Table15[Gr 3 FTE])</f>
        <v>165</v>
      </c>
      <c r="I23" s="1253">
        <f>SUBTOTAL(109,Table15[TOTAL])</f>
        <v>2773</v>
      </c>
      <c r="K23" s="1458">
        <f>SUM(K11:K22)</f>
        <v>853</v>
      </c>
      <c r="N23" s="1459">
        <f>SUM(N11:N22)</f>
        <v>3626</v>
      </c>
    </row>
    <row r="24" spans="1:14">
      <c r="E24" s="1"/>
      <c r="F24" s="1"/>
      <c r="G24" s="1"/>
      <c r="H24" s="1"/>
    </row>
  </sheetData>
  <mergeCells count="9">
    <mergeCell ref="G7:H7"/>
    <mergeCell ref="G8:H8"/>
    <mergeCell ref="A7:F7"/>
    <mergeCell ref="G6:H6"/>
    <mergeCell ref="A4:F4"/>
    <mergeCell ref="A5:F5"/>
    <mergeCell ref="G4:H4"/>
    <mergeCell ref="G5:H5"/>
    <mergeCell ref="A8:F8"/>
  </mergeCells>
  <hyperlinks>
    <hyperlink ref="A6" r:id="rId1" xr:uid="{00000000-0004-0000-1A00-000000000000}"/>
  </hyperlinks>
  <pageMargins left="0.7" right="0.7" top="0.75" bottom="0.75" header="0.3" footer="0.3"/>
  <pageSetup orientation="landscape" r:id="rId2"/>
  <headerFooter>
    <oddHeader>&amp;LMFNERC First Nations School System 2017-18&amp;RE&amp;&amp;OE</oddHeader>
    <oddFooter>&amp;L&amp;"Times New Roman"&amp;8NCR#9494837 - v4C</oddFooter>
  </headerFooter>
  <legacyDrawing r:id="rId3"/>
  <tableParts count="1">
    <tablePart r:id="rId4"/>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1"/>
  <dimension ref="A2:L24"/>
  <sheetViews>
    <sheetView topLeftCell="A7" workbookViewId="0">
      <selection activeCell="L16" sqref="L16"/>
    </sheetView>
  </sheetViews>
  <sheetFormatPr baseColWidth="10" defaultColWidth="9.19921875" defaultRowHeight="14"/>
  <cols>
    <col min="1" max="1" width="7.19921875" customWidth="1"/>
    <col min="2" max="2" width="16.19921875" customWidth="1"/>
    <col min="3" max="3" width="8.19921875" customWidth="1"/>
    <col min="4" max="4" width="26.796875" customWidth="1"/>
    <col min="5" max="5" width="10" customWidth="1"/>
    <col min="6" max="6" width="16.3984375" customWidth="1"/>
    <col min="7" max="7" width="16" customWidth="1"/>
    <col min="8" max="8" width="21.19921875" customWidth="1"/>
    <col min="9" max="9" width="16.796875" customWidth="1"/>
    <col min="10" max="10" width="13.3984375" bestFit="1" customWidth="1"/>
    <col min="11" max="11" width="15.19921875" customWidth="1"/>
    <col min="12" max="12" width="14.796875" bestFit="1" customWidth="1"/>
  </cols>
  <sheetData>
    <row r="2" spans="1:12">
      <c r="A2" t="s">
        <v>465</v>
      </c>
    </row>
    <row r="3" spans="1:12" ht="19">
      <c r="A3" s="120" t="s">
        <v>542</v>
      </c>
      <c r="F3" s="34"/>
      <c r="I3" s="33" t="s">
        <v>325</v>
      </c>
    </row>
    <row r="4" spans="1:12" ht="39.75" customHeight="1">
      <c r="A4" s="1643" t="s">
        <v>543</v>
      </c>
      <c r="B4" s="1643"/>
      <c r="C4" s="1643"/>
      <c r="D4" s="1643"/>
      <c r="E4" s="1683"/>
      <c r="F4" s="1246" t="s">
        <v>544</v>
      </c>
      <c r="G4" s="1254">
        <f>'E.3. Prov Data'!Z20</f>
        <v>851750</v>
      </c>
    </row>
    <row r="5" spans="1:12" ht="39.75" customHeight="1">
      <c r="A5" s="1643"/>
      <c r="B5" s="1643"/>
      <c r="C5" s="1643"/>
      <c r="D5" s="1643"/>
      <c r="E5" s="1683"/>
      <c r="F5" s="1246" t="s">
        <v>545</v>
      </c>
      <c r="G5" s="1255">
        <f>'E.3. Prov Data'!AZ20</f>
        <v>2121</v>
      </c>
    </row>
    <row r="6" spans="1:12" ht="55.5" customHeight="1">
      <c r="A6" s="1646" t="s">
        <v>546</v>
      </c>
      <c r="B6" s="1646"/>
      <c r="C6" s="1646"/>
      <c r="D6" s="1646"/>
      <c r="E6" s="1684"/>
      <c r="F6" s="1246" t="s">
        <v>547</v>
      </c>
      <c r="G6" s="1256">
        <f>ROUND(G4/(G5*G7),2)</f>
        <v>472</v>
      </c>
    </row>
    <row r="7" spans="1:12" ht="39" customHeight="1">
      <c r="A7" s="1685" t="s">
        <v>548</v>
      </c>
      <c r="B7" s="1685"/>
      <c r="C7" s="1685"/>
      <c r="D7" s="1685"/>
      <c r="E7" s="1686"/>
      <c r="F7" s="1257" t="s">
        <v>549</v>
      </c>
      <c r="G7" s="1258">
        <v>0.8508</v>
      </c>
      <c r="I7" s="1195" t="s">
        <v>328</v>
      </c>
      <c r="J7" s="1196">
        <v>538.59</v>
      </c>
    </row>
    <row r="8" spans="1:12" ht="15">
      <c r="A8" s="567" t="s">
        <v>550</v>
      </c>
      <c r="F8" s="117"/>
      <c r="G8" s="738"/>
    </row>
    <row r="9" spans="1:12" ht="15" customHeight="1"/>
    <row r="10" spans="1:12" ht="40.5" customHeight="1">
      <c r="A10" s="113" t="s">
        <v>285</v>
      </c>
      <c r="B10" s="113" t="s">
        <v>286</v>
      </c>
      <c r="C10" s="113" t="s">
        <v>330</v>
      </c>
      <c r="D10" s="113" t="s">
        <v>331</v>
      </c>
      <c r="E10" s="113" t="s">
        <v>332</v>
      </c>
      <c r="F10" s="122" t="s">
        <v>551</v>
      </c>
      <c r="G10" s="406" t="s">
        <v>552</v>
      </c>
      <c r="I10" s="1456" t="s">
        <v>366</v>
      </c>
      <c r="K10" s="1479" t="s">
        <v>553</v>
      </c>
    </row>
    <row r="11" spans="1:12">
      <c r="A11">
        <f>'A. 20-21 FN Schools Data'!A7</f>
        <v>272</v>
      </c>
      <c r="B11" t="str">
        <f>'A. 20-21 FN Schools Data'!B7</f>
        <v>Pinaymootang</v>
      </c>
      <c r="C11">
        <f>'A. 20-21 FN Schools Data'!C7</f>
        <v>1140</v>
      </c>
      <c r="D11" t="str">
        <f>'A. 20-21 FN Schools Data'!D7</f>
        <v>Pinaymootang School</v>
      </c>
      <c r="E11" s="1">
        <f>INDEX(TableAFNSchools[Total Funded FTE],MATCH(Table16[[#This Row],[School '#]],TableAFNSchools[School No.],0))</f>
        <v>435</v>
      </c>
      <c r="F11" s="167">
        <f>Table16[[#This Row],[Eligible FTE]]*FundingRate_AAA</f>
        <v>205320</v>
      </c>
      <c r="G11" s="736">
        <f>ROUND(Table16[[#This Row],[Eligible FTE]]*FundingRate_AAA,0)</f>
        <v>205320</v>
      </c>
      <c r="I11" s="706">
        <f>ROUND($J$7*Table16[[#This Row],[Eligible FTE]],0)</f>
        <v>234287</v>
      </c>
      <c r="K11" s="704">
        <f>Table16[[#This Row],[Comparability TOTAL]]+I11</f>
        <v>439607</v>
      </c>
      <c r="L11" s="19">
        <f>K11/Table16[[#This Row],[Eligible FTE]]</f>
        <v>1010.5908045977011</v>
      </c>
    </row>
    <row r="12" spans="1:12">
      <c r="A12">
        <f>'A. 20-21 FN Schools Data'!A8</f>
        <v>275</v>
      </c>
      <c r="B12" t="str">
        <f>'A. 20-21 FN Schools Data'!B8</f>
        <v>Lake St. Martin</v>
      </c>
      <c r="C12">
        <f>'A. 20-21 FN Schools Data'!C8</f>
        <v>1144</v>
      </c>
      <c r="D12" t="str">
        <f>'A. 20-21 FN Schools Data'!D8</f>
        <v>Lake St. Martin School</v>
      </c>
      <c r="E12" s="80">
        <f>INDEX(TableAFNSchools[Total Funded FTE],MATCH(Table16[[#This Row],[School '#]],TableAFNSchools[School No.],0))</f>
        <v>398</v>
      </c>
      <c r="F12" s="616">
        <f>Table16[[#This Row],[Eligible FTE]]*FundingRate_AAA</f>
        <v>187856</v>
      </c>
      <c r="G12" s="736">
        <f>ROUND(Table16[[#This Row],[Eligible FTE]]*FundingRate_AAA,0)</f>
        <v>187856</v>
      </c>
      <c r="I12" s="706">
        <f>ROUND($J$7*Table16[[#This Row],[Eligible FTE]],0)</f>
        <v>214359</v>
      </c>
      <c r="K12" s="704">
        <f>Table16[[#This Row],[Comparability TOTAL]]+I12</f>
        <v>402215</v>
      </c>
      <c r="L12">
        <f>K12/Table16[[#This Row],[Comparability Approach Total]]</f>
        <v>2.1410814666553106</v>
      </c>
    </row>
    <row r="13" spans="1:12">
      <c r="A13">
        <f>'A. 20-21 FN Schools Data'!A9</f>
        <v>267</v>
      </c>
      <c r="B13" t="str">
        <f>'A. 20-21 FN Schools Data'!B9</f>
        <v>Bloodvein</v>
      </c>
      <c r="C13">
        <f>'A. 20-21 FN Schools Data'!C9</f>
        <v>1148</v>
      </c>
      <c r="D13" t="str">
        <f>'A. 20-21 FN Schools Data'!D9</f>
        <v>Miskooseepi School</v>
      </c>
      <c r="E13" s="1">
        <f>INDEX(TableAFNSchools[Total Funded FTE],MATCH(Table16[[#This Row],[School '#]],TableAFNSchools[School No.],0))</f>
        <v>194</v>
      </c>
      <c r="F13" s="167">
        <f>Table16[[#This Row],[Eligible FTE]]*FundingRate_AAA</f>
        <v>91568</v>
      </c>
      <c r="G13" s="736">
        <f>ROUND(Table16[[#This Row],[Eligible FTE]]*FundingRate_AAA,0)</f>
        <v>91568</v>
      </c>
      <c r="I13" s="706">
        <f>ROUND($J$7*Table16[[#This Row],[Eligible FTE]],0)</f>
        <v>104486</v>
      </c>
      <c r="K13" s="704">
        <f>Table16[[#This Row],[Comparability TOTAL]]+I13</f>
        <v>196054</v>
      </c>
      <c r="L13">
        <f>K13/Table16[[#This Row],[Comparability Approach Total]]</f>
        <v>2.1410754848855493</v>
      </c>
    </row>
    <row r="14" spans="1:12">
      <c r="A14">
        <f>'A. 20-21 FN Schools Data'!A10</f>
        <v>304</v>
      </c>
      <c r="B14" t="str">
        <f>'A. 20-21 FN Schools Data'!B10</f>
        <v>York Factory</v>
      </c>
      <c r="C14">
        <f>'A. 20-21 FN Schools Data'!C10</f>
        <v>1166</v>
      </c>
      <c r="D14" t="str">
        <f>'A. 20-21 FN Schools Data'!D10</f>
        <v>George Saunders Memorial School</v>
      </c>
      <c r="E14" s="1">
        <f>INDEX(TableAFNSchools[Total Funded FTE],MATCH(Table16[[#This Row],[School '#]],TableAFNSchools[School No.],0))</f>
        <v>142</v>
      </c>
      <c r="F14" s="167">
        <f>Table16[[#This Row],[Eligible FTE]]*FundingRate_AAA</f>
        <v>67024</v>
      </c>
      <c r="G14" s="736">
        <f>ROUND(Table16[[#This Row],[Eligible FTE]]*FundingRate_AAA,0)</f>
        <v>67024</v>
      </c>
      <c r="I14" s="706">
        <f>ROUND($J$7*Table16[[#This Row],[Eligible FTE]],0)</f>
        <v>76480</v>
      </c>
      <c r="K14" s="704">
        <f>Table16[[#This Row],[Comparability TOTAL]]+I14</f>
        <v>143504</v>
      </c>
    </row>
    <row r="15" spans="1:12">
      <c r="A15">
        <f>'A. 20-21 FN Schools Data'!A11</f>
        <v>271</v>
      </c>
      <c r="B15" t="str">
        <f>'A. 20-21 FN Schools Data'!B11</f>
        <v>Lake Manitoba</v>
      </c>
      <c r="C15">
        <f>'A. 20-21 FN Schools Data'!C11</f>
        <v>1345</v>
      </c>
      <c r="D15" t="str">
        <f>'A. 20-21 FN Schools Data'!D11</f>
        <v>Lake Manitoba School</v>
      </c>
      <c r="E15" s="1">
        <f>INDEX(TableAFNSchools[Total Funded FTE],MATCH(Table16[[#This Row],[School '#]],TableAFNSchools[School No.],0))</f>
        <v>303</v>
      </c>
      <c r="F15" s="167">
        <f>Table16[[#This Row],[Eligible FTE]]*FundingRate_AAA</f>
        <v>143016</v>
      </c>
      <c r="G15" s="736">
        <f>ROUND(Table16[[#This Row],[Eligible FTE]]*FundingRate_AAA,0)</f>
        <v>143016</v>
      </c>
      <c r="I15" s="706">
        <f>ROUND($J$7*Table16[[#This Row],[Eligible FTE]],0)</f>
        <v>163193</v>
      </c>
      <c r="K15" s="704">
        <f>Table16[[#This Row],[Comparability TOTAL]]+I15</f>
        <v>306209</v>
      </c>
      <c r="L15" s="19">
        <f>K15/Table16[[#This Row],[Eligible FTE]]</f>
        <v>1010.5907590759076</v>
      </c>
    </row>
    <row r="16" spans="1:12">
      <c r="A16">
        <f>'A. 20-21 FN Schools Data'!A12</f>
        <v>295</v>
      </c>
      <c r="B16" t="str">
        <f>'A. 20-21 FN Schools Data'!B12</f>
        <v>Dakota Tipi</v>
      </c>
      <c r="C16">
        <f>'A. 20-21 FN Schools Data'!C12</f>
        <v>1350</v>
      </c>
      <c r="D16" t="str">
        <f>'A. 20-21 FN Schools Data'!D12</f>
        <v>Dakota Tipi School</v>
      </c>
      <c r="E16" s="1">
        <f>INDEX(TableAFNSchools[Total Funded FTE],MATCH(Table16[[#This Row],[School '#]],TableAFNSchools[School No.],0))</f>
        <v>41</v>
      </c>
      <c r="F16" s="167">
        <f>Table16[[#This Row],[Eligible FTE]]*FundingRate_AAA</f>
        <v>19352</v>
      </c>
      <c r="G16" s="736">
        <f>ROUND(Table16[[#This Row],[Eligible FTE]]*FundingRate_AAA,0)</f>
        <v>19352</v>
      </c>
      <c r="I16" s="706">
        <f>ROUND($J$7*Table16[[#This Row],[Eligible FTE]],0)</f>
        <v>22082</v>
      </c>
      <c r="K16" s="704">
        <f>Table16[[#This Row],[Comparability TOTAL]]+I16</f>
        <v>41434</v>
      </c>
    </row>
    <row r="17" spans="1:12">
      <c r="A17">
        <f>'A. 20-21 FN Schools Data'!A13</f>
        <v>288</v>
      </c>
      <c r="B17" t="str">
        <f>'A. 20-21 FN Schools Data'!B13</f>
        <v>Dakota Plains</v>
      </c>
      <c r="C17">
        <f>'A. 20-21 FN Schools Data'!C13</f>
        <v>1486</v>
      </c>
      <c r="D17" t="str">
        <f>'A. 20-21 FN Schools Data'!D13</f>
        <v>Mahpiya Hdega School</v>
      </c>
      <c r="E17" s="1">
        <f>INDEX(TableAFNSchools[Total Funded FTE],MATCH(Table16[[#This Row],[School '#]],TableAFNSchools[School No.],0))</f>
        <v>86</v>
      </c>
      <c r="F17" s="167">
        <f>Table16[[#This Row],[Eligible FTE]]*FundingRate_AAA</f>
        <v>40592</v>
      </c>
      <c r="G17" s="736">
        <f>ROUND(Table16[[#This Row],[Eligible FTE]]*FundingRate_AAA,0)</f>
        <v>40592</v>
      </c>
      <c r="I17" s="706">
        <f>ROUND($J$7*Table16[[#This Row],[Eligible FTE]],0)</f>
        <v>46319</v>
      </c>
      <c r="K17" s="704">
        <f>Table16[[#This Row],[Comparability TOTAL]]+I17</f>
        <v>86911</v>
      </c>
      <c r="L17" s="19">
        <f>K17/Table16[[#This Row],[Eligible FTE]]</f>
        <v>1010.5930232558139</v>
      </c>
    </row>
    <row r="18" spans="1:12">
      <c r="A18">
        <f>'A. 20-21 FN Schools Data'!A14</f>
        <v>261</v>
      </c>
      <c r="B18" t="str">
        <f>'A. 20-21 FN Schools Data'!B14</f>
        <v>Brokenhead</v>
      </c>
      <c r="C18">
        <f>'A. 20-21 FN Schools Data'!C14</f>
        <v>1756</v>
      </c>
      <c r="D18" t="str">
        <f>'A. 20-21 FN Schools Data'!D14</f>
        <v>Sergeant Tommy Prince School</v>
      </c>
      <c r="E18" s="1">
        <f>INDEX(TableAFNSchools[Total Funded FTE],MATCH(Table16[[#This Row],[School '#]],TableAFNSchools[School No.],0))</f>
        <v>123</v>
      </c>
      <c r="F18" s="167">
        <f>Table16[[#This Row],[Eligible FTE]]*FundingRate_AAA</f>
        <v>58056</v>
      </c>
      <c r="G18" s="736">
        <f>ROUND(Table16[[#This Row],[Eligible FTE]]*FundingRate_AAA,0)</f>
        <v>58056</v>
      </c>
      <c r="I18" s="706">
        <f>ROUND($J$7*Table16[[#This Row],[Eligible FTE]],0)</f>
        <v>66247</v>
      </c>
      <c r="K18" s="704">
        <f>Table16[[#This Row],[Comparability TOTAL]]+I18</f>
        <v>124303</v>
      </c>
    </row>
    <row r="19" spans="1:12">
      <c r="A19">
        <f>'A. 20-21 FN Schools Data'!A15</f>
        <v>273</v>
      </c>
      <c r="B19" t="str">
        <f>'A. 20-21 FN Schools Data'!B15</f>
        <v>Roseau River</v>
      </c>
      <c r="C19">
        <f>'A. 20-21 FN Schools Data'!C15</f>
        <v>5717</v>
      </c>
      <c r="D19" t="str">
        <f>'A. 20-21 FN Schools Data'!D15</f>
        <v>Ginew School</v>
      </c>
      <c r="E19" s="1">
        <f>INDEX(TableAFNSchools[Total Funded FTE],MATCH(Table16[[#This Row],[School '#]],TableAFNSchools[School No.],0))</f>
        <v>153</v>
      </c>
      <c r="F19" s="167">
        <f>Table16[[#This Row],[Eligible FTE]]*FundingRate_AAA</f>
        <v>72216</v>
      </c>
      <c r="G19" s="736">
        <f>ROUND(Table16[[#This Row],[Eligible FTE]]*FundingRate_AAA,0)</f>
        <v>72216</v>
      </c>
      <c r="I19" s="706">
        <f>ROUND($J$7*Table16[[#This Row],[Eligible FTE]],0)</f>
        <v>82404</v>
      </c>
      <c r="K19" s="704">
        <f>Table16[[#This Row],[Comparability TOTAL]]+I19</f>
        <v>154620</v>
      </c>
    </row>
    <row r="20" spans="1:12">
      <c r="A20">
        <f>'A. 20-21 FN Schools Data'!A16</f>
        <v>305</v>
      </c>
      <c r="B20" t="str">
        <f>'A. 20-21 FN Schools Data'!B16</f>
        <v>Fox Lake</v>
      </c>
      <c r="C20">
        <f>'A. 20-21 FN Schools Data'!C16</f>
        <v>6413</v>
      </c>
      <c r="D20" t="str">
        <f>'A. 20-21 FN Schools Data'!D16</f>
        <v>Fox Lake School</v>
      </c>
      <c r="E20" s="1">
        <f>INDEX(TableAFNSchools[Total Funded FTE],MATCH(Table16[[#This Row],[School '#]],TableAFNSchools[School No.],0))</f>
        <v>27</v>
      </c>
      <c r="F20" s="167">
        <f>Table16[[#This Row],[Eligible FTE]]*FundingRate_AAA</f>
        <v>12744</v>
      </c>
      <c r="G20" s="736">
        <f>ROUND(Table16[[#This Row],[Eligible FTE]]*FundingRate_AAA,0)</f>
        <v>12744</v>
      </c>
      <c r="I20" s="706">
        <f>ROUND($J$7*Table16[[#This Row],[Eligible FTE]],0)</f>
        <v>14542</v>
      </c>
      <c r="K20" s="704">
        <f>Table16[[#This Row],[Comparability TOTAL]]+I20</f>
        <v>27286</v>
      </c>
    </row>
    <row r="21" spans="1:12">
      <c r="A21">
        <f>'A. 20-21 FN Schools Data'!A17</f>
        <v>286</v>
      </c>
      <c r="B21" t="str">
        <f>'A. 20-21 FN Schools Data'!B17</f>
        <v>Keeseekoowenin</v>
      </c>
      <c r="C21">
        <f>'A. 20-21 FN Schools Data'!C17</f>
        <v>8990</v>
      </c>
      <c r="D21" t="str">
        <f>'A. 20-21 FN Schools Data'!D17</f>
        <v>Keeseekoowenin School</v>
      </c>
      <c r="E21" s="1">
        <f>INDEX(TableAFNSchools[Total Funded FTE],MATCH(Table16[[#This Row],[School '#]],TableAFNSchools[School No.],0))</f>
        <v>99</v>
      </c>
      <c r="F21" s="167">
        <f>Table16[[#This Row],[Eligible FTE]]*FundingRate_AAA</f>
        <v>46728</v>
      </c>
      <c r="G21" s="736">
        <f>ROUND(Table16[[#This Row],[Eligible FTE]]*FundingRate_AAA,0)</f>
        <v>46728</v>
      </c>
      <c r="I21" s="706">
        <f>ROUND($J$7*Table16[[#This Row],[Eligible FTE]],0)</f>
        <v>53320</v>
      </c>
      <c r="K21" s="704">
        <f>Table16[[#This Row],[Comparability TOTAL]]+I21</f>
        <v>100048</v>
      </c>
    </row>
    <row r="22" spans="1:12">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FTE],MATCH(Table16[[#This Row],[School '#]],TableAFNSchools[School No.],0))</f>
        <v>25</v>
      </c>
      <c r="F22" s="167">
        <f>Table16[[#This Row],[Eligible FTE]]*FundingRate_AAA</f>
        <v>11800</v>
      </c>
      <c r="G22" s="736">
        <f>ROUND(Table16[[#This Row],[Eligible FTE]]*FundingRate_AAA,0)</f>
        <v>11800</v>
      </c>
      <c r="I22" s="706">
        <f>ROUND($J$7*Table16[[#This Row],[Eligible FTE]],0)</f>
        <v>13465</v>
      </c>
      <c r="K22" s="704">
        <f>Table16[[#This Row],[Comparability TOTAL]]+I22</f>
        <v>25265</v>
      </c>
      <c r="L22">
        <f>K22/Table16[[#This Row],[Comparability Approach Total]]</f>
        <v>2.1411016949152541</v>
      </c>
    </row>
    <row r="23" spans="1:12">
      <c r="A23" t="s">
        <v>72</v>
      </c>
      <c r="E23" s="1197">
        <f>SUBTOTAL(109,Table16[Eligible FTE])</f>
        <v>2026</v>
      </c>
      <c r="F23" s="1259">
        <f>SUBTOTAL(109,Table16[Comparability Approach Total])</f>
        <v>956272</v>
      </c>
      <c r="G23" s="737">
        <f>SUBTOTAL(109,Table16[Comparability TOTAL])</f>
        <v>956272</v>
      </c>
      <c r="I23" s="1458">
        <f>SUM(I11:I22)</f>
        <v>1091184</v>
      </c>
      <c r="K23" s="1480">
        <f>SUM(K11:K22)</f>
        <v>2047456</v>
      </c>
    </row>
    <row r="24" spans="1:12">
      <c r="E24" s="1"/>
    </row>
  </sheetData>
  <mergeCells count="3">
    <mergeCell ref="A4:E5"/>
    <mergeCell ref="A6:E6"/>
    <mergeCell ref="A7:E7"/>
  </mergeCells>
  <hyperlinks>
    <hyperlink ref="F7" r:id="rId1" xr:uid="{00000000-0004-0000-1B00-000000000000}"/>
    <hyperlink ref="A8" r:id="rId2" display="Source: Total Frontier Allocation for AAA found in FRAME 2019-20 Budget, Tab 53" xr:uid="{00000000-0004-0000-1B00-000001000000}"/>
  </hyperlinks>
  <pageMargins left="0.7" right="0.7" top="0.75" bottom="0.75" header="0.3" footer="0.3"/>
  <pageSetup orientation="portrait" r:id="rId3"/>
  <headerFooter>
    <oddHeader>&amp;LMFNERC First Nations School System 2017-18&amp;RE&amp;&amp;OE</oddHeader>
    <oddFooter>&amp;L&amp;"Times New Roman"&amp;8NCR#9494837 - v4D</oddFooter>
  </headerFooter>
  <legacyDrawing r:id="rId4"/>
  <tableParts count="1">
    <tablePart r:id="rId5"/>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2"/>
  <dimension ref="A2:N24"/>
  <sheetViews>
    <sheetView topLeftCell="A8" workbookViewId="0">
      <selection activeCell="K12" sqref="K12"/>
    </sheetView>
  </sheetViews>
  <sheetFormatPr baseColWidth="10" defaultColWidth="9.19921875" defaultRowHeight="14"/>
  <cols>
    <col min="2" max="2" width="22.796875" customWidth="1"/>
    <col min="3" max="3" width="8.19921875" customWidth="1"/>
    <col min="4" max="4" width="35.59765625" customWidth="1"/>
    <col min="5" max="5" width="19.796875" customWidth="1"/>
    <col min="6" max="6" width="19" customWidth="1"/>
    <col min="7" max="7" width="15.796875" customWidth="1"/>
    <col min="8" max="8" width="11.59765625" customWidth="1"/>
    <col min="9" max="9" width="15.796875" customWidth="1"/>
    <col min="10" max="10" width="20.796875" customWidth="1"/>
    <col min="11" max="11" width="29.19921875" customWidth="1"/>
    <col min="12" max="12" width="21" customWidth="1"/>
    <col min="13" max="13" width="26.3984375" customWidth="1"/>
    <col min="14" max="14" width="24.19921875" customWidth="1"/>
    <col min="15" max="15" width="18.19921875" customWidth="1"/>
    <col min="16" max="16" width="26" customWidth="1"/>
  </cols>
  <sheetData>
    <row r="2" spans="1:14">
      <c r="A2" t="s">
        <v>465</v>
      </c>
    </row>
    <row r="3" spans="1:14" ht="19">
      <c r="A3" s="757" t="s">
        <v>554</v>
      </c>
      <c r="B3" s="758"/>
      <c r="C3" s="758"/>
      <c r="D3" s="758"/>
      <c r="E3" s="759"/>
      <c r="F3" s="33"/>
    </row>
    <row r="4" spans="1:14" ht="27.75" customHeight="1">
      <c r="A4" s="1653" t="s">
        <v>555</v>
      </c>
      <c r="B4" s="1653"/>
      <c r="C4" s="1653"/>
      <c r="D4" s="1653"/>
      <c r="E4" s="1653"/>
      <c r="F4" s="1688" t="s">
        <v>556</v>
      </c>
      <c r="G4" s="1689"/>
      <c r="I4" s="75"/>
      <c r="K4" s="75"/>
      <c r="L4" s="75"/>
    </row>
    <row r="5" spans="1:14" ht="41.25" customHeight="1">
      <c r="A5" s="1687" t="s">
        <v>557</v>
      </c>
      <c r="B5" s="1687"/>
      <c r="C5" s="1687"/>
      <c r="D5" s="1687"/>
      <c r="E5" s="1687"/>
      <c r="F5" s="1228" t="s">
        <v>558</v>
      </c>
      <c r="G5" s="1260">
        <v>65</v>
      </c>
      <c r="I5" s="75"/>
      <c r="K5" s="75"/>
      <c r="L5" s="75"/>
    </row>
    <row r="6" spans="1:14" ht="20.25" customHeight="1">
      <c r="A6" s="753" t="s">
        <v>559</v>
      </c>
      <c r="B6" s="752"/>
      <c r="C6" s="752"/>
      <c r="D6" s="755"/>
      <c r="E6" s="756"/>
      <c r="F6" s="1228" t="s">
        <v>560</v>
      </c>
      <c r="G6" s="1261">
        <v>130</v>
      </c>
    </row>
    <row r="7" spans="1:14">
      <c r="A7" s="1262" t="s">
        <v>328</v>
      </c>
      <c r="B7" s="1263">
        <v>1622.92</v>
      </c>
      <c r="C7" s="754" t="s">
        <v>462</v>
      </c>
      <c r="F7" s="1228" t="s">
        <v>561</v>
      </c>
      <c r="G7" s="1260">
        <v>14</v>
      </c>
      <c r="M7" s="52"/>
      <c r="N7" s="52"/>
    </row>
    <row r="8" spans="1:14" ht="15">
      <c r="F8" s="585" t="s">
        <v>562</v>
      </c>
    </row>
    <row r="9" spans="1:14">
      <c r="E9" s="137"/>
    </row>
    <row r="10" spans="1:14" ht="59.25" customHeight="1">
      <c r="A10" s="113" t="s">
        <v>285</v>
      </c>
      <c r="B10" s="113" t="s">
        <v>286</v>
      </c>
      <c r="C10" s="113" t="s">
        <v>330</v>
      </c>
      <c r="D10" s="113" t="s">
        <v>331</v>
      </c>
      <c r="E10" s="117" t="s">
        <v>563</v>
      </c>
      <c r="F10" s="117" t="s">
        <v>564</v>
      </c>
      <c r="G10" s="887" t="s">
        <v>565</v>
      </c>
      <c r="H10" s="117" t="s">
        <v>566</v>
      </c>
      <c r="I10" s="175" t="s">
        <v>567</v>
      </c>
      <c r="J10" s="122" t="s">
        <v>568</v>
      </c>
      <c r="K10" s="1555" t="s">
        <v>458</v>
      </c>
    </row>
    <row r="11" spans="1:14">
      <c r="A11">
        <f>'A. 20-21 FN Schools Data'!A7</f>
        <v>272</v>
      </c>
      <c r="B11" t="str">
        <f>'A. 20-21 FN Schools Data'!B7</f>
        <v>Pinaymootang</v>
      </c>
      <c r="C11">
        <f>'A. 20-21 FN Schools Data'!C7</f>
        <v>1140</v>
      </c>
      <c r="D11" t="str">
        <f>'A. 20-21 FN Schools Data'!D7</f>
        <v>Pinaymootang School</v>
      </c>
      <c r="H11" s="1">
        <f>INDEX(TableAFNSchools[Total Funded FTE],MATCH(Table20[[#This Row],[School '#]],TableAFNSchools[School No.],0))</f>
        <v>435</v>
      </c>
      <c r="I11"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1" s="1138">
        <f>ROUND(Table20[[#This Row],[Total Eligible FTE]]*FundingRate_IndLanguageCulture,0)</f>
        <v>705970</v>
      </c>
      <c r="K11" s="19">
        <f>Table20[[#This Row],[ENHANCED Aboriginal Languages TOTAL]]/Table20[[#This Row],[Total Eligible FTE]]</f>
        <v>1622.9195402298851</v>
      </c>
    </row>
    <row r="12" spans="1:14">
      <c r="A12">
        <f>'A. 20-21 FN Schools Data'!A8</f>
        <v>275</v>
      </c>
      <c r="B12" t="str">
        <f>'A. 20-21 FN Schools Data'!B8</f>
        <v>Lake St. Martin</v>
      </c>
      <c r="C12">
        <f>'A. 20-21 FN Schools Data'!C8</f>
        <v>1144</v>
      </c>
      <c r="D12" t="str">
        <f>'A. 20-21 FN Schools Data'!D8</f>
        <v>Lake St. Martin School</v>
      </c>
      <c r="H12" s="1">
        <f>INDEX(TableAFNSchools[Total Funded FTE],MATCH(Table20[[#This Row],[School '#]],TableAFNSchools[School No.],0))</f>
        <v>398</v>
      </c>
      <c r="I12"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2" s="1138">
        <f>ROUND(Table20[[#This Row],[Total Eligible FTE]]*FundingRate_IndLanguageCulture,0)</f>
        <v>645922</v>
      </c>
      <c r="K12" s="19">
        <f>Table20[[#This Row],[ENHANCED Aboriginal Languages TOTAL]]/Table20[[#This Row],[Total Eligible FTE]]</f>
        <v>1622.9195979899498</v>
      </c>
    </row>
    <row r="13" spans="1:14">
      <c r="A13">
        <f>'A. 20-21 FN Schools Data'!A9</f>
        <v>267</v>
      </c>
      <c r="B13" t="str">
        <f>'A. 20-21 FN Schools Data'!B9</f>
        <v>Bloodvein</v>
      </c>
      <c r="C13">
        <f>'A. 20-21 FN Schools Data'!C9</f>
        <v>1148</v>
      </c>
      <c r="D13" t="str">
        <f>'A. 20-21 FN Schools Data'!D9</f>
        <v>Miskooseepi School</v>
      </c>
      <c r="H13" s="1">
        <f>INDEX(TableAFNSchools[Total Funded FTE],MATCH(Table20[[#This Row],[School '#]],TableAFNSchools[School No.],0))</f>
        <v>194</v>
      </c>
      <c r="I13"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3" s="1138">
        <f>ROUND(Table20[[#This Row],[Total Eligible FTE]]*FundingRate_IndLanguageCulture,0)</f>
        <v>314846</v>
      </c>
      <c r="K13" s="19">
        <f>Table20[[#This Row],[ENHANCED Aboriginal Languages TOTAL]]/Table20[[#This Row],[Total Eligible FTE]]</f>
        <v>1622.9175257731958</v>
      </c>
    </row>
    <row r="14" spans="1:14">
      <c r="A14">
        <f>'A. 20-21 FN Schools Data'!A10</f>
        <v>304</v>
      </c>
      <c r="B14" t="str">
        <f>'A. 20-21 FN Schools Data'!B10</f>
        <v>York Factory</v>
      </c>
      <c r="C14">
        <f>'A. 20-21 FN Schools Data'!C10</f>
        <v>1166</v>
      </c>
      <c r="D14" t="str">
        <f>'A. 20-21 FN Schools Data'!D10</f>
        <v>George Saunders Memorial School</v>
      </c>
      <c r="H14" s="1">
        <f>INDEX(TableAFNSchools[Total Funded FTE],MATCH(Table20[[#This Row],[School '#]],TableAFNSchools[School No.],0))</f>
        <v>142</v>
      </c>
      <c r="I14"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4" s="1138">
        <f>ROUND(Table20[[#This Row],[Total Eligible FTE]]*FundingRate_IndLanguageCulture,0)</f>
        <v>230455</v>
      </c>
      <c r="K14" s="19">
        <f>Table20[[#This Row],[ENHANCED Aboriginal Languages TOTAL]]/Table20[[#This Row],[Total Eligible FTE]]</f>
        <v>1622.9225352112676</v>
      </c>
    </row>
    <row r="15" spans="1:14">
      <c r="A15">
        <f>'A. 20-21 FN Schools Data'!A11</f>
        <v>271</v>
      </c>
      <c r="B15" t="str">
        <f>'A. 20-21 FN Schools Data'!B11</f>
        <v>Lake Manitoba</v>
      </c>
      <c r="C15">
        <f>'A. 20-21 FN Schools Data'!C11</f>
        <v>1345</v>
      </c>
      <c r="D15" t="str">
        <f>'A. 20-21 FN Schools Data'!D11</f>
        <v>Lake Manitoba School</v>
      </c>
      <c r="H15" s="1">
        <f>INDEX(TableAFNSchools[Total Funded FTE],MATCH(Table20[[#This Row],[School '#]],TableAFNSchools[School No.],0))</f>
        <v>303</v>
      </c>
      <c r="I15"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5" s="1138">
        <f>ROUND(Table20[[#This Row],[Total Eligible FTE]]*FundingRate_IndLanguageCulture,0)</f>
        <v>491745</v>
      </c>
      <c r="K15" s="19">
        <f>Table20[[#This Row],[ENHANCED Aboriginal Languages TOTAL]]/Table20[[#This Row],[Total Eligible FTE]]</f>
        <v>1622.920792079208</v>
      </c>
    </row>
    <row r="16" spans="1:14">
      <c r="A16">
        <f>'A. 20-21 FN Schools Data'!A12</f>
        <v>295</v>
      </c>
      <c r="B16" t="str">
        <f>'A. 20-21 FN Schools Data'!B12</f>
        <v>Dakota Tipi</v>
      </c>
      <c r="C16">
        <f>'A. 20-21 FN Schools Data'!C12</f>
        <v>1350</v>
      </c>
      <c r="D16" t="str">
        <f>'A. 20-21 FN Schools Data'!D12</f>
        <v>Dakota Tipi School</v>
      </c>
      <c r="H16" s="1">
        <f>INDEX(TableAFNSchools[Total Funded FTE],MATCH(Table20[[#This Row],[School '#]],TableAFNSchools[School No.],0))</f>
        <v>41</v>
      </c>
      <c r="I16"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6" s="1138">
        <f>ROUND(Table20[[#This Row],[Total Eligible FTE]]*FundingRate_IndLanguageCulture,0)</f>
        <v>66540</v>
      </c>
      <c r="K16" s="19">
        <f>Table20[[#This Row],[ENHANCED Aboriginal Languages TOTAL]]/Table20[[#This Row],[Total Eligible FTE]]</f>
        <v>1622.9268292682927</v>
      </c>
    </row>
    <row r="17" spans="1:11">
      <c r="A17">
        <f>'A. 20-21 FN Schools Data'!A13</f>
        <v>288</v>
      </c>
      <c r="B17" t="str">
        <f>'A. 20-21 FN Schools Data'!B13</f>
        <v>Dakota Plains</v>
      </c>
      <c r="C17">
        <f>'A. 20-21 FN Schools Data'!C13</f>
        <v>1486</v>
      </c>
      <c r="D17" t="str">
        <f>'A. 20-21 FN Schools Data'!D13</f>
        <v>Mahpiya Hdega School</v>
      </c>
      <c r="F17">
        <f>'T. Ext of FN Language'!D9</f>
        <v>1</v>
      </c>
      <c r="H17" s="1">
        <f>INDEX(TableAFNSchools[Total Funded FTE],MATCH(Table20[[#This Row],[School '#]],TableAFNSchools[School No.],0))</f>
        <v>86</v>
      </c>
      <c r="I17" s="139">
        <f>(Table20[[#This Row],[K4-K5 Eligible Headcount All or More than One Subject]]*FundingRate_AILKindergarten)+(Table20[[#This Row],[Grade 1-12 Eligible Headcount All or More than One Subject]]*FundingRate_AILGr1to12)+(Table20[[#This Row],[K4-12 Eligible Headcount One Subject]]*FundingRate_AILperCourse)</f>
        <v>130</v>
      </c>
      <c r="J17" s="1138">
        <f>ROUND(Table20[[#This Row],[Total Eligible FTE]]*FundingRate_IndLanguageCulture,0)</f>
        <v>139571</v>
      </c>
      <c r="K17" s="19">
        <f>Table20[[#This Row],[ENHANCED Aboriginal Languages TOTAL]]/Table20[[#This Row],[Total Eligible FTE]]</f>
        <v>1622.9186046511627</v>
      </c>
    </row>
    <row r="18" spans="1:11">
      <c r="A18">
        <f>'A. 20-21 FN Schools Data'!A14</f>
        <v>261</v>
      </c>
      <c r="B18" t="str">
        <f>'A. 20-21 FN Schools Data'!B14</f>
        <v>Brokenhead</v>
      </c>
      <c r="C18">
        <f>'A. 20-21 FN Schools Data'!C14</f>
        <v>1756</v>
      </c>
      <c r="D18" t="str">
        <f>'A. 20-21 FN Schools Data'!D14</f>
        <v>Sergeant Tommy Prince School</v>
      </c>
      <c r="H18" s="1">
        <f>INDEX(TableAFNSchools[Total Funded FTE],MATCH(Table20[[#This Row],[School '#]],TableAFNSchools[School No.],0))</f>
        <v>123</v>
      </c>
      <c r="I18"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8" s="1138">
        <f>ROUND(Table20[[#This Row],[Total Eligible FTE]]*FundingRate_IndLanguageCulture,0)</f>
        <v>199619</v>
      </c>
      <c r="K18" s="19">
        <f>Table20[[#This Row],[ENHANCED Aboriginal Languages TOTAL]]/Table20[[#This Row],[Total Eligible FTE]]</f>
        <v>1622.9186991869919</v>
      </c>
    </row>
    <row r="19" spans="1:11">
      <c r="A19">
        <f>'A. 20-21 FN Schools Data'!A15</f>
        <v>273</v>
      </c>
      <c r="B19" t="str">
        <f>'A. 20-21 FN Schools Data'!B15</f>
        <v>Roseau River</v>
      </c>
      <c r="C19">
        <f>'A. 20-21 FN Schools Data'!C15</f>
        <v>5717</v>
      </c>
      <c r="D19" t="str">
        <f>'A. 20-21 FN Schools Data'!D15</f>
        <v>Ginew School</v>
      </c>
      <c r="H19" s="1">
        <f>INDEX(TableAFNSchools[Total Funded FTE],MATCH(Table20[[#This Row],[School '#]],TableAFNSchools[School No.],0))</f>
        <v>153</v>
      </c>
      <c r="I19"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19" s="1138">
        <f>ROUND(Table20[[#This Row],[Total Eligible FTE]]*FundingRate_IndLanguageCulture,0)</f>
        <v>248307</v>
      </c>
      <c r="K19" s="19">
        <f>Table20[[#This Row],[ENHANCED Aboriginal Languages TOTAL]]/Table20[[#This Row],[Total Eligible FTE]]</f>
        <v>1622.9215686274511</v>
      </c>
    </row>
    <row r="20" spans="1:11">
      <c r="A20">
        <f>'A. 20-21 FN Schools Data'!A16</f>
        <v>305</v>
      </c>
      <c r="B20" t="str">
        <f>'A. 20-21 FN Schools Data'!B16</f>
        <v>Fox Lake</v>
      </c>
      <c r="C20">
        <f>'A. 20-21 FN Schools Data'!C16</f>
        <v>6413</v>
      </c>
      <c r="D20" t="str">
        <f>'A. 20-21 FN Schools Data'!D16</f>
        <v>Fox Lake School</v>
      </c>
      <c r="H20" s="1">
        <f>INDEX(TableAFNSchools[Total Funded FTE],MATCH(Table20[[#This Row],[School '#]],TableAFNSchools[School No.],0))</f>
        <v>27</v>
      </c>
      <c r="I20"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20" s="1138">
        <f>ROUND(Table20[[#This Row],[Total Eligible FTE]]*FundingRate_IndLanguageCulture,0)</f>
        <v>43819</v>
      </c>
      <c r="K20" s="19">
        <f>Table20[[#This Row],[ENHANCED Aboriginal Languages TOTAL]]/Table20[[#This Row],[Total Eligible FTE]]</f>
        <v>1622.9259259259259</v>
      </c>
    </row>
    <row r="21" spans="1:11">
      <c r="A21">
        <f>'A. 20-21 FN Schools Data'!A17</f>
        <v>286</v>
      </c>
      <c r="B21" t="str">
        <f>'A. 20-21 FN Schools Data'!B17</f>
        <v>Keeseekoowenin</v>
      </c>
      <c r="C21">
        <f>'A. 20-21 FN Schools Data'!C17</f>
        <v>8990</v>
      </c>
      <c r="D21" t="str">
        <f>'A. 20-21 FN Schools Data'!D17</f>
        <v>Keeseekoowenin School</v>
      </c>
      <c r="H21" s="1">
        <f>INDEX(TableAFNSchools[Total Funded FTE],MATCH(Table20[[#This Row],[School '#]],TableAFNSchools[School No.],0))</f>
        <v>99</v>
      </c>
      <c r="I21" s="139">
        <f>(Table20[[#This Row],[K4-K5 Eligible Headcount All or More than One Subject]]*FundingRate_AILKindergarten)+(Table20[[#This Row],[Grade 1-12 Eligible Headcount All or More than One Subject]]*FundingRate_AILGr1to12)+(Table20[[#This Row],[K4-12 Eligible Headcount One Subject]]*FundingRate_AILperCourse)</f>
        <v>0</v>
      </c>
      <c r="J21" s="1138">
        <f>ROUND(Table20[[#This Row],[Total Eligible FTE]]*FundingRate_IndLanguageCulture,0)</f>
        <v>160669</v>
      </c>
      <c r="K21" s="19">
        <f>Table20[[#This Row],[ENHANCED Aboriginal Languages TOTAL]]/Table20[[#This Row],[Total Eligible FTE]]</f>
        <v>1622.9191919191919</v>
      </c>
    </row>
    <row r="22" spans="1:11">
      <c r="A22">
        <f>'A. 20-21 FN Schools Data'!A18</f>
        <v>261</v>
      </c>
      <c r="B22" t="str">
        <f>'A. 20-21 FN Schools Data'!B18</f>
        <v>Brokenhead</v>
      </c>
      <c r="C22">
        <f>'A. 20-21 FN Schools Data'!C18</f>
        <v>50250</v>
      </c>
      <c r="D22" t="str">
        <f>'A. 20-21 FN Schools Data'!D18</f>
        <v>Brokenhead Ojibway Nation Adult Learning Centre</v>
      </c>
      <c r="F22">
        <f>'T. Ext of FN Language'!D10</f>
        <v>1</v>
      </c>
      <c r="H22" s="1">
        <f>INDEX(TableAFNSchools[Total Funded FTE],MATCH(Table20[[#This Row],[School '#]],TableAFNSchools[School No.],0))</f>
        <v>25</v>
      </c>
      <c r="I22" s="139">
        <f>(Table20[[#This Row],[K4-K5 Eligible Headcount All or More than One Subject]]*FundingRate_AILKindergarten)+(Table20[[#This Row],[Grade 1-12 Eligible Headcount All or More than One Subject]]*FundingRate_AILGr1to12)+(Table20[[#This Row],[K4-12 Eligible Headcount One Subject]]*FundingRate_AILperCourse)</f>
        <v>130</v>
      </c>
      <c r="J22" s="1138">
        <f>ROUND(Table20[[#This Row],[Total Eligible FTE]]*FundingRate_IndLanguageCulture,0)</f>
        <v>40573</v>
      </c>
      <c r="K22" s="19">
        <f>Table20[[#This Row],[ENHANCED Aboriginal Languages TOTAL]]/Table20[[#This Row],[Total Eligible FTE]]</f>
        <v>1622.92</v>
      </c>
    </row>
    <row r="23" spans="1:11">
      <c r="A23" t="s">
        <v>72</v>
      </c>
      <c r="E23">
        <f>SUBTOTAL(109,Table20[K4-K5 Eligible Headcount All or More than One Subject])</f>
        <v>0</v>
      </c>
      <c r="F23">
        <f>SUBTOTAL(109,Table20[Grade 1-12 Eligible Headcount All or More than One Subject])</f>
        <v>2</v>
      </c>
      <c r="G23" s="1209">
        <f>SUBTOTAL(109,Table20[K4-12 Eligible Headcount One Subject])</f>
        <v>0</v>
      </c>
      <c r="H23" s="1197">
        <f>SUBTOTAL(109,Table20[Total Eligible FTE])</f>
        <v>2026</v>
      </c>
      <c r="I23" s="1264">
        <f>SUBTOTAL(109,Table20[Comparability Aboriginal Languages TOTAL])</f>
        <v>260</v>
      </c>
      <c r="J23" s="1265">
        <f>SUBTOTAL(109,Table20[ENHANCED Aboriginal Languages TOTAL])</f>
        <v>3288036</v>
      </c>
    </row>
    <row r="24" spans="1:11" ht="15">
      <c r="H24" s="1"/>
      <c r="I24" s="1"/>
      <c r="J24" s="22"/>
    </row>
  </sheetData>
  <mergeCells count="3">
    <mergeCell ref="A4:E4"/>
    <mergeCell ref="A5:E5"/>
    <mergeCell ref="F4:G4"/>
  </mergeCells>
  <hyperlinks>
    <hyperlink ref="F8" r:id="rId1" xr:uid="{00000000-0004-0000-1C00-000000000000}"/>
  </hyperlinks>
  <pageMargins left="0.7" right="0.7" top="0.75" bottom="0.75" header="0.3" footer="0.3"/>
  <pageSetup paperSize="5" orientation="landscape" r:id="rId2"/>
  <headerFooter>
    <oddHeader>&amp;LMFNERC First Nations School System 2017-18&amp;RE&amp;&amp;OE</oddHeader>
  </headerFooter>
  <legacyDrawing r:id="rId3"/>
  <tableParts count="1">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3"/>
  <dimension ref="A2:J24"/>
  <sheetViews>
    <sheetView topLeftCell="A8" workbookViewId="0">
      <selection activeCell="J12" sqref="J12"/>
    </sheetView>
  </sheetViews>
  <sheetFormatPr baseColWidth="10" defaultColWidth="9.19921875" defaultRowHeight="14"/>
  <cols>
    <col min="2" max="2" width="18.3984375" customWidth="1"/>
    <col min="3" max="3" width="8.19921875" customWidth="1"/>
    <col min="4" max="4" width="31" customWidth="1"/>
    <col min="5" max="5" width="15.59765625" customWidth="1"/>
    <col min="6" max="8" width="13.19921875" customWidth="1"/>
    <col min="9" max="9" width="15" customWidth="1"/>
    <col min="10" max="10" width="14.59765625" customWidth="1"/>
    <col min="11" max="11" width="18.796875" customWidth="1"/>
    <col min="14" max="14" width="9.19921875" customWidth="1"/>
  </cols>
  <sheetData>
    <row r="2" spans="1:10">
      <c r="A2" t="s">
        <v>465</v>
      </c>
    </row>
    <row r="3" spans="1:10" ht="19">
      <c r="A3" s="750" t="s">
        <v>569</v>
      </c>
      <c r="B3" s="751"/>
      <c r="C3" s="751"/>
      <c r="D3" s="763"/>
      <c r="E3" s="762"/>
    </row>
    <row r="4" spans="1:10" ht="24.75" customHeight="1">
      <c r="A4" s="1653" t="s">
        <v>570</v>
      </c>
      <c r="B4" s="1653"/>
      <c r="C4" s="1653"/>
      <c r="D4" s="1653"/>
      <c r="E4" s="1653"/>
      <c r="F4" s="760"/>
    </row>
    <row r="5" spans="1:10" ht="25.5" customHeight="1">
      <c r="A5" s="1690" t="s">
        <v>571</v>
      </c>
      <c r="B5" s="1690"/>
      <c r="C5" s="1690"/>
      <c r="D5" s="1690"/>
      <c r="E5" s="1691"/>
    </row>
    <row r="6" spans="1:10" ht="30">
      <c r="A6" s="1692" t="s">
        <v>572</v>
      </c>
      <c r="B6" s="1692"/>
      <c r="C6" s="1266">
        <v>45</v>
      </c>
      <c r="D6" s="1267" t="s">
        <v>573</v>
      </c>
      <c r="E6" s="1256">
        <v>45</v>
      </c>
    </row>
    <row r="7" spans="1:10" ht="30">
      <c r="A7" s="1692" t="s">
        <v>574</v>
      </c>
      <c r="B7" s="1692"/>
      <c r="C7" s="1266">
        <v>45</v>
      </c>
      <c r="D7" s="1267" t="s">
        <v>575</v>
      </c>
      <c r="E7" s="1268">
        <v>12</v>
      </c>
      <c r="I7" s="52"/>
      <c r="J7" s="52"/>
    </row>
    <row r="8" spans="1:10" ht="16.5" customHeight="1">
      <c r="A8" s="1693" t="s">
        <v>576</v>
      </c>
      <c r="B8" s="1693"/>
      <c r="C8" s="1269">
        <v>9.9000000000000005E-2</v>
      </c>
      <c r="D8" s="960" t="s">
        <v>577</v>
      </c>
    </row>
    <row r="10" spans="1:10" ht="42.75" customHeight="1">
      <c r="A10" s="114" t="s">
        <v>285</v>
      </c>
      <c r="B10" s="114" t="s">
        <v>286</v>
      </c>
      <c r="C10" s="114" t="s">
        <v>330</v>
      </c>
      <c r="D10" s="114" t="s">
        <v>331</v>
      </c>
      <c r="E10" s="114" t="s">
        <v>578</v>
      </c>
      <c r="F10" s="114" t="s">
        <v>579</v>
      </c>
      <c r="G10" s="114" t="s">
        <v>580</v>
      </c>
      <c r="H10" s="114" t="s">
        <v>581</v>
      </c>
      <c r="I10" s="742" t="s">
        <v>322</v>
      </c>
      <c r="J10" s="1556" t="s">
        <v>458</v>
      </c>
    </row>
    <row r="11" spans="1:10">
      <c r="A11">
        <f>'A. 20-21 FN Schools Data'!A7</f>
        <v>272</v>
      </c>
      <c r="B11" t="str">
        <f>'A. 20-21 FN Schools Data'!B7</f>
        <v>Pinaymootang</v>
      </c>
      <c r="C11">
        <f>'A. 20-21 FN Schools Data'!C7</f>
        <v>1140</v>
      </c>
      <c r="D11" t="str">
        <f>'A. 20-21 FN Schools Data'!D7</f>
        <v>Pinaymootang School</v>
      </c>
      <c r="E11" s="1">
        <f>INDEX(TableAFNSchools[Total FTE K4-Gr.3 and Elementary Ungraded ],MATCH(Table21[[#This Row],[School '#]],TableAFNSchools[School No.],0))</f>
        <v>145</v>
      </c>
      <c r="F11" s="1">
        <f>INDEX(TableAFNSchools[Gr. 4-6 FTE],MATCH(Table21[[#This Row],[School '#]],TableAFNSchools[School No.],0))</f>
        <v>79</v>
      </c>
      <c r="G11" s="1">
        <f>INDEX(TableAFNSchools[Gr. 7-8 FTE],MATCH(Table21[[#This Row],[School '#]],TableAFNSchools[School No.],0))</f>
        <v>62</v>
      </c>
      <c r="H11" s="1">
        <f>INDEX(TableAFNSchools[Gr. 9-12 FTE and Sec Ungraded],MATCH(Table21[[#This Row],[School '#]],TableAFNSchools[School No.],0))</f>
        <v>149</v>
      </c>
      <c r="I11" s="740">
        <f>ROUND((FundingRate_FREK4toGr3*(Table21[[#This Row],[K4 to Grade 3 FTE and Ungrad. Elem.]]*FRE_Instr_Time))+(FundingRate_FREGr4to6*(Table21[[#This Row],[Grade 4-6 FTE]]*FRE_Instr_Time))+(FundingRate_FREGr7to8*(Table21[[#This Row],[Grade 7-8 FTE]]*FRE_Instr_Time))+(FundingRate_FREGr9to12*Table21[[#This Row],[Grade 9-12 FTE]]),0)</f>
        <v>3062</v>
      </c>
      <c r="J11" s="1">
        <f>Table21[[#This Row],[TOTAL]]/(Table21[[#This Row],[Grade 9-12 FTE]]+Table21[[#This Row],[Grade 7-8 FTE]]+Table21[[#This Row],[Grade 4-6 FTE]]+Table21[[#This Row],[K4 to Grade 3 FTE and Ungrad. Elem.]])</f>
        <v>7.0390804597701147</v>
      </c>
    </row>
    <row r="12" spans="1:10">
      <c r="A12">
        <f>'A. 20-21 FN Schools Data'!A8</f>
        <v>275</v>
      </c>
      <c r="B12" t="str">
        <f>'A. 20-21 FN Schools Data'!B8</f>
        <v>Lake St. Martin</v>
      </c>
      <c r="C12">
        <f>'A. 20-21 FN Schools Data'!C8</f>
        <v>1144</v>
      </c>
      <c r="D12" t="str">
        <f>'A. 20-21 FN Schools Data'!D8</f>
        <v>Lake St. Martin School</v>
      </c>
      <c r="E12" s="1">
        <f>INDEX(TableAFNSchools[Total FTE K4-Gr.3 and Elementary Ungraded ],MATCH(Table21[[#This Row],[School '#]],TableAFNSchools[School No.],0))</f>
        <v>148</v>
      </c>
      <c r="F12" s="1">
        <f>INDEX(TableAFNSchools[Gr. 4-6 FTE],MATCH(Table21[[#This Row],[School '#]],TableAFNSchools[School No.],0))</f>
        <v>94</v>
      </c>
      <c r="G12" s="1">
        <f>INDEX(TableAFNSchools[Gr. 7-8 FTE],MATCH(Table21[[#This Row],[School '#]],TableAFNSchools[School No.],0))</f>
        <v>59</v>
      </c>
      <c r="H12" s="1">
        <f>INDEX(TableAFNSchools[Gr. 9-12 FTE and Sec Ungraded],MATCH(Table21[[#This Row],[School '#]],TableAFNSchools[School No.],0))</f>
        <v>97</v>
      </c>
      <c r="I12" s="740">
        <f>ROUND((FundingRate_FREK4toGr3*(Table21[[#This Row],[K4 to Grade 3 FTE and Ungrad. Elem.]]*FRE_Instr_Time))+(FundingRate_FREGr4to6*(Table21[[#This Row],[Grade 4-6 FTE]]*FRE_Instr_Time))+(FundingRate_FREGr7to8*(Table21[[#This Row],[Grade 7-8 FTE]]*FRE_Instr_Time))+(FundingRate_FREGr9to12*Table21[[#This Row],[Grade 9-12 FTE]]),0)</f>
        <v>2505</v>
      </c>
      <c r="J12" s="1">
        <f>Table21[[#This Row],[TOTAL]]/(Table21[[#This Row],[Grade 9-12 FTE]]+Table21[[#This Row],[Grade 7-8 FTE]]+Table21[[#This Row],[Grade 4-6 FTE]]+Table21[[#This Row],[K4 to Grade 3 FTE and Ungrad. Elem.]])</f>
        <v>6.2939698492462313</v>
      </c>
    </row>
    <row r="13" spans="1:10">
      <c r="A13">
        <f>'A. 20-21 FN Schools Data'!A9</f>
        <v>267</v>
      </c>
      <c r="B13" t="str">
        <f>'A. 20-21 FN Schools Data'!B9</f>
        <v>Bloodvein</v>
      </c>
      <c r="C13">
        <f>'A. 20-21 FN Schools Data'!C9</f>
        <v>1148</v>
      </c>
      <c r="D13" t="str">
        <f>'A. 20-21 FN Schools Data'!D9</f>
        <v>Miskooseepi School</v>
      </c>
      <c r="E13" s="1">
        <f>INDEX(TableAFNSchools[Total FTE K4-Gr.3 and Elementary Ungraded ],MATCH(Table21[[#This Row],[School '#]],TableAFNSchools[School No.],0))</f>
        <v>86</v>
      </c>
      <c r="F13" s="1">
        <f>INDEX(TableAFNSchools[Gr. 4-6 FTE],MATCH(Table21[[#This Row],[School '#]],TableAFNSchools[School No.],0))</f>
        <v>54</v>
      </c>
      <c r="G13" s="1">
        <f>INDEX(TableAFNSchools[Gr. 7-8 FTE],MATCH(Table21[[#This Row],[School '#]],TableAFNSchools[School No.],0))</f>
        <v>36</v>
      </c>
      <c r="H13" s="1">
        <f>INDEX(TableAFNSchools[Gr. 9-12 FTE and Sec Ungraded],MATCH(Table21[[#This Row],[School '#]],TableAFNSchools[School No.],0))</f>
        <v>18</v>
      </c>
      <c r="I13" s="740">
        <f>ROUND((FundingRate_FREK4toGr3*(Table21[[#This Row],[K4 to Grade 3 FTE and Ungrad. Elem.]]*FRE_Instr_Time))+(FundingRate_FREGr4to6*(Table21[[#This Row],[Grade 4-6 FTE]]*FRE_Instr_Time))+(FundingRate_FREGr7to8*(Table21[[#This Row],[Grade 7-8 FTE]]*FRE_Instr_Time))+(FundingRate_FREGr9to12*Table21[[#This Row],[Grade 9-12 FTE]]),0)</f>
        <v>1000</v>
      </c>
      <c r="J13" s="1">
        <f>Table21[[#This Row],[TOTAL]]/(Table21[[#This Row],[Grade 9-12 FTE]]+Table21[[#This Row],[Grade 7-8 FTE]]+Table21[[#This Row],[Grade 4-6 FTE]]+Table21[[#This Row],[K4 to Grade 3 FTE and Ungrad. Elem.]])</f>
        <v>5.1546391752577323</v>
      </c>
    </row>
    <row r="14" spans="1:10">
      <c r="A14">
        <f>'A. 20-21 FN Schools Data'!A10</f>
        <v>304</v>
      </c>
      <c r="B14" t="str">
        <f>'A. 20-21 FN Schools Data'!B10</f>
        <v>York Factory</v>
      </c>
      <c r="C14">
        <f>'A. 20-21 FN Schools Data'!C10</f>
        <v>1166</v>
      </c>
      <c r="D14" t="str">
        <f>'A. 20-21 FN Schools Data'!D10</f>
        <v>George Saunders Memorial School</v>
      </c>
      <c r="E14" s="1">
        <f>INDEX(TableAFNSchools[Total FTE K4-Gr.3 and Elementary Ungraded ],MATCH(Table21[[#This Row],[School '#]],TableAFNSchools[School No.],0))</f>
        <v>57</v>
      </c>
      <c r="F14" s="1">
        <f>INDEX(TableAFNSchools[Gr. 4-6 FTE],MATCH(Table21[[#This Row],[School '#]],TableAFNSchools[School No.],0))</f>
        <v>32</v>
      </c>
      <c r="G14" s="1">
        <f>INDEX(TableAFNSchools[Gr. 7-8 FTE],MATCH(Table21[[#This Row],[School '#]],TableAFNSchools[School No.],0))</f>
        <v>22</v>
      </c>
      <c r="H14" s="1">
        <f>INDEX(TableAFNSchools[Gr. 9-12 FTE and Sec Ungraded],MATCH(Table21[[#This Row],[School '#]],TableAFNSchools[School No.],0))</f>
        <v>31</v>
      </c>
      <c r="I14" s="740">
        <f>ROUND((FundingRate_FREK4toGr3*(Table21[[#This Row],[K4 to Grade 3 FTE and Ungrad. Elem.]]*FRE_Instr_Time))+(FundingRate_FREGr4to6*(Table21[[#This Row],[Grade 4-6 FTE]]*FRE_Instr_Time))+(FundingRate_FREGr7to8*(Table21[[#This Row],[Grade 7-8 FTE]]*FRE_Instr_Time))+(FundingRate_FREGr9to12*Table21[[#This Row],[Grade 9-12 FTE]]),0)</f>
        <v>867</v>
      </c>
      <c r="J14" s="1">
        <f>Table21[[#This Row],[TOTAL]]/(Table21[[#This Row],[Grade 9-12 FTE]]+Table21[[#This Row],[Grade 7-8 FTE]]+Table21[[#This Row],[Grade 4-6 FTE]]+Table21[[#This Row],[K4 to Grade 3 FTE and Ungrad. Elem.]])</f>
        <v>6.105633802816901</v>
      </c>
    </row>
    <row r="15" spans="1:10">
      <c r="A15">
        <f>'A. 20-21 FN Schools Data'!A11</f>
        <v>271</v>
      </c>
      <c r="B15" t="str">
        <f>'A. 20-21 FN Schools Data'!B11</f>
        <v>Lake Manitoba</v>
      </c>
      <c r="C15">
        <f>'A. 20-21 FN Schools Data'!C11</f>
        <v>1345</v>
      </c>
      <c r="D15" t="str">
        <f>'A. 20-21 FN Schools Data'!D11</f>
        <v>Lake Manitoba School</v>
      </c>
      <c r="E15" s="1">
        <f>INDEX(TableAFNSchools[Total FTE K4-Gr.3 and Elementary Ungraded ],MATCH(Table21[[#This Row],[School '#]],TableAFNSchools[School No.],0))</f>
        <v>109</v>
      </c>
      <c r="F15" s="1">
        <f>INDEX(TableAFNSchools[Gr. 4-6 FTE],MATCH(Table21[[#This Row],[School '#]],TableAFNSchools[School No.],0))</f>
        <v>52</v>
      </c>
      <c r="G15" s="1">
        <f>INDEX(TableAFNSchools[Gr. 7-8 FTE],MATCH(Table21[[#This Row],[School '#]],TableAFNSchools[School No.],0))</f>
        <v>49</v>
      </c>
      <c r="H15" s="1">
        <f>INDEX(TableAFNSchools[Gr. 9-12 FTE and Sec Ungraded],MATCH(Table21[[#This Row],[School '#]],TableAFNSchools[School No.],0))</f>
        <v>93</v>
      </c>
      <c r="I15" s="740">
        <f>ROUND((FundingRate_FREK4toGr3*(Table21[[#This Row],[K4 to Grade 3 FTE and Ungrad. Elem.]]*FRE_Instr_Time))+(FundingRate_FREGr4to6*(Table21[[#This Row],[Grade 4-6 FTE]]*FRE_Instr_Time))+(FundingRate_FREGr7to8*(Table21[[#This Row],[Grade 7-8 FTE]]*FRE_Instr_Time))+(FundingRate_FREGr9to12*Table21[[#This Row],[Grade 9-12 FTE]]),0)</f>
        <v>2052</v>
      </c>
      <c r="J15" s="1">
        <f>Table21[[#This Row],[TOTAL]]/(Table21[[#This Row],[Grade 9-12 FTE]]+Table21[[#This Row],[Grade 7-8 FTE]]+Table21[[#This Row],[Grade 4-6 FTE]]+Table21[[#This Row],[K4 to Grade 3 FTE and Ungrad. Elem.]])</f>
        <v>6.7722772277227721</v>
      </c>
    </row>
    <row r="16" spans="1:10">
      <c r="A16">
        <f>'A. 20-21 FN Schools Data'!A12</f>
        <v>295</v>
      </c>
      <c r="B16" t="str">
        <f>'A. 20-21 FN Schools Data'!B12</f>
        <v>Dakota Tipi</v>
      </c>
      <c r="C16">
        <f>'A. 20-21 FN Schools Data'!C12</f>
        <v>1350</v>
      </c>
      <c r="D16" t="str">
        <f>'A. 20-21 FN Schools Data'!D12</f>
        <v>Dakota Tipi School</v>
      </c>
      <c r="E16" s="1">
        <f>INDEX(TableAFNSchools[Total FTE K4-Gr.3 and Elementary Ungraded ],MATCH(Table21[[#This Row],[School '#]],TableAFNSchools[School No.],0))</f>
        <v>18</v>
      </c>
      <c r="F16" s="1">
        <f>INDEX(TableAFNSchools[Gr. 4-6 FTE],MATCH(Table21[[#This Row],[School '#]],TableAFNSchools[School No.],0))</f>
        <v>9</v>
      </c>
      <c r="G16" s="1">
        <f>INDEX(TableAFNSchools[Gr. 7-8 FTE],MATCH(Table21[[#This Row],[School '#]],TableAFNSchools[School No.],0))</f>
        <v>4</v>
      </c>
      <c r="H16" s="1">
        <f>INDEX(TableAFNSchools[Gr. 9-12 FTE and Sec Ungraded],MATCH(Table21[[#This Row],[School '#]],TableAFNSchools[School No.],0))</f>
        <v>10</v>
      </c>
      <c r="I16" s="740">
        <f>ROUND((FundingRate_FREK4toGr3*(Table21[[#This Row],[K4 to Grade 3 FTE and Ungrad. Elem.]]*FRE_Instr_Time))+(FundingRate_FREGr4to6*(Table21[[#This Row],[Grade 4-6 FTE]]*FRE_Instr_Time))+(FundingRate_FREGr7to8*(Table21[[#This Row],[Grade 7-8 FTE]]*FRE_Instr_Time))+(FundingRate_FREGr9to12*Table21[[#This Row],[Grade 9-12 FTE]]),0)</f>
        <v>258</v>
      </c>
      <c r="J16" s="1">
        <f>Table21[[#This Row],[TOTAL]]/(Table21[[#This Row],[Grade 9-12 FTE]]+Table21[[#This Row],[Grade 7-8 FTE]]+Table21[[#This Row],[Grade 4-6 FTE]]+Table21[[#This Row],[K4 to Grade 3 FTE and Ungrad. Elem.]])</f>
        <v>6.2926829268292686</v>
      </c>
    </row>
    <row r="17" spans="1:10">
      <c r="A17">
        <f>'A. 20-21 FN Schools Data'!A13</f>
        <v>288</v>
      </c>
      <c r="B17" t="str">
        <f>'A. 20-21 FN Schools Data'!B13</f>
        <v>Dakota Plains</v>
      </c>
      <c r="C17">
        <f>'A. 20-21 FN Schools Data'!C13</f>
        <v>1486</v>
      </c>
      <c r="D17" t="str">
        <f>'A. 20-21 FN Schools Data'!D13</f>
        <v>Mahpiya Hdega School</v>
      </c>
      <c r="E17" s="1">
        <f>INDEX(TableAFNSchools[Total FTE K4-Gr.3 and Elementary Ungraded ],MATCH(Table21[[#This Row],[School '#]],TableAFNSchools[School No.],0))</f>
        <v>37</v>
      </c>
      <c r="F17" s="1">
        <f>INDEX(TableAFNSchools[Gr. 4-6 FTE],MATCH(Table21[[#This Row],[School '#]],TableAFNSchools[School No.],0))</f>
        <v>29</v>
      </c>
      <c r="G17" s="1">
        <f>INDEX(TableAFNSchools[Gr. 7-8 FTE],MATCH(Table21[[#This Row],[School '#]],TableAFNSchools[School No.],0))</f>
        <v>20</v>
      </c>
      <c r="H17" s="1">
        <f>INDEX(TableAFNSchools[Gr. 9-12 FTE and Sec Ungraded],MATCH(Table21[[#This Row],[School '#]],TableAFNSchools[School No.],0))</f>
        <v>0</v>
      </c>
      <c r="I17" s="740">
        <f>ROUND((FundingRate_FREK4toGr3*(Table21[[#This Row],[K4 to Grade 3 FTE and Ungrad. Elem.]]*FRE_Instr_Time))+(FundingRate_FREGr4to6*(Table21[[#This Row],[Grade 4-6 FTE]]*FRE_Instr_Time))+(FundingRate_FREGr7to8*(Table21[[#This Row],[Grade 7-8 FTE]]*FRE_Instr_Time))+(FundingRate_FREGr9to12*Table21[[#This Row],[Grade 9-12 FTE]]),0)</f>
        <v>383</v>
      </c>
      <c r="J17" s="1">
        <f>Table21[[#This Row],[TOTAL]]/(Table21[[#This Row],[Grade 9-12 FTE]]+Table21[[#This Row],[Grade 7-8 FTE]]+Table21[[#This Row],[Grade 4-6 FTE]]+Table21[[#This Row],[K4 to Grade 3 FTE and Ungrad. Elem.]])</f>
        <v>4.4534883720930232</v>
      </c>
    </row>
    <row r="18" spans="1:10">
      <c r="A18">
        <f>'A. 20-21 FN Schools Data'!A14</f>
        <v>261</v>
      </c>
      <c r="B18" t="str">
        <f>'A. 20-21 FN Schools Data'!B14</f>
        <v>Brokenhead</v>
      </c>
      <c r="C18">
        <f>'A. 20-21 FN Schools Data'!C14</f>
        <v>1756</v>
      </c>
      <c r="D18" t="str">
        <f>'A. 20-21 FN Schools Data'!D14</f>
        <v>Sergeant Tommy Prince School</v>
      </c>
      <c r="E18" s="1">
        <f>INDEX(TableAFNSchools[Total FTE K4-Gr.3 and Elementary Ungraded ],MATCH(Table21[[#This Row],[School '#]],TableAFNSchools[School No.],0))</f>
        <v>44</v>
      </c>
      <c r="F18" s="1">
        <f>INDEX(TableAFNSchools[Gr. 4-6 FTE],MATCH(Table21[[#This Row],[School '#]],TableAFNSchools[School No.],0))</f>
        <v>31</v>
      </c>
      <c r="G18" s="1">
        <f>INDEX(TableAFNSchools[Gr. 7-8 FTE],MATCH(Table21[[#This Row],[School '#]],TableAFNSchools[School No.],0))</f>
        <v>24</v>
      </c>
      <c r="H18" s="1">
        <f>INDEX(TableAFNSchools[Gr. 9-12 FTE and Sec Ungraded],MATCH(Table21[[#This Row],[School '#]],TableAFNSchools[School No.],0))</f>
        <v>24</v>
      </c>
      <c r="I18" s="740">
        <f>ROUND((FundingRate_FREK4toGr3*(Table21[[#This Row],[K4 to Grade 3 FTE and Ungrad. Elem.]]*FRE_Instr_Time))+(FundingRate_FREGr4to6*(Table21[[#This Row],[Grade 4-6 FTE]]*FRE_Instr_Time))+(FundingRate_FREGr7to8*(Table21[[#This Row],[Grade 7-8 FTE]]*FRE_Instr_Time))+(FundingRate_FREGr9to12*Table21[[#This Row],[Grade 9-12 FTE]]),0)</f>
        <v>729</v>
      </c>
      <c r="J18" s="1">
        <f>Table21[[#This Row],[TOTAL]]/(Table21[[#This Row],[Grade 9-12 FTE]]+Table21[[#This Row],[Grade 7-8 FTE]]+Table21[[#This Row],[Grade 4-6 FTE]]+Table21[[#This Row],[K4 to Grade 3 FTE and Ungrad. Elem.]])</f>
        <v>5.9268292682926829</v>
      </c>
    </row>
    <row r="19" spans="1:10">
      <c r="A19">
        <f>'A. 20-21 FN Schools Data'!A15</f>
        <v>273</v>
      </c>
      <c r="B19" t="str">
        <f>'A. 20-21 FN Schools Data'!B15</f>
        <v>Roseau River</v>
      </c>
      <c r="C19">
        <f>'A. 20-21 FN Schools Data'!C15</f>
        <v>5717</v>
      </c>
      <c r="D19" t="str">
        <f>'A. 20-21 FN Schools Data'!D15</f>
        <v>Ginew School</v>
      </c>
      <c r="E19" s="1">
        <f>INDEX(TableAFNSchools[Total FTE K4-Gr.3 and Elementary Ungraded ],MATCH(Table21[[#This Row],[School '#]],TableAFNSchools[School No.],0))</f>
        <v>71</v>
      </c>
      <c r="F19" s="1">
        <f>INDEX(TableAFNSchools[Gr. 4-6 FTE],MATCH(Table21[[#This Row],[School '#]],TableAFNSchools[School No.],0))</f>
        <v>55</v>
      </c>
      <c r="G19" s="1">
        <f>INDEX(TableAFNSchools[Gr. 7-8 FTE],MATCH(Table21[[#This Row],[School '#]],TableAFNSchools[School No.],0))</f>
        <v>27</v>
      </c>
      <c r="H19" s="1">
        <f>INDEX(TableAFNSchools[Gr. 9-12 FTE and Sec Ungraded],MATCH(Table21[[#This Row],[School '#]],TableAFNSchools[School No.],0))</f>
        <v>0</v>
      </c>
      <c r="I19" s="740">
        <f>ROUND((FundingRate_FREK4toGr3*(Table21[[#This Row],[K4 to Grade 3 FTE and Ungrad. Elem.]]*FRE_Instr_Time))+(FundingRate_FREGr4to6*(Table21[[#This Row],[Grade 4-6 FTE]]*FRE_Instr_Time))+(FundingRate_FREGr7to8*(Table21[[#This Row],[Grade 7-8 FTE]]*FRE_Instr_Time))+(FundingRate_FREGr9to12*Table21[[#This Row],[Grade 9-12 FTE]]),0)</f>
        <v>682</v>
      </c>
      <c r="J19" s="1">
        <f>Table21[[#This Row],[TOTAL]]/(Table21[[#This Row],[Grade 9-12 FTE]]+Table21[[#This Row],[Grade 7-8 FTE]]+Table21[[#This Row],[Grade 4-6 FTE]]+Table21[[#This Row],[K4 to Grade 3 FTE and Ungrad. Elem.]])</f>
        <v>4.4575163398692812</v>
      </c>
    </row>
    <row r="20" spans="1:10">
      <c r="A20">
        <f>'A. 20-21 FN Schools Data'!A16</f>
        <v>305</v>
      </c>
      <c r="B20" t="str">
        <f>'A. 20-21 FN Schools Data'!B16</f>
        <v>Fox Lake</v>
      </c>
      <c r="C20">
        <f>'A. 20-21 FN Schools Data'!C16</f>
        <v>6413</v>
      </c>
      <c r="D20" t="str">
        <f>'A. 20-21 FN Schools Data'!D16</f>
        <v>Fox Lake School</v>
      </c>
      <c r="E20" s="1">
        <f>INDEX(TableAFNSchools[Total FTE K4-Gr.3 and Elementary Ungraded ],MATCH(Table21[[#This Row],[School '#]],TableAFNSchools[School No.],0))</f>
        <v>14</v>
      </c>
      <c r="F20" s="1">
        <f>INDEX(TableAFNSchools[Gr. 4-6 FTE],MATCH(Table21[[#This Row],[School '#]],TableAFNSchools[School No.],0))</f>
        <v>10</v>
      </c>
      <c r="G20" s="1">
        <f>INDEX(TableAFNSchools[Gr. 7-8 FTE],MATCH(Table21[[#This Row],[School '#]],TableAFNSchools[School No.],0))</f>
        <v>3</v>
      </c>
      <c r="H20" s="1">
        <f>INDEX(TableAFNSchools[Gr. 9-12 FTE and Sec Ungraded],MATCH(Table21[[#This Row],[School '#]],TableAFNSchools[School No.],0))</f>
        <v>0</v>
      </c>
      <c r="I20" s="740">
        <f>ROUND((FundingRate_FREK4toGr3*(Table21[[#This Row],[K4 to Grade 3 FTE and Ungrad. Elem.]]*FRE_Instr_Time))+(FundingRate_FREGr4to6*(Table21[[#This Row],[Grade 4-6 FTE]]*FRE_Instr_Time))+(FundingRate_FREGr7to8*(Table21[[#This Row],[Grade 7-8 FTE]]*FRE_Instr_Time))+(FundingRate_FREGr9to12*Table21[[#This Row],[Grade 9-12 FTE]]),0)</f>
        <v>120</v>
      </c>
      <c r="J20" s="1">
        <f>Table21[[#This Row],[TOTAL]]/(Table21[[#This Row],[Grade 9-12 FTE]]+Table21[[#This Row],[Grade 7-8 FTE]]+Table21[[#This Row],[Grade 4-6 FTE]]+Table21[[#This Row],[K4 to Grade 3 FTE and Ungrad. Elem.]])</f>
        <v>4.4444444444444446</v>
      </c>
    </row>
    <row r="21" spans="1:10">
      <c r="A21">
        <f>'A. 20-21 FN Schools Data'!A17</f>
        <v>286</v>
      </c>
      <c r="B21" t="str">
        <f>'A. 20-21 FN Schools Data'!B17</f>
        <v>Keeseekoowenin</v>
      </c>
      <c r="C21">
        <f>'A. 20-21 FN Schools Data'!C17</f>
        <v>8990</v>
      </c>
      <c r="D21" t="str">
        <f>'A. 20-21 FN Schools Data'!D17</f>
        <v>Keeseekoowenin School</v>
      </c>
      <c r="E21" s="1">
        <f>INDEX(TableAFNSchools[Total FTE K4-Gr.3 and Elementary Ungraded ],MATCH(Table21[[#This Row],[School '#]],TableAFNSchools[School No.],0))</f>
        <v>57</v>
      </c>
      <c r="F21" s="1">
        <f>INDEX(TableAFNSchools[Gr. 4-6 FTE],MATCH(Table21[[#This Row],[School '#]],TableAFNSchools[School No.],0))</f>
        <v>25</v>
      </c>
      <c r="G21" s="1">
        <f>INDEX(TableAFNSchools[Gr. 7-8 FTE],MATCH(Table21[[#This Row],[School '#]],TableAFNSchools[School No.],0))</f>
        <v>17</v>
      </c>
      <c r="H21" s="1">
        <f>INDEX(TableAFNSchools[Gr. 9-12 FTE and Sec Ungraded],MATCH(Table21[[#This Row],[School '#]],TableAFNSchools[School No.],0))</f>
        <v>0</v>
      </c>
      <c r="I21" s="740">
        <f>ROUND((FundingRate_FREK4toGr3*(Table21[[#This Row],[K4 to Grade 3 FTE and Ungrad. Elem.]]*FRE_Instr_Time))+(FundingRate_FREGr4to6*(Table21[[#This Row],[Grade 4-6 FTE]]*FRE_Instr_Time))+(FundingRate_FREGr7to8*(Table21[[#This Row],[Grade 7-8 FTE]]*FRE_Instr_Time))+(FundingRate_FREGr9to12*Table21[[#This Row],[Grade 9-12 FTE]]),0)</f>
        <v>441</v>
      </c>
      <c r="J21" s="1">
        <f>Table21[[#This Row],[TOTAL]]/(Table21[[#This Row],[Grade 9-12 FTE]]+Table21[[#This Row],[Grade 7-8 FTE]]+Table21[[#This Row],[Grade 4-6 FTE]]+Table21[[#This Row],[K4 to Grade 3 FTE and Ungrad. Elem.]])</f>
        <v>4.4545454545454541</v>
      </c>
    </row>
    <row r="22" spans="1:10">
      <c r="A22">
        <f>'A. 20-21 FN Schools Data'!A18</f>
        <v>261</v>
      </c>
      <c r="B22" t="str">
        <f>'A. 20-21 FN Schools Data'!B18</f>
        <v>Brokenhead</v>
      </c>
      <c r="C22">
        <f>'A. 20-21 FN Schools Data'!C18</f>
        <v>50250</v>
      </c>
      <c r="D22" t="str">
        <f>'A. 20-21 FN Schools Data'!D18</f>
        <v>Brokenhead Ojibway Nation Adult Learning Centre</v>
      </c>
      <c r="E22" s="1">
        <f>INDEX(TableAFNSchools[Total FTE K4-Gr.3 and Elementary Ungraded ],MATCH(Table21[[#This Row],[School '#]],TableAFNSchools[School No.],0))</f>
        <v>0</v>
      </c>
      <c r="F22" s="1">
        <f>INDEX(TableAFNSchools[Gr. 4-6 FTE],MATCH(Table21[[#This Row],[School '#]],TableAFNSchools[School No.],0))</f>
        <v>0</v>
      </c>
      <c r="G22" s="1">
        <f>INDEX(TableAFNSchools[Gr. 7-8 FTE],MATCH(Table21[[#This Row],[School '#]],TableAFNSchools[School No.],0))</f>
        <v>0</v>
      </c>
      <c r="H22" s="1">
        <f>INDEX(TableAFNSchools[Gr. 9-12 FTE and Sec Ungraded],MATCH(Table21[[#This Row],[School '#]],TableAFNSchools[School No.],0))</f>
        <v>25</v>
      </c>
      <c r="I22" s="740">
        <f>ROUND((FundingRate_FREK4toGr3*(Table21[[#This Row],[K4 to Grade 3 FTE and Ungrad. Elem.]]*FRE_Instr_Time))+(FundingRate_FREGr4to6*(Table21[[#This Row],[Grade 4-6 FTE]]*FRE_Instr_Time))+(FundingRate_FREGr7to8*(Table21[[#This Row],[Grade 7-8 FTE]]*FRE_Instr_Time))+(FundingRate_FREGr9to12*Table21[[#This Row],[Grade 9-12 FTE]]),0)</f>
        <v>300</v>
      </c>
      <c r="J22" s="1">
        <f>Table21[[#This Row],[TOTAL]]/(Table21[[#This Row],[Grade 9-12 FTE]]+Table21[[#This Row],[Grade 7-8 FTE]]+Table21[[#This Row],[Grade 4-6 FTE]]+Table21[[#This Row],[K4 to Grade 3 FTE and Ungrad. Elem.]])</f>
        <v>12</v>
      </c>
    </row>
    <row r="23" spans="1:10">
      <c r="A23" t="s">
        <v>72</v>
      </c>
      <c r="E23" s="1">
        <f>SUBTOTAL(109,Table21[K4 to Grade 3 FTE and Ungrad. Elem.])</f>
        <v>786</v>
      </c>
      <c r="F23" s="1">
        <f>SUBTOTAL(109,Table21[Grade 4-6 FTE])</f>
        <v>470</v>
      </c>
      <c r="G23" s="1">
        <f>SUBTOTAL(109,Table21[Grade 7-8 FTE])</f>
        <v>323</v>
      </c>
      <c r="H23" s="1">
        <f>SUBTOTAL(109,Table21[Grade 9-12 FTE])</f>
        <v>447</v>
      </c>
      <c r="I23" s="740">
        <f>SUBTOTAL(109,Table21[TOTAL])</f>
        <v>12399</v>
      </c>
    </row>
    <row r="24" spans="1:10">
      <c r="E24" s="1"/>
      <c r="F24" s="1"/>
      <c r="G24" s="1"/>
      <c r="H24" s="1"/>
    </row>
  </sheetData>
  <mergeCells count="5">
    <mergeCell ref="A4:E4"/>
    <mergeCell ref="A5:E5"/>
    <mergeCell ref="A6:B6"/>
    <mergeCell ref="A7:B7"/>
    <mergeCell ref="A8:B8"/>
  </mergeCells>
  <hyperlinks>
    <hyperlink ref="D8" r:id="rId1" display="Source: Manitoba Education, Funding of Schools 2019-20 Guide, p16" xr:uid="{00000000-0004-0000-1D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4"/>
  <dimension ref="A2:X24"/>
  <sheetViews>
    <sheetView topLeftCell="H9" workbookViewId="0">
      <selection activeCell="P12" sqref="P12"/>
    </sheetView>
  </sheetViews>
  <sheetFormatPr baseColWidth="10" defaultColWidth="9.19921875" defaultRowHeight="14"/>
  <cols>
    <col min="2" max="2" width="19.19921875" customWidth="1"/>
    <col min="3" max="3" width="11" customWidth="1"/>
    <col min="4" max="4" width="29.796875" customWidth="1"/>
    <col min="5" max="5" width="19.59765625" customWidth="1"/>
    <col min="6" max="8" width="12.19921875" customWidth="1"/>
    <col min="9" max="9" width="12" customWidth="1"/>
    <col min="10" max="10" width="16" customWidth="1"/>
    <col min="11" max="11" width="15.3984375" customWidth="1"/>
    <col min="12" max="12" width="13.59765625" customWidth="1"/>
    <col min="13" max="13" width="15" customWidth="1"/>
    <col min="14" max="14" width="14.19921875" customWidth="1"/>
    <col min="15" max="15" width="19.19921875" customWidth="1"/>
    <col min="16" max="16" width="11.796875" customWidth="1"/>
    <col min="17" max="17" width="12.19921875" customWidth="1"/>
    <col min="18" max="18" width="13.19921875" customWidth="1"/>
    <col min="19" max="21" width="11" bestFit="1" customWidth="1"/>
    <col min="22" max="22" width="12" bestFit="1" customWidth="1"/>
    <col min="24" max="24" width="17.796875" customWidth="1"/>
  </cols>
  <sheetData>
    <row r="2" spans="1:24" ht="19">
      <c r="A2" t="s">
        <v>465</v>
      </c>
      <c r="J2" s="33"/>
      <c r="Q2" s="33" t="s">
        <v>325</v>
      </c>
    </row>
    <row r="3" spans="1:24" ht="19">
      <c r="A3" s="33" t="s">
        <v>582</v>
      </c>
    </row>
    <row r="4" spans="1:24" ht="38.25" customHeight="1">
      <c r="A4" s="1646" t="s">
        <v>583</v>
      </c>
      <c r="B4" s="1646"/>
      <c r="C4" s="1646"/>
      <c r="D4" s="1684"/>
      <c r="E4" s="1694" t="s">
        <v>584</v>
      </c>
      <c r="F4" s="1694"/>
      <c r="G4" s="1694"/>
      <c r="H4" s="1256">
        <v>51</v>
      </c>
      <c r="Q4" s="1694" t="s">
        <v>584</v>
      </c>
      <c r="R4" s="1694"/>
      <c r="S4" s="1694"/>
      <c r="T4" s="1256">
        <f>ROUND(40.7158018867925,0)</f>
        <v>41</v>
      </c>
    </row>
    <row r="5" spans="1:24" ht="29.25" customHeight="1">
      <c r="A5" s="1646"/>
      <c r="B5" s="1646"/>
      <c r="C5" s="1646"/>
      <c r="D5" s="1684"/>
      <c r="E5" s="1694" t="s">
        <v>585</v>
      </c>
      <c r="F5" s="1694"/>
      <c r="G5" s="1694"/>
      <c r="H5" s="1256">
        <v>3.4</v>
      </c>
      <c r="Q5" s="1694" t="s">
        <v>585</v>
      </c>
      <c r="R5" s="1694"/>
      <c r="S5" s="1694"/>
      <c r="T5" s="1256">
        <f>ROUND(2.71438679245283,2)</f>
        <v>2.71</v>
      </c>
    </row>
    <row r="6" spans="1:24" ht="30" customHeight="1">
      <c r="A6" s="556" t="s">
        <v>586</v>
      </c>
      <c r="B6" s="35"/>
      <c r="C6" s="35"/>
      <c r="D6" s="143"/>
      <c r="E6" s="1694" t="s">
        <v>587</v>
      </c>
      <c r="F6" s="1694"/>
      <c r="G6" s="1694"/>
      <c r="H6" s="1256">
        <v>212</v>
      </c>
      <c r="Q6" s="1694" t="s">
        <v>587</v>
      </c>
      <c r="R6" s="1694"/>
      <c r="S6" s="1694"/>
      <c r="T6" s="1256">
        <f>ROUND(128.534198113208,0)</f>
        <v>129</v>
      </c>
    </row>
    <row r="7" spans="1:24" ht="28.5" customHeight="1">
      <c r="E7" s="1694" t="s">
        <v>588</v>
      </c>
      <c r="F7" s="1694"/>
      <c r="G7" s="1694"/>
      <c r="H7" s="1268">
        <v>5.3</v>
      </c>
      <c r="Q7" s="1694" t="s">
        <v>588</v>
      </c>
      <c r="R7" s="1694"/>
      <c r="S7" s="1694"/>
      <c r="T7" s="1268">
        <f>ROUND(3.21335495283019,2)</f>
        <v>3.21</v>
      </c>
    </row>
    <row r="8" spans="1:24">
      <c r="E8" s="1695" t="s">
        <v>589</v>
      </c>
      <c r="F8" s="1695"/>
      <c r="G8" s="1695"/>
      <c r="H8" s="1266">
        <v>5300</v>
      </c>
      <c r="Q8" s="1695" t="s">
        <v>589</v>
      </c>
      <c r="R8" s="1695"/>
      <c r="S8" s="1695"/>
      <c r="T8" s="1266">
        <f>ROUND(3410.74144486692,0)</f>
        <v>3411</v>
      </c>
    </row>
    <row r="10" spans="1:24" ht="75">
      <c r="A10" s="114" t="s">
        <v>285</v>
      </c>
      <c r="B10" s="114" t="s">
        <v>286</v>
      </c>
      <c r="C10" s="114" t="s">
        <v>330</v>
      </c>
      <c r="D10" s="114" t="s">
        <v>331</v>
      </c>
      <c r="E10" s="114" t="s">
        <v>338</v>
      </c>
      <c r="F10" s="114" t="s">
        <v>590</v>
      </c>
      <c r="G10" s="114" t="s">
        <v>591</v>
      </c>
      <c r="H10" s="114" t="s">
        <v>592</v>
      </c>
      <c r="I10" s="114" t="s">
        <v>593</v>
      </c>
      <c r="J10" s="249" t="s">
        <v>594</v>
      </c>
      <c r="K10" s="249" t="s">
        <v>595</v>
      </c>
      <c r="L10" s="249" t="s">
        <v>596</v>
      </c>
      <c r="M10" s="1481" t="s">
        <v>597</v>
      </c>
      <c r="N10" s="249" t="s">
        <v>598</v>
      </c>
      <c r="O10" s="739" t="s">
        <v>322</v>
      </c>
      <c r="P10" s="1556" t="s">
        <v>458</v>
      </c>
      <c r="Q10" s="1481" t="s">
        <v>594</v>
      </c>
      <c r="R10" s="1481" t="s">
        <v>595</v>
      </c>
      <c r="S10" s="1481" t="s">
        <v>596</v>
      </c>
      <c r="T10" s="1481" t="s">
        <v>597</v>
      </c>
      <c r="U10" s="1481" t="s">
        <v>598</v>
      </c>
      <c r="V10" s="1482" t="s">
        <v>366</v>
      </c>
      <c r="X10" s="1483" t="s">
        <v>599</v>
      </c>
    </row>
    <row r="11" spans="1:24" ht="15">
      <c r="A11">
        <f>'A. 20-21 FN Schools Data'!A7</f>
        <v>272</v>
      </c>
      <c r="B11" t="str">
        <f>'A. 20-21 FN Schools Data'!B7</f>
        <v>Pinaymootang</v>
      </c>
      <c r="C11">
        <f>'A. 20-21 FN Schools Data'!C7</f>
        <v>1140</v>
      </c>
      <c r="D11" t="str">
        <f>'A. 20-21 FN Schools Data'!D7</f>
        <v>Pinaymootang School</v>
      </c>
      <c r="E11" t="str">
        <f>INDEX(TableAFNSchools[School/ Program Type],MATCH(Table22[[#This Row],[School '#]],TableAFNSchools[School No.],0))</f>
        <v>Combined</v>
      </c>
      <c r="F11">
        <f>INDEX(TableAFNSchools[Elementary],MATCH(Table22[[#This Row],[School '#]],TableAFNSchools[School No.],0))</f>
        <v>286</v>
      </c>
      <c r="G11">
        <f>INDEX(TableAFNSchools[Secondary],MATCH(Table22[[#This Row],[School '#]],TableAFNSchools[School No.],0))</f>
        <v>149</v>
      </c>
      <c r="H11">
        <f>INDEX(TableAFNSchools[Avg. Elem FTEs per Grade],MATCH(Table22[[#This Row],[School '#]],TableAFNSchools[School No.],0))</f>
        <v>28.6</v>
      </c>
      <c r="I11">
        <f>INDEX(TableAFNSchools[Avg. Second FTEs per Grade],MATCH(Table22[[#This Row],[School '#]],TableAFNSchools[School No.],0))</f>
        <v>37.25</v>
      </c>
      <c r="J11" s="141">
        <f>IF(Table22[[#This Row],[School Type]]="Adult Education",0,IF(AND(Table22[[#This Row],[Avg Elem. FTEs per Grade]]&gt;0,Table22[[#This Row],[Avg Elem. FTEs per Grade]]&lt;5),Table22[[#This Row],[Elem. FTE]]*FundingRate_SmSchElem,0))</f>
        <v>0</v>
      </c>
      <c r="K11" s="141">
        <f>IF(Table22[[#This Row],[School Type]]="Adult Education",0,IF(AND(Table22[[#This Row],[Avg Elem. FTEs per Grade]]&gt;=5,Table22[[#This Row],[Avg Elem. FTEs per Grade]]&lt;20),(FundingRate_SmSchElem-FundingRate_SmSchElemperPupil*(Table22[[#This Row],[Avg Elem. FTEs per Grade]]-5))*Table22[[#This Row],[Elem. FTE]],0))</f>
        <v>0</v>
      </c>
      <c r="L11" s="141">
        <f>IF(Table22[[#This Row],[School Type]]="Adult Education",0,IF(AND(Table22[[#This Row],[Avg Second. FTEs per Grade]]&gt;0,Table22[[#This Row],[Avg Second. FTEs per Grade]]&lt;10),Table22[[#This Row],[Second. FTE]]*FundingRate_SmSchSec,0))</f>
        <v>0</v>
      </c>
      <c r="M11" s="141">
        <f>IF(Table22[[#This Row],[School Type]]="Adult Education",0,IF(AND(Table22[[#This Row],[Avg Second. FTEs per Grade]]&gt;=10,Table22[[#This Row],[Avg Second. FTEs per Grade]]&lt;50),(FundingRate_SmSchSec-FundingRate_SmSchSecperPupil*(Table22[[#This Row],[Avg Second. FTEs per Grade]]-10))*Table22[[#This Row],[Second. FTE]],0))</f>
        <v>10068.675000000003</v>
      </c>
      <c r="N11" s="142">
        <f>IF(OR(Table22[[#This Row],[Elem. Small Schools &lt;5 FTE per Grade]]&gt;0,Table22[[#This Row],[Elem. Small Schools 5&lt;20 FTE per Grade]]&gt;0,Table22[[#This Row],[Second. Small Schools &lt;10 FTE per Grade]]&gt;0,Table22[[#This Row],[Second. Small Schools 10&lt;50 FTE per Grade]]&gt;0),FudningRate_SmSchperSch,0)</f>
        <v>5300</v>
      </c>
      <c r="O11" s="740">
        <f>IF(Table22[[#This Row],[School Type]]="Adult Education",0,ROUND(SUM(Table22[[#This Row],[Elem. Small Schools &lt;5 FTE per Grade]:[Small Schools - Per School Allocation]]),0))</f>
        <v>15369</v>
      </c>
      <c r="P11" s="22">
        <f>Table22[[#This Row],[TOTAL]]/(Table22[[#This Row],[Second. FTE]]+Table22[[#This Row],[Elem. FTE]])</f>
        <v>35.331034482758618</v>
      </c>
      <c r="Q11" s="141">
        <f>IF(Table22[[#This Row],[School Type]]="Adult Education",0,IF(AND(Table22[[#This Row],[Avg Elem. FTEs per Grade]]&gt;0,Table22[[#This Row],[Avg Elem. FTEs per Grade]]&lt;5),Table22[[#This Row],[Elem. FTE]]*$T$4,0))</f>
        <v>0</v>
      </c>
      <c r="R11" s="141">
        <f>IF(Table22[[#This Row],[School Type]]="Adult Education",0,IF(AND(Table22[[#This Row],[Avg Elem. FTEs per Grade]]&gt;=5,Table22[[#This Row],[Avg Elem. FTEs per Grade]]&lt;20),($T$4-$T$5*(Table22[[#This Row],[Avg Elem. FTEs per Grade]]-5))*Table22[[#This Row],[Elem. FTE]],0))</f>
        <v>0</v>
      </c>
      <c r="S11" s="141">
        <f>IF(Table22[[#This Row],[School Type]]="Adult Education",0,IF(AND(Table22[[#This Row],[Avg Second. FTEs per Grade]]&gt;0,Table22[[#This Row],[Avg Second. FTEs per Grade]]&lt;10),Table22[[#This Row],[Second. FTE]]*$T$6,0))</f>
        <v>0</v>
      </c>
      <c r="T11" s="141">
        <f>IF(Table22[[#This Row],[School Type]]="Adult Education",0,IF(AND(Table22[[#This Row],[Avg Second. FTEs per Grade]]&gt;=10,Table22[[#This Row],[Avg Second. FTEs per Grade]]&lt;50),($T$6-$T$7*(Table22[[#This Row],[Avg Second. FTEs per Grade]]-10))*Table22[[#This Row],[Second. FTE]],0))</f>
        <v>6187.5975000000008</v>
      </c>
      <c r="U11" s="142">
        <f>IF(OR(Table22[[#This Row],[Elem. Small Schools &lt;5 FTE per Grade]]&gt;0,Table22[[#This Row],[Elem. Small Schools 5&lt;20 FTE per Grade]]&gt;0,Table22[[#This Row],[Second. Small Schools &lt;10 FTE per Grade]]&gt;0,Table22[[#This Row],[Second. Small Schools 10&lt;50 FTE per Grade]]&gt;0),$T$8,0)</f>
        <v>3411</v>
      </c>
      <c r="V11" s="713">
        <f>IF(Table22[[#This Row],[School Type]]="Adult Education",0,ROUND(SUM(Q11:U11),0))</f>
        <v>9599</v>
      </c>
      <c r="X11" s="711">
        <f>V11+Table22[[#This Row],[TOTAL]]</f>
        <v>24968</v>
      </c>
    </row>
    <row r="12" spans="1:24" ht="15">
      <c r="A12">
        <f>'A. 20-21 FN Schools Data'!A8</f>
        <v>275</v>
      </c>
      <c r="B12" t="str">
        <f>'A. 20-21 FN Schools Data'!B8</f>
        <v>Lake St. Martin</v>
      </c>
      <c r="C12">
        <f>'A. 20-21 FN Schools Data'!C8</f>
        <v>1144</v>
      </c>
      <c r="D12" t="str">
        <f>'A. 20-21 FN Schools Data'!D8</f>
        <v>Lake St. Martin School</v>
      </c>
      <c r="E12" t="str">
        <f>INDEX(TableAFNSchools[School/ Program Type],MATCH(Table22[[#This Row],[School '#]],TableAFNSchools[School No.],0))</f>
        <v>Combined</v>
      </c>
      <c r="F12" s="80">
        <f>INDEX(TableAFNSchools[Elementary],MATCH(Table22[[#This Row],[School '#]],TableAFNSchools[School No.],0))</f>
        <v>301</v>
      </c>
      <c r="G12" s="1">
        <f>INDEX(TableAFNSchools[Secondary],MATCH(Table22[[#This Row],[School '#]],TableAFNSchools[School No.],0))</f>
        <v>97</v>
      </c>
      <c r="H12" s="51">
        <f>INDEX(TableAFNSchools[Avg. Elem FTEs per Grade],MATCH(Table22[[#This Row],[School '#]],TableAFNSchools[School No.],0))</f>
        <v>30.1</v>
      </c>
      <c r="I12" s="51">
        <f>INDEX(TableAFNSchools[Avg. Second FTEs per Grade],MATCH(Table22[[#This Row],[School '#]],TableAFNSchools[School No.],0))</f>
        <v>24.25</v>
      </c>
      <c r="J12" s="141">
        <f>IF(Table22[[#This Row],[School Type]]="Adult Education",0,IF(AND(Table22[[#This Row],[Avg Elem. FTEs per Grade]]&gt;0,Table22[[#This Row],[Avg Elem. FTEs per Grade]]&lt;5),Table22[[#This Row],[Elem. FTE]]*FundingRate_SmSchElem,0))</f>
        <v>0</v>
      </c>
      <c r="K12" s="141">
        <f>IF(Table22[[#This Row],[School Type]]="Adult Education",0,IF(AND(Table22[[#This Row],[Avg Elem. FTEs per Grade]]&gt;=5,Table22[[#This Row],[Avg Elem. FTEs per Grade]]&lt;20),(FundingRate_SmSchElem-FundingRate_SmSchElemperPupil*(Table22[[#This Row],[Avg Elem. FTEs per Grade]]-5))*Table22[[#This Row],[Elem. FTE]],0))</f>
        <v>0</v>
      </c>
      <c r="L12" s="141">
        <f>IF(Table22[[#This Row],[School Type]]="Adult Education",0,IF(AND(Table22[[#This Row],[Avg Second. FTEs per Grade]]&gt;0,Table22[[#This Row],[Avg Second. FTEs per Grade]]&lt;10),Table22[[#This Row],[Second. FTE]]*FundingRate_SmSchSec,0))</f>
        <v>0</v>
      </c>
      <c r="M12" s="141">
        <f>IF(Table22[[#This Row],[School Type]]="Adult Education",0,IF(AND(Table22[[#This Row],[Avg Second. FTEs per Grade]]&gt;=10,Table22[[#This Row],[Avg Second. FTEs per Grade]]&lt;50),(FundingRate_SmSchSec-FundingRate_SmSchSecperPupil*(Table22[[#This Row],[Avg Second. FTEs per Grade]]-10))*Table22[[#This Row],[Second. FTE]],0))</f>
        <v>13238.075000000003</v>
      </c>
      <c r="N12" s="142">
        <f>IF(OR(Table22[[#This Row],[Elem. Small Schools &lt;5 FTE per Grade]]&gt;0,Table22[[#This Row],[Elem. Small Schools 5&lt;20 FTE per Grade]]&gt;0,Table22[[#This Row],[Second. Small Schools &lt;10 FTE per Grade]]&gt;0,Table22[[#This Row],[Second. Small Schools 10&lt;50 FTE per Grade]]&gt;0),FudningRate_SmSchperSch,0)</f>
        <v>5300</v>
      </c>
      <c r="O12" s="740">
        <f>IF(Table22[[#This Row],[School Type]]="Adult Education",0,ROUND(SUM(Table22[[#This Row],[Elem. Small Schools &lt;5 FTE per Grade]:[Small Schools - Per School Allocation]]),0))</f>
        <v>18538</v>
      </c>
      <c r="P12" s="22">
        <f>Table22[[#This Row],[TOTAL]]/(Table22[[#This Row],[Second. FTE]]+Table22[[#This Row],[Elem. FTE]])</f>
        <v>46.577889447236181</v>
      </c>
      <c r="Q12" s="141">
        <f>IF(Table22[[#This Row],[School Type]]="Adult Education",0,IF(AND(Table22[[#This Row],[Avg Elem. FTEs per Grade]]&gt;0,Table22[[#This Row],[Avg Elem. FTEs per Grade]]&lt;5),Table22[[#This Row],[Elem. FTE]]*$T$4,0))</f>
        <v>0</v>
      </c>
      <c r="R12" s="141">
        <f>IF(Table22[[#This Row],[School Type]]="Adult Education",0,IF(AND(Table22[[#This Row],[Avg Elem. FTEs per Grade]]&gt;=5,Table22[[#This Row],[Avg Elem. FTEs per Grade]]&lt;20),($T$4-$T$5*(Table22[[#This Row],[Avg Elem. FTEs per Grade]]-5))*Table22[[#This Row],[Elem. FTE]],0))</f>
        <v>0</v>
      </c>
      <c r="S12" s="141">
        <f>IF(Table22[[#This Row],[School Type]]="Adult Education",0,IF(AND(Table22[[#This Row],[Avg Second. FTEs per Grade]]&gt;0,Table22[[#This Row],[Avg Second. FTEs per Grade]]&lt;10),Table22[[#This Row],[Second. FTE]]*$T$6,0))</f>
        <v>0</v>
      </c>
      <c r="T12" s="141">
        <f>IF(Table22[[#This Row],[School Type]]="Adult Education",0,IF(AND(Table22[[#This Row],[Avg Second. FTEs per Grade]]&gt;=10,Table22[[#This Row],[Avg Second. FTEs per Grade]]&lt;50),($T$6-$T$7*(Table22[[#This Row],[Avg Second. FTEs per Grade]]-10))*Table22[[#This Row],[Second. FTE]],0))</f>
        <v>8075.9774999999991</v>
      </c>
      <c r="U12" s="142">
        <f>IF(OR(Table22[[#This Row],[Elem. Small Schools &lt;5 FTE per Grade]]&gt;0,Table22[[#This Row],[Elem. Small Schools 5&lt;20 FTE per Grade]]&gt;0,Table22[[#This Row],[Second. Small Schools &lt;10 FTE per Grade]]&gt;0,Table22[[#This Row],[Second. Small Schools 10&lt;50 FTE per Grade]]&gt;0),$T$8,0)</f>
        <v>3411</v>
      </c>
      <c r="V12" s="713">
        <f>IF(Table22[[#This Row],[School Type]]="Adult Education",0,ROUND(SUM(Q12:U12),0))</f>
        <v>11487</v>
      </c>
      <c r="X12" s="711">
        <f>V12+Table22[[#This Row],[TOTAL]]</f>
        <v>30025</v>
      </c>
    </row>
    <row r="13" spans="1:24" ht="15">
      <c r="A13">
        <f>'A. 20-21 FN Schools Data'!A9</f>
        <v>267</v>
      </c>
      <c r="B13" t="str">
        <f>'A. 20-21 FN Schools Data'!B9</f>
        <v>Bloodvein</v>
      </c>
      <c r="C13">
        <f>'A. 20-21 FN Schools Data'!C9</f>
        <v>1148</v>
      </c>
      <c r="D13" t="str">
        <f>'A. 20-21 FN Schools Data'!D9</f>
        <v>Miskooseepi School</v>
      </c>
      <c r="E13" t="str">
        <f>INDEX(TableAFNSchools[School/ Program Type],MATCH(Table22[[#This Row],[School '#]],TableAFNSchools[School No.],0))</f>
        <v>Combined</v>
      </c>
      <c r="F13" s="1">
        <f>INDEX(TableAFNSchools[Elementary],MATCH(Table22[[#This Row],[School '#]],TableAFNSchools[School No.],0))</f>
        <v>176</v>
      </c>
      <c r="G13" s="1">
        <f>INDEX(TableAFNSchools[Secondary],MATCH(Table22[[#This Row],[School '#]],TableAFNSchools[School No.],0))</f>
        <v>18</v>
      </c>
      <c r="H13" s="51">
        <f>INDEX(TableAFNSchools[Avg. Elem FTEs per Grade],MATCH(Table22[[#This Row],[School '#]],TableAFNSchools[School No.],0))</f>
        <v>17.600000000000001</v>
      </c>
      <c r="I13" s="51">
        <f>INDEX(TableAFNSchools[Avg. Second FTEs per Grade],MATCH(Table22[[#This Row],[School '#]],TableAFNSchools[School No.],0))</f>
        <v>6</v>
      </c>
      <c r="J13" s="141">
        <f>IF(Table22[[#This Row],[School Type]]="Adult Education",0,IF(AND(Table22[[#This Row],[Avg Elem. FTEs per Grade]]&gt;0,Table22[[#This Row],[Avg Elem. FTEs per Grade]]&lt;5),Table22[[#This Row],[Elem. FTE]]*FundingRate_SmSchElem,0))</f>
        <v>0</v>
      </c>
      <c r="K13" s="141">
        <f>IF(Table22[[#This Row],[School Type]]="Adult Education",0,IF(AND(Table22[[#This Row],[Avg Elem. FTEs per Grade]]&gt;=5,Table22[[#This Row],[Avg Elem. FTEs per Grade]]&lt;20),(FundingRate_SmSchElem-FundingRate_SmSchElemperPupil*(Table22[[#This Row],[Avg Elem. FTEs per Grade]]-5))*Table22[[#This Row],[Elem. FTE]],0))</f>
        <v>1436.1599999999994</v>
      </c>
      <c r="L13" s="141">
        <f>IF(Table22[[#This Row],[School Type]]="Adult Education",0,IF(AND(Table22[[#This Row],[Avg Second. FTEs per Grade]]&gt;0,Table22[[#This Row],[Avg Second. FTEs per Grade]]&lt;10),Table22[[#This Row],[Second. FTE]]*FundingRate_SmSchSec,0))</f>
        <v>3816</v>
      </c>
      <c r="M13" s="141">
        <f>IF(Table22[[#This Row],[School Type]]="Adult Education",0,IF(AND(Table22[[#This Row],[Avg Second. FTEs per Grade]]&gt;=10,Table22[[#This Row],[Avg Second. FTEs per Grade]]&lt;50),(FundingRate_SmSchSec-FundingRate_SmSchSecperPupil*(Table22[[#This Row],[Avg Second. FTEs per Grade]]-10))*Table22[[#This Row],[Second. FTE]],0))</f>
        <v>0</v>
      </c>
      <c r="N13" s="142">
        <f>IF(OR(Table22[[#This Row],[Elem. Small Schools &lt;5 FTE per Grade]]&gt;0,Table22[[#This Row],[Elem. Small Schools 5&lt;20 FTE per Grade]]&gt;0,Table22[[#This Row],[Second. Small Schools &lt;10 FTE per Grade]]&gt;0,Table22[[#This Row],[Second. Small Schools 10&lt;50 FTE per Grade]]&gt;0),FudningRate_SmSchperSch,0)</f>
        <v>5300</v>
      </c>
      <c r="O13" s="740">
        <f>IF(Table22[[#This Row],[School Type]]="Adult Education",0,ROUND(SUM(Table22[[#This Row],[Elem. Small Schools &lt;5 FTE per Grade]:[Small Schools - Per School Allocation]]),0))</f>
        <v>10552</v>
      </c>
      <c r="P13" s="22">
        <f>Table22[[#This Row],[TOTAL]]/(Table22[[#This Row],[Second. FTE]]+Table22[[#This Row],[Elem. FTE]])</f>
        <v>54.391752577319586</v>
      </c>
      <c r="Q13" s="141">
        <f>IF(Table22[[#This Row],[School Type]]="Adult Education",0,IF(AND(Table22[[#This Row],[Avg Elem. FTEs per Grade]]&gt;0,Table22[[#This Row],[Avg Elem. FTEs per Grade]]&lt;5),Table22[[#This Row],[Elem. FTE]]*$T$4,0))</f>
        <v>0</v>
      </c>
      <c r="R13" s="141">
        <f>IF(Table22[[#This Row],[School Type]]="Adult Education",0,IF(AND(Table22[[#This Row],[Avg Elem. FTEs per Grade]]&gt;=5,Table22[[#This Row],[Avg Elem. FTEs per Grade]]&lt;20),($T$4-$T$5*(Table22[[#This Row],[Avg Elem. FTEs per Grade]]-5))*Table22[[#This Row],[Elem. FTE]],0))</f>
        <v>1206.3039999999999</v>
      </c>
      <c r="S13" s="141">
        <f>IF(Table22[[#This Row],[School Type]]="Adult Education",0,IF(AND(Table22[[#This Row],[Avg Second. FTEs per Grade]]&gt;0,Table22[[#This Row],[Avg Second. FTEs per Grade]]&lt;10),Table22[[#This Row],[Second. FTE]]*$T$6,0))</f>
        <v>2322</v>
      </c>
      <c r="T13" s="141">
        <f>IF(Table22[[#This Row],[School Type]]="Adult Education",0,IF(AND(Table22[[#This Row],[Avg Second. FTEs per Grade]]&gt;=10,Table22[[#This Row],[Avg Second. FTEs per Grade]]&lt;50),($T$6-$T$7*(Table22[[#This Row],[Avg Second. FTEs per Grade]]-10))*Table22[[#This Row],[Second. FTE]],0))</f>
        <v>0</v>
      </c>
      <c r="U13" s="142">
        <f>IF(OR(Table22[[#This Row],[Elem. Small Schools &lt;5 FTE per Grade]]&gt;0,Table22[[#This Row],[Elem. Small Schools 5&lt;20 FTE per Grade]]&gt;0,Table22[[#This Row],[Second. Small Schools &lt;10 FTE per Grade]]&gt;0,Table22[[#This Row],[Second. Small Schools 10&lt;50 FTE per Grade]]&gt;0),$T$8,0)</f>
        <v>3411</v>
      </c>
      <c r="V13" s="713">
        <f>IF(Table22[[#This Row],[School Type]]="Adult Education",0,ROUND(SUM(Q13:U13),0))</f>
        <v>6939</v>
      </c>
      <c r="X13" s="711">
        <f>V13+Table22[[#This Row],[TOTAL]]</f>
        <v>17491</v>
      </c>
    </row>
    <row r="14" spans="1:24" ht="15">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Type],MATCH(Table22[[#This Row],[School '#]],TableAFNSchools[School No.],0))</f>
        <v>Combined</v>
      </c>
      <c r="F14" s="1">
        <f>INDEX(TableAFNSchools[Elementary],MATCH(Table22[[#This Row],[School '#]],TableAFNSchools[School No.],0))</f>
        <v>111</v>
      </c>
      <c r="G14" s="1">
        <f>INDEX(TableAFNSchools[Secondary],MATCH(Table22[[#This Row],[School '#]],TableAFNSchools[School No.],0))</f>
        <v>31</v>
      </c>
      <c r="H14" s="51">
        <f>INDEX(TableAFNSchools[Avg. Elem FTEs per Grade],MATCH(Table22[[#This Row],[School '#]],TableAFNSchools[School No.],0))</f>
        <v>11.1</v>
      </c>
      <c r="I14" s="51">
        <f>INDEX(TableAFNSchools[Avg. Second FTEs per Grade],MATCH(Table22[[#This Row],[School '#]],TableAFNSchools[School No.],0))</f>
        <v>7.75</v>
      </c>
      <c r="J14" s="141">
        <f>IF(Table22[[#This Row],[School Type]]="Adult Education",0,IF(AND(Table22[[#This Row],[Avg Elem. FTEs per Grade]]&gt;0,Table22[[#This Row],[Avg Elem. FTEs per Grade]]&lt;5),Table22[[#This Row],[Elem. FTE]]*FundingRate_SmSchElem,0))</f>
        <v>0</v>
      </c>
      <c r="K14" s="141">
        <f>IF(Table22[[#This Row],[School Type]]="Adult Education",0,IF(AND(Table22[[#This Row],[Avg Elem. FTEs per Grade]]&gt;=5,Table22[[#This Row],[Avg Elem. FTEs per Grade]]&lt;20),(FundingRate_SmSchElem-FundingRate_SmSchElemperPupil*(Table22[[#This Row],[Avg Elem. FTEs per Grade]]-5))*Table22[[#This Row],[Elem. FTE]],0))</f>
        <v>3358.86</v>
      </c>
      <c r="L14" s="141">
        <f>IF(Table22[[#This Row],[School Type]]="Adult Education",0,IF(AND(Table22[[#This Row],[Avg Second. FTEs per Grade]]&gt;0,Table22[[#This Row],[Avg Second. FTEs per Grade]]&lt;10),Table22[[#This Row],[Second. FTE]]*FundingRate_SmSchSec,0))</f>
        <v>6572</v>
      </c>
      <c r="M14" s="141">
        <f>IF(Table22[[#This Row],[School Type]]="Adult Education",0,IF(AND(Table22[[#This Row],[Avg Second. FTEs per Grade]]&gt;=10,Table22[[#This Row],[Avg Second. FTEs per Grade]]&lt;50),(FundingRate_SmSchSec-FundingRate_SmSchSecperPupil*(Table22[[#This Row],[Avg Second. FTEs per Grade]]-10))*Table22[[#This Row],[Second. FTE]],0))</f>
        <v>0</v>
      </c>
      <c r="N14" s="142">
        <f>IF(OR(Table22[[#This Row],[Elem. Small Schools &lt;5 FTE per Grade]]&gt;0,Table22[[#This Row],[Elem. Small Schools 5&lt;20 FTE per Grade]]&gt;0,Table22[[#This Row],[Second. Small Schools &lt;10 FTE per Grade]]&gt;0,Table22[[#This Row],[Second. Small Schools 10&lt;50 FTE per Grade]]&gt;0),FudningRate_SmSchperSch,0)</f>
        <v>5300</v>
      </c>
      <c r="O14" s="740">
        <f>IF(Table22[[#This Row],[School Type]]="Adult Education",0,ROUND(SUM(Table22[[#This Row],[Elem. Small Schools &lt;5 FTE per Grade]:[Small Schools - Per School Allocation]]),0))</f>
        <v>15231</v>
      </c>
      <c r="P14" s="22">
        <f>Table22[[#This Row],[TOTAL]]/(Table22[[#This Row],[Second. FTE]]+Table22[[#This Row],[Elem. FTE]])</f>
        <v>107.2605633802817</v>
      </c>
      <c r="Q14" s="141">
        <f>IF(Table22[[#This Row],[School Type]]="Adult Education",0,IF(AND(Table22[[#This Row],[Avg Elem. FTEs per Grade]]&gt;0,Table22[[#This Row],[Avg Elem. FTEs per Grade]]&lt;5),Table22[[#This Row],[Elem. FTE]]*$T$4,0))</f>
        <v>0</v>
      </c>
      <c r="R14" s="141">
        <f>IF(Table22[[#This Row],[School Type]]="Adult Education",0,IF(AND(Table22[[#This Row],[Avg Elem. FTEs per Grade]]&gt;=5,Table22[[#This Row],[Avg Elem. FTEs per Grade]]&lt;20),($T$4-$T$5*(Table22[[#This Row],[Avg Elem. FTEs per Grade]]-5))*Table22[[#This Row],[Elem. FTE]],0))</f>
        <v>2716.0590000000002</v>
      </c>
      <c r="S14" s="141">
        <f>IF(Table22[[#This Row],[School Type]]="Adult Education",0,IF(AND(Table22[[#This Row],[Avg Second. FTEs per Grade]]&gt;0,Table22[[#This Row],[Avg Second. FTEs per Grade]]&lt;10),Table22[[#This Row],[Second. FTE]]*$T$6,0))</f>
        <v>3999</v>
      </c>
      <c r="T14" s="141">
        <f>IF(Table22[[#This Row],[School Type]]="Adult Education",0,IF(AND(Table22[[#This Row],[Avg Second. FTEs per Grade]]&gt;=10,Table22[[#This Row],[Avg Second. FTEs per Grade]]&lt;50),($T$6-$T$7*(Table22[[#This Row],[Avg Second. FTEs per Grade]]-10))*Table22[[#This Row],[Second. FTE]],0))</f>
        <v>0</v>
      </c>
      <c r="U14" s="142">
        <f>IF(OR(Table22[[#This Row],[Elem. Small Schools &lt;5 FTE per Grade]]&gt;0,Table22[[#This Row],[Elem. Small Schools 5&lt;20 FTE per Grade]]&gt;0,Table22[[#This Row],[Second. Small Schools &lt;10 FTE per Grade]]&gt;0,Table22[[#This Row],[Second. Small Schools 10&lt;50 FTE per Grade]]&gt;0),$T$8,0)</f>
        <v>3411</v>
      </c>
      <c r="V14" s="713">
        <f>IF(Table22[[#This Row],[School Type]]="Adult Education",0,ROUND(SUM(Q14:U14),0))</f>
        <v>10126</v>
      </c>
      <c r="X14" s="711">
        <f>V14+Table22[[#This Row],[TOTAL]]</f>
        <v>25357</v>
      </c>
    </row>
    <row r="15" spans="1:24" ht="15">
      <c r="A15">
        <f>'A. 20-21 FN Schools Data'!A11</f>
        <v>271</v>
      </c>
      <c r="B15" t="str">
        <f>'A. 20-21 FN Schools Data'!B11</f>
        <v>Lake Manitoba</v>
      </c>
      <c r="C15">
        <f>'A. 20-21 FN Schools Data'!C11</f>
        <v>1345</v>
      </c>
      <c r="D15" t="str">
        <f>'A. 20-21 FN Schools Data'!D11</f>
        <v>Lake Manitoba School</v>
      </c>
      <c r="E15" t="str">
        <f>INDEX(TableAFNSchools[School/ Program Type],MATCH(Table22[[#This Row],[School '#]],TableAFNSchools[School No.],0))</f>
        <v>Combined</v>
      </c>
      <c r="F15" s="1">
        <f>INDEX(TableAFNSchools[Elementary],MATCH(Table22[[#This Row],[School '#]],TableAFNSchools[School No.],0))</f>
        <v>210</v>
      </c>
      <c r="G15" s="1">
        <f>INDEX(TableAFNSchools[Secondary],MATCH(Table22[[#This Row],[School '#]],TableAFNSchools[School No.],0))</f>
        <v>93</v>
      </c>
      <c r="H15" s="51">
        <f>INDEX(TableAFNSchools[Avg. Elem FTEs per Grade],MATCH(Table22[[#This Row],[School '#]],TableAFNSchools[School No.],0))</f>
        <v>21</v>
      </c>
      <c r="I15" s="51">
        <f>INDEX(TableAFNSchools[Avg. Second FTEs per Grade],MATCH(Table22[[#This Row],[School '#]],TableAFNSchools[School No.],0))</f>
        <v>23.25</v>
      </c>
      <c r="J15" s="141">
        <f>IF(Table22[[#This Row],[School Type]]="Adult Education",0,IF(AND(Table22[[#This Row],[Avg Elem. FTEs per Grade]]&gt;0,Table22[[#This Row],[Avg Elem. FTEs per Grade]]&lt;5),Table22[[#This Row],[Elem. FTE]]*FundingRate_SmSchElem,0))</f>
        <v>0</v>
      </c>
      <c r="K15" s="141">
        <f>IF(Table22[[#This Row],[School Type]]="Adult Education",0,IF(AND(Table22[[#This Row],[Avg Elem. FTEs per Grade]]&gt;=5,Table22[[#This Row],[Avg Elem. FTEs per Grade]]&lt;20),(FundingRate_SmSchElem-FundingRate_SmSchElemperPupil*(Table22[[#This Row],[Avg Elem. FTEs per Grade]]-5))*Table22[[#This Row],[Elem. FTE]],0))</f>
        <v>0</v>
      </c>
      <c r="L15" s="141">
        <f>IF(Table22[[#This Row],[School Type]]="Adult Education",0,IF(AND(Table22[[#This Row],[Avg Second. FTEs per Grade]]&gt;0,Table22[[#This Row],[Avg Second. FTEs per Grade]]&lt;10),Table22[[#This Row],[Second. FTE]]*FundingRate_SmSchSec,0))</f>
        <v>0</v>
      </c>
      <c r="M15" s="141">
        <f>IF(Table22[[#This Row],[School Type]]="Adult Education",0,IF(AND(Table22[[#This Row],[Avg Second. FTEs per Grade]]&gt;=10,Table22[[#This Row],[Avg Second. FTEs per Grade]]&lt;50),(FundingRate_SmSchSec-FundingRate_SmSchSecperPupil*(Table22[[#This Row],[Avg Second. FTEs per Grade]]-10))*Table22[[#This Row],[Second. FTE]],0))</f>
        <v>13185.075000000001</v>
      </c>
      <c r="N15" s="142">
        <f>IF(OR(Table22[[#This Row],[Elem. Small Schools &lt;5 FTE per Grade]]&gt;0,Table22[[#This Row],[Elem. Small Schools 5&lt;20 FTE per Grade]]&gt;0,Table22[[#This Row],[Second. Small Schools &lt;10 FTE per Grade]]&gt;0,Table22[[#This Row],[Second. Small Schools 10&lt;50 FTE per Grade]]&gt;0),FudningRate_SmSchperSch,0)</f>
        <v>5300</v>
      </c>
      <c r="O15" s="740">
        <f>IF(Table22[[#This Row],[School Type]]="Adult Education",0,ROUND(SUM(Table22[[#This Row],[Elem. Small Schools &lt;5 FTE per Grade]:[Small Schools - Per School Allocation]]),0))</f>
        <v>18485</v>
      </c>
      <c r="P15" s="22">
        <f>Table22[[#This Row],[TOTAL]]/(Table22[[#This Row],[Second. FTE]]+Table22[[#This Row],[Elem. FTE]])</f>
        <v>61.006600660066006</v>
      </c>
      <c r="Q15" s="141">
        <f>IF(Table22[[#This Row],[School Type]]="Adult Education",0,IF(AND(Table22[[#This Row],[Avg Elem. FTEs per Grade]]&gt;0,Table22[[#This Row],[Avg Elem. FTEs per Grade]]&lt;5),Table22[[#This Row],[Elem. FTE]]*$T$4,0))</f>
        <v>0</v>
      </c>
      <c r="R15" s="141">
        <f>IF(Table22[[#This Row],[School Type]]="Adult Education",0,IF(AND(Table22[[#This Row],[Avg Elem. FTEs per Grade]]&gt;=5,Table22[[#This Row],[Avg Elem. FTEs per Grade]]&lt;20),($T$4-$T$5*(Table22[[#This Row],[Avg Elem. FTEs per Grade]]-5))*Table22[[#This Row],[Elem. FTE]],0))</f>
        <v>0</v>
      </c>
      <c r="S15" s="141">
        <f>IF(Table22[[#This Row],[School Type]]="Adult Education",0,IF(AND(Table22[[#This Row],[Avg Second. FTEs per Grade]]&gt;0,Table22[[#This Row],[Avg Second. FTEs per Grade]]&lt;10),Table22[[#This Row],[Second. FTE]]*$T$6,0))</f>
        <v>0</v>
      </c>
      <c r="T15" s="141">
        <f>IF(Table22[[#This Row],[School Type]]="Adult Education",0,IF(AND(Table22[[#This Row],[Avg Second. FTEs per Grade]]&gt;=10,Table22[[#This Row],[Avg Second. FTEs per Grade]]&lt;50),($T$6-$T$7*(Table22[[#This Row],[Avg Second. FTEs per Grade]]-10))*Table22[[#This Row],[Second. FTE]],0))</f>
        <v>8041.4775</v>
      </c>
      <c r="U15" s="142">
        <f>IF(OR(Table22[[#This Row],[Elem. Small Schools &lt;5 FTE per Grade]]&gt;0,Table22[[#This Row],[Elem. Small Schools 5&lt;20 FTE per Grade]]&gt;0,Table22[[#This Row],[Second. Small Schools &lt;10 FTE per Grade]]&gt;0,Table22[[#This Row],[Second. Small Schools 10&lt;50 FTE per Grade]]&gt;0),$T$8,0)</f>
        <v>3411</v>
      </c>
      <c r="V15" s="713">
        <f>IF(Table22[[#This Row],[School Type]]="Adult Education",0,ROUND(SUM(Q15:U15),0))</f>
        <v>11452</v>
      </c>
      <c r="X15" s="711">
        <f>V15+Table22[[#This Row],[TOTAL]]</f>
        <v>29937</v>
      </c>
    </row>
    <row r="16" spans="1:24" ht="15">
      <c r="A16">
        <f>'A. 20-21 FN Schools Data'!A12</f>
        <v>295</v>
      </c>
      <c r="B16" t="str">
        <f>'A. 20-21 FN Schools Data'!B12</f>
        <v>Dakota Tipi</v>
      </c>
      <c r="C16">
        <f>'A. 20-21 FN Schools Data'!C12</f>
        <v>1350</v>
      </c>
      <c r="D16" t="str">
        <f>'A. 20-21 FN Schools Data'!D12</f>
        <v>Dakota Tipi School</v>
      </c>
      <c r="E16" t="str">
        <f>INDEX(TableAFNSchools[School/ Program Type],MATCH(Table22[[#This Row],[School '#]],TableAFNSchools[School No.],0))</f>
        <v>Nursery/Kindergarten</v>
      </c>
      <c r="F16" s="1">
        <f>INDEX(TableAFNSchools[Elementary],MATCH(Table22[[#This Row],[School '#]],TableAFNSchools[School No.],0))</f>
        <v>31</v>
      </c>
      <c r="G16" s="1">
        <f>INDEX(TableAFNSchools[Secondary],MATCH(Table22[[#This Row],[School '#]],TableAFNSchools[School No.],0))</f>
        <v>10</v>
      </c>
      <c r="H16" s="51">
        <f>INDEX(TableAFNSchools[Avg. Elem FTEs per Grade],MATCH(Table22[[#This Row],[School '#]],TableAFNSchools[School No.],0))</f>
        <v>3.1</v>
      </c>
      <c r="I16" s="51">
        <f>INDEX(TableAFNSchools[Avg. Second FTEs per Grade],MATCH(Table22[[#This Row],[School '#]],TableAFNSchools[School No.],0))</f>
        <v>2.5</v>
      </c>
      <c r="J16" s="141">
        <f>IF(Table22[[#This Row],[School Type]]="Adult Education",0,IF(AND(Table22[[#This Row],[Avg Elem. FTEs per Grade]]&gt;0,Table22[[#This Row],[Avg Elem. FTEs per Grade]]&lt;5),Table22[[#This Row],[Elem. FTE]]*FundingRate_SmSchElem,0))</f>
        <v>1581</v>
      </c>
      <c r="K16" s="141">
        <f>IF(Table22[[#This Row],[School Type]]="Adult Education",0,IF(AND(Table22[[#This Row],[Avg Elem. FTEs per Grade]]&gt;=5,Table22[[#This Row],[Avg Elem. FTEs per Grade]]&lt;20),(FundingRate_SmSchElem-FundingRate_SmSchElemperPupil*(Table22[[#This Row],[Avg Elem. FTEs per Grade]]-5))*Table22[[#This Row],[Elem. FTE]],0))</f>
        <v>0</v>
      </c>
      <c r="L16" s="141">
        <f>IF(Table22[[#This Row],[School Type]]="Adult Education",0,IF(AND(Table22[[#This Row],[Avg Second. FTEs per Grade]]&gt;0,Table22[[#This Row],[Avg Second. FTEs per Grade]]&lt;10),Table22[[#This Row],[Second. FTE]]*FundingRate_SmSchSec,0))</f>
        <v>2120</v>
      </c>
      <c r="M16" s="141">
        <f>IF(Table22[[#This Row],[School Type]]="Adult Education",0,IF(AND(Table22[[#This Row],[Avg Second. FTEs per Grade]]&gt;=10,Table22[[#This Row],[Avg Second. FTEs per Grade]]&lt;50),(FundingRate_SmSchSec-FundingRate_SmSchSecperPupil*(Table22[[#This Row],[Avg Second. FTEs per Grade]]-10))*Table22[[#This Row],[Second. FTE]],0))</f>
        <v>0</v>
      </c>
      <c r="N16" s="142">
        <f>IF(OR(Table22[[#This Row],[Elem. Small Schools &lt;5 FTE per Grade]]&gt;0,Table22[[#This Row],[Elem. Small Schools 5&lt;20 FTE per Grade]]&gt;0,Table22[[#This Row],[Second. Small Schools &lt;10 FTE per Grade]]&gt;0,Table22[[#This Row],[Second. Small Schools 10&lt;50 FTE per Grade]]&gt;0),FudningRate_SmSchperSch,0)</f>
        <v>5300</v>
      </c>
      <c r="O16" s="740">
        <f>IF(Table22[[#This Row],[School Type]]="Adult Education",0,ROUND(SUM(Table22[[#This Row],[Elem. Small Schools &lt;5 FTE per Grade]:[Small Schools - Per School Allocation]]),0))</f>
        <v>9001</v>
      </c>
      <c r="P16" s="22">
        <f>Table22[[#This Row],[TOTAL]]/(Table22[[#This Row],[Second. FTE]]+Table22[[#This Row],[Elem. FTE]])</f>
        <v>219.53658536585365</v>
      </c>
      <c r="Q16" s="141">
        <f>IF(Table22[[#This Row],[School Type]]="Adult Education",0,IF(AND(Table22[[#This Row],[Avg Elem. FTEs per Grade]]&gt;0,Table22[[#This Row],[Avg Elem. FTEs per Grade]]&lt;5),Table22[[#This Row],[Elem. FTE]]*$T$4,0))</f>
        <v>1271</v>
      </c>
      <c r="R16" s="141">
        <f>IF(Table22[[#This Row],[School Type]]="Adult Education",0,IF(AND(Table22[[#This Row],[Avg Elem. FTEs per Grade]]&gt;=5,Table22[[#This Row],[Avg Elem. FTEs per Grade]]&lt;20),($T$4-$T$5*(Table22[[#This Row],[Avg Elem. FTEs per Grade]]-5))*Table22[[#This Row],[Elem. FTE]],0))</f>
        <v>0</v>
      </c>
      <c r="S16" s="141">
        <f>IF(Table22[[#This Row],[School Type]]="Adult Education",0,IF(AND(Table22[[#This Row],[Avg Second. FTEs per Grade]]&gt;0,Table22[[#This Row],[Avg Second. FTEs per Grade]]&lt;10),Table22[[#This Row],[Second. FTE]]*$T$6,0))</f>
        <v>1290</v>
      </c>
      <c r="T16" s="141">
        <f>IF(Table22[[#This Row],[School Type]]="Adult Education",0,IF(AND(Table22[[#This Row],[Avg Second. FTEs per Grade]]&gt;=10,Table22[[#This Row],[Avg Second. FTEs per Grade]]&lt;50),($T$6-$T$7*(Table22[[#This Row],[Avg Second. FTEs per Grade]]-10))*Table22[[#This Row],[Second. FTE]],0))</f>
        <v>0</v>
      </c>
      <c r="U16" s="142">
        <f>IF(OR(Table22[[#This Row],[Elem. Small Schools &lt;5 FTE per Grade]]&gt;0,Table22[[#This Row],[Elem. Small Schools 5&lt;20 FTE per Grade]]&gt;0,Table22[[#This Row],[Second. Small Schools &lt;10 FTE per Grade]]&gt;0,Table22[[#This Row],[Second. Small Schools 10&lt;50 FTE per Grade]]&gt;0),$T$8,0)</f>
        <v>3411</v>
      </c>
      <c r="V16" s="713">
        <f>IF(Table22[[#This Row],[School Type]]="Adult Education",0,ROUND(SUM(Q16:U16),0))</f>
        <v>5972</v>
      </c>
      <c r="X16" s="711">
        <f>V16+Table22[[#This Row],[TOTAL]]</f>
        <v>14973</v>
      </c>
    </row>
    <row r="17" spans="1:24" ht="15">
      <c r="A17">
        <f>'A. 20-21 FN Schools Data'!A13</f>
        <v>288</v>
      </c>
      <c r="B17" t="str">
        <f>'A. 20-21 FN Schools Data'!B13</f>
        <v>Dakota Plains</v>
      </c>
      <c r="C17">
        <f>'A. 20-21 FN Schools Data'!C13</f>
        <v>1486</v>
      </c>
      <c r="D17" t="str">
        <f>'A. 20-21 FN Schools Data'!D13</f>
        <v>Mahpiya Hdega School</v>
      </c>
      <c r="E17" t="str">
        <f>INDEX(TableAFNSchools[School/ Program Type],MATCH(Table22[[#This Row],[School '#]],TableAFNSchools[School No.],0))</f>
        <v>Elementary</v>
      </c>
      <c r="F17" s="1">
        <f>INDEX(TableAFNSchools[Elementary],MATCH(Table22[[#This Row],[School '#]],TableAFNSchools[School No.],0))</f>
        <v>86</v>
      </c>
      <c r="G17" s="1">
        <f>INDEX(TableAFNSchools[Secondary],MATCH(Table22[[#This Row],[School '#]],TableAFNSchools[School No.],0))</f>
        <v>0</v>
      </c>
      <c r="H17" s="51">
        <f>INDEX(TableAFNSchools[Avg. Elem FTEs per Grade],MATCH(Table22[[#This Row],[School '#]],TableAFNSchools[School No.],0))</f>
        <v>8.6</v>
      </c>
      <c r="I17" s="51">
        <f>INDEX(TableAFNSchools[Avg. Second FTEs per Grade],MATCH(Table22[[#This Row],[School '#]],TableAFNSchools[School No.],0))</f>
        <v>0</v>
      </c>
      <c r="J17" s="141">
        <f>IF(Table22[[#This Row],[School Type]]="Adult Education",0,IF(AND(Table22[[#This Row],[Avg Elem. FTEs per Grade]]&gt;0,Table22[[#This Row],[Avg Elem. FTEs per Grade]]&lt;5),Table22[[#This Row],[Elem. FTE]]*FundingRate_SmSchElem,0))</f>
        <v>0</v>
      </c>
      <c r="K17" s="141">
        <f>IF(Table22[[#This Row],[School Type]]="Adult Education",0,IF(AND(Table22[[#This Row],[Avg Elem. FTEs per Grade]]&gt;=5,Table22[[#This Row],[Avg Elem. FTEs per Grade]]&lt;20),(FundingRate_SmSchElem-FundingRate_SmSchElemperPupil*(Table22[[#This Row],[Avg Elem. FTEs per Grade]]-5))*Table22[[#This Row],[Elem. FTE]],0))</f>
        <v>3333.3600000000006</v>
      </c>
      <c r="L17" s="141">
        <f>IF(Table22[[#This Row],[School Type]]="Adult Education",0,IF(AND(Table22[[#This Row],[Avg Second. FTEs per Grade]]&gt;0,Table22[[#This Row],[Avg Second. FTEs per Grade]]&lt;10),Table22[[#This Row],[Second. FTE]]*FundingRate_SmSchSec,0))</f>
        <v>0</v>
      </c>
      <c r="M17" s="141">
        <f>IF(Table22[[#This Row],[School Type]]="Adult Education",0,IF(AND(Table22[[#This Row],[Avg Second. FTEs per Grade]]&gt;=10,Table22[[#This Row],[Avg Second. FTEs per Grade]]&lt;50),(FundingRate_SmSchSec-FundingRate_SmSchSecperPupil*(Table22[[#This Row],[Avg Second. FTEs per Grade]]-10))*Table22[[#This Row],[Second. FTE]],0))</f>
        <v>0</v>
      </c>
      <c r="N17" s="142">
        <f>IF(OR(Table22[[#This Row],[Elem. Small Schools &lt;5 FTE per Grade]]&gt;0,Table22[[#This Row],[Elem. Small Schools 5&lt;20 FTE per Grade]]&gt;0,Table22[[#This Row],[Second. Small Schools &lt;10 FTE per Grade]]&gt;0,Table22[[#This Row],[Second. Small Schools 10&lt;50 FTE per Grade]]&gt;0),FudningRate_SmSchperSch,0)</f>
        <v>5300</v>
      </c>
      <c r="O17" s="740">
        <f>IF(Table22[[#This Row],[School Type]]="Adult Education",0,ROUND(SUM(Table22[[#This Row],[Elem. Small Schools &lt;5 FTE per Grade]:[Small Schools - Per School Allocation]]),0))</f>
        <v>8633</v>
      </c>
      <c r="P17" s="22">
        <f>Table22[[#This Row],[TOTAL]]/(Table22[[#This Row],[Second. FTE]]+Table22[[#This Row],[Elem. FTE]])</f>
        <v>100.38372093023256</v>
      </c>
      <c r="Q17" s="141">
        <f>IF(Table22[[#This Row],[School Type]]="Adult Education",0,IF(AND(Table22[[#This Row],[Avg Elem. FTEs per Grade]]&gt;0,Table22[[#This Row],[Avg Elem. FTEs per Grade]]&lt;5),Table22[[#This Row],[Elem. FTE]]*$T$4,0))</f>
        <v>0</v>
      </c>
      <c r="R17" s="141">
        <f>IF(Table22[[#This Row],[School Type]]="Adult Education",0,IF(AND(Table22[[#This Row],[Avg Elem. FTEs per Grade]]&gt;=5,Table22[[#This Row],[Avg Elem. FTEs per Grade]]&lt;20),($T$4-$T$5*(Table22[[#This Row],[Avg Elem. FTEs per Grade]]-5))*Table22[[#This Row],[Elem. FTE]],0))</f>
        <v>2686.9839999999999</v>
      </c>
      <c r="S17" s="141">
        <f>IF(Table22[[#This Row],[School Type]]="Adult Education",0,IF(AND(Table22[[#This Row],[Avg Second. FTEs per Grade]]&gt;0,Table22[[#This Row],[Avg Second. FTEs per Grade]]&lt;10),Table22[[#This Row],[Second. FTE]]*$T$6,0))</f>
        <v>0</v>
      </c>
      <c r="T17" s="141">
        <f>IF(Table22[[#This Row],[School Type]]="Adult Education",0,IF(AND(Table22[[#This Row],[Avg Second. FTEs per Grade]]&gt;=10,Table22[[#This Row],[Avg Second. FTEs per Grade]]&lt;50),($T$6-$T$7*(Table22[[#This Row],[Avg Second. FTEs per Grade]]-10))*Table22[[#This Row],[Second. FTE]],0))</f>
        <v>0</v>
      </c>
      <c r="U17" s="142">
        <f>IF(OR(Table22[[#This Row],[Elem. Small Schools &lt;5 FTE per Grade]]&gt;0,Table22[[#This Row],[Elem. Small Schools 5&lt;20 FTE per Grade]]&gt;0,Table22[[#This Row],[Second. Small Schools &lt;10 FTE per Grade]]&gt;0,Table22[[#This Row],[Second. Small Schools 10&lt;50 FTE per Grade]]&gt;0),$T$8,0)</f>
        <v>3411</v>
      </c>
      <c r="V17" s="713">
        <f>IF(Table22[[#This Row],[School Type]]="Adult Education",0,ROUND(SUM(Q17:U17),0))</f>
        <v>6098</v>
      </c>
      <c r="X17" s="711">
        <f>V17+Table22[[#This Row],[TOTAL]]</f>
        <v>14731</v>
      </c>
    </row>
    <row r="18" spans="1:24" ht="15">
      <c r="A18">
        <f>'A. 20-21 FN Schools Data'!A14</f>
        <v>261</v>
      </c>
      <c r="B18" t="str">
        <f>'A. 20-21 FN Schools Data'!B14</f>
        <v>Brokenhead</v>
      </c>
      <c r="C18">
        <f>'A. 20-21 FN Schools Data'!C14</f>
        <v>1756</v>
      </c>
      <c r="D18" t="str">
        <f>'A. 20-21 FN Schools Data'!D14</f>
        <v>Sergeant Tommy Prince School</v>
      </c>
      <c r="E18" t="str">
        <f>INDEX(TableAFNSchools[School/ Program Type],MATCH(Table22[[#This Row],[School '#]],TableAFNSchools[School No.],0))</f>
        <v>Combined</v>
      </c>
      <c r="F18" s="1">
        <f>INDEX(TableAFNSchools[Elementary],MATCH(Table22[[#This Row],[School '#]],TableAFNSchools[School No.],0))</f>
        <v>99</v>
      </c>
      <c r="G18" s="1">
        <f>INDEX(TableAFNSchools[Secondary],MATCH(Table22[[#This Row],[School '#]],TableAFNSchools[School No.],0))</f>
        <v>24</v>
      </c>
      <c r="H18" s="51">
        <f>INDEX(TableAFNSchools[Avg. Elem FTEs per Grade],MATCH(Table22[[#This Row],[School '#]],TableAFNSchools[School No.],0))</f>
        <v>9.9</v>
      </c>
      <c r="I18" s="51">
        <f>INDEX(TableAFNSchools[Avg. Second FTEs per Grade],MATCH(Table22[[#This Row],[School '#]],TableAFNSchools[School No.],0))</f>
        <v>6</v>
      </c>
      <c r="J18" s="141">
        <f>IF(Table22[[#This Row],[School Type]]="Adult Education",0,IF(AND(Table22[[#This Row],[Avg Elem. FTEs per Grade]]&gt;0,Table22[[#This Row],[Avg Elem. FTEs per Grade]]&lt;5),Table22[[#This Row],[Elem. FTE]]*FundingRate_SmSchElem,0))</f>
        <v>0</v>
      </c>
      <c r="K18" s="141">
        <f>IF(Table22[[#This Row],[School Type]]="Adult Education",0,IF(AND(Table22[[#This Row],[Avg Elem. FTEs per Grade]]&gt;=5,Table22[[#This Row],[Avg Elem. FTEs per Grade]]&lt;20),(FundingRate_SmSchElem-FundingRate_SmSchElemperPupil*(Table22[[#This Row],[Avg Elem. FTEs per Grade]]-5))*Table22[[#This Row],[Elem. FTE]],0))</f>
        <v>3399.6600000000003</v>
      </c>
      <c r="L18" s="141">
        <f>IF(Table22[[#This Row],[School Type]]="Adult Education",0,IF(AND(Table22[[#This Row],[Avg Second. FTEs per Grade]]&gt;0,Table22[[#This Row],[Avg Second. FTEs per Grade]]&lt;10),Table22[[#This Row],[Second. FTE]]*FundingRate_SmSchSec,0))</f>
        <v>5088</v>
      </c>
      <c r="M18" s="141">
        <f>IF(Table22[[#This Row],[School Type]]="Adult Education",0,IF(AND(Table22[[#This Row],[Avg Second. FTEs per Grade]]&gt;=10,Table22[[#This Row],[Avg Second. FTEs per Grade]]&lt;50),(FundingRate_SmSchSec-FundingRate_SmSchSecperPupil*(Table22[[#This Row],[Avg Second. FTEs per Grade]]-10))*Table22[[#This Row],[Second. FTE]],0))</f>
        <v>0</v>
      </c>
      <c r="N18" s="142">
        <f>IF(OR(Table22[[#This Row],[Elem. Small Schools &lt;5 FTE per Grade]]&gt;0,Table22[[#This Row],[Elem. Small Schools 5&lt;20 FTE per Grade]]&gt;0,Table22[[#This Row],[Second. Small Schools &lt;10 FTE per Grade]]&gt;0,Table22[[#This Row],[Second. Small Schools 10&lt;50 FTE per Grade]]&gt;0),FudningRate_SmSchperSch,0)</f>
        <v>5300</v>
      </c>
      <c r="O18" s="740">
        <f>IF(Table22[[#This Row],[School Type]]="Adult Education",0,ROUND(SUM(Table22[[#This Row],[Elem. Small Schools &lt;5 FTE per Grade]:[Small Schools - Per School Allocation]]),0))</f>
        <v>13788</v>
      </c>
      <c r="P18" s="22">
        <f>Table22[[#This Row],[TOTAL]]/(Table22[[#This Row],[Second. FTE]]+Table22[[#This Row],[Elem. FTE]])</f>
        <v>112.09756097560975</v>
      </c>
      <c r="Q18" s="141">
        <f>IF(Table22[[#This Row],[School Type]]="Adult Education",0,IF(AND(Table22[[#This Row],[Avg Elem. FTEs per Grade]]&gt;0,Table22[[#This Row],[Avg Elem. FTEs per Grade]]&lt;5),Table22[[#This Row],[Elem. FTE]]*$T$4,0))</f>
        <v>0</v>
      </c>
      <c r="R18" s="141">
        <f>IF(Table22[[#This Row],[School Type]]="Adult Education",0,IF(AND(Table22[[#This Row],[Avg Elem. FTEs per Grade]]&gt;=5,Table22[[#This Row],[Avg Elem. FTEs per Grade]]&lt;20),($T$4-$T$5*(Table22[[#This Row],[Avg Elem. FTEs per Grade]]-5))*Table22[[#This Row],[Elem. FTE]],0))</f>
        <v>2744.3789999999999</v>
      </c>
      <c r="S18" s="141">
        <f>IF(Table22[[#This Row],[School Type]]="Adult Education",0,IF(AND(Table22[[#This Row],[Avg Second. FTEs per Grade]]&gt;0,Table22[[#This Row],[Avg Second. FTEs per Grade]]&lt;10),Table22[[#This Row],[Second. FTE]]*$T$6,0))</f>
        <v>3096</v>
      </c>
      <c r="T18" s="141">
        <f>IF(Table22[[#This Row],[School Type]]="Adult Education",0,IF(AND(Table22[[#This Row],[Avg Second. FTEs per Grade]]&gt;=10,Table22[[#This Row],[Avg Second. FTEs per Grade]]&lt;50),($T$6-$T$7*(Table22[[#This Row],[Avg Second. FTEs per Grade]]-10))*Table22[[#This Row],[Second. FTE]],0))</f>
        <v>0</v>
      </c>
      <c r="U18" s="142">
        <f>IF(OR(Table22[[#This Row],[Elem. Small Schools &lt;5 FTE per Grade]]&gt;0,Table22[[#This Row],[Elem. Small Schools 5&lt;20 FTE per Grade]]&gt;0,Table22[[#This Row],[Second. Small Schools &lt;10 FTE per Grade]]&gt;0,Table22[[#This Row],[Second. Small Schools 10&lt;50 FTE per Grade]]&gt;0),$T$8,0)</f>
        <v>3411</v>
      </c>
      <c r="V18" s="713">
        <f>IF(Table22[[#This Row],[School Type]]="Adult Education",0,ROUND(SUM(Q18:U18),0))</f>
        <v>9251</v>
      </c>
      <c r="X18" s="711">
        <f>V18+Table22[[#This Row],[TOTAL]]</f>
        <v>23039</v>
      </c>
    </row>
    <row r="19" spans="1:24" ht="15">
      <c r="A19">
        <f>'A. 20-21 FN Schools Data'!A15</f>
        <v>273</v>
      </c>
      <c r="B19" t="str">
        <f>'A. 20-21 FN Schools Data'!B15</f>
        <v>Roseau River</v>
      </c>
      <c r="C19">
        <f>'A. 20-21 FN Schools Data'!C15</f>
        <v>5717</v>
      </c>
      <c r="D19" t="str">
        <f>'A. 20-21 FN Schools Data'!D15</f>
        <v>Ginew School</v>
      </c>
      <c r="E19" t="str">
        <f>INDEX(TableAFNSchools[School/ Program Type],MATCH(Table22[[#This Row],[School '#]],TableAFNSchools[School No.],0))</f>
        <v>Elementary</v>
      </c>
      <c r="F19" s="1">
        <f>INDEX(TableAFNSchools[Elementary],MATCH(Table22[[#This Row],[School '#]],TableAFNSchools[School No.],0))</f>
        <v>153</v>
      </c>
      <c r="G19" s="1">
        <f>INDEX(TableAFNSchools[Secondary],MATCH(Table22[[#This Row],[School '#]],TableAFNSchools[School No.],0))</f>
        <v>0</v>
      </c>
      <c r="H19" s="51">
        <f>INDEX(TableAFNSchools[Avg. Elem FTEs per Grade],MATCH(Table22[[#This Row],[School '#]],TableAFNSchools[School No.],0))</f>
        <v>15.3</v>
      </c>
      <c r="I19" s="51">
        <f>INDEX(TableAFNSchools[Avg. Second FTEs per Grade],MATCH(Table22[[#This Row],[School '#]],TableAFNSchools[School No.],0))</f>
        <v>0</v>
      </c>
      <c r="J19" s="141">
        <f>IF(Table22[[#This Row],[School Type]]="Adult Education",0,IF(AND(Table22[[#This Row],[Avg Elem. FTEs per Grade]]&gt;0,Table22[[#This Row],[Avg Elem. FTEs per Grade]]&lt;5),Table22[[#This Row],[Elem. FTE]]*FundingRate_SmSchElem,0))</f>
        <v>0</v>
      </c>
      <c r="K19" s="141">
        <f>IF(Table22[[#This Row],[School Type]]="Adult Education",0,IF(AND(Table22[[#This Row],[Avg Elem. FTEs per Grade]]&gt;=5,Table22[[#This Row],[Avg Elem. FTEs per Grade]]&lt;20),(FundingRate_SmSchElem-FundingRate_SmSchElemperPupil*(Table22[[#This Row],[Avg Elem. FTEs per Grade]]-5))*Table22[[#This Row],[Elem. FTE]],0))</f>
        <v>2444.9399999999996</v>
      </c>
      <c r="L19" s="141">
        <f>IF(Table22[[#This Row],[School Type]]="Adult Education",0,IF(AND(Table22[[#This Row],[Avg Second. FTEs per Grade]]&gt;0,Table22[[#This Row],[Avg Second. FTEs per Grade]]&lt;10),Table22[[#This Row],[Second. FTE]]*FundingRate_SmSchSec,0))</f>
        <v>0</v>
      </c>
      <c r="M19" s="141">
        <f>IF(Table22[[#This Row],[School Type]]="Adult Education",0,IF(AND(Table22[[#This Row],[Avg Second. FTEs per Grade]]&gt;=10,Table22[[#This Row],[Avg Second. FTEs per Grade]]&lt;50),(FundingRate_SmSchSec-FundingRate_SmSchSecperPupil*(Table22[[#This Row],[Avg Second. FTEs per Grade]]-10))*Table22[[#This Row],[Second. FTE]],0))</f>
        <v>0</v>
      </c>
      <c r="N19" s="142">
        <f>IF(OR(Table22[[#This Row],[Elem. Small Schools &lt;5 FTE per Grade]]&gt;0,Table22[[#This Row],[Elem. Small Schools 5&lt;20 FTE per Grade]]&gt;0,Table22[[#This Row],[Second. Small Schools &lt;10 FTE per Grade]]&gt;0,Table22[[#This Row],[Second. Small Schools 10&lt;50 FTE per Grade]]&gt;0),FudningRate_SmSchperSch,0)</f>
        <v>5300</v>
      </c>
      <c r="O19" s="740">
        <f>IF(Table22[[#This Row],[School Type]]="Adult Education",0,ROUND(SUM(Table22[[#This Row],[Elem. Small Schools &lt;5 FTE per Grade]:[Small Schools - Per School Allocation]]),0))</f>
        <v>7745</v>
      </c>
      <c r="P19" s="22">
        <f>Table22[[#This Row],[TOTAL]]/(Table22[[#This Row],[Second. FTE]]+Table22[[#This Row],[Elem. FTE]])</f>
        <v>50.62091503267974</v>
      </c>
      <c r="Q19" s="141">
        <f>IF(Table22[[#This Row],[School Type]]="Adult Education",0,IF(AND(Table22[[#This Row],[Avg Elem. FTEs per Grade]]&gt;0,Table22[[#This Row],[Avg Elem. FTEs per Grade]]&lt;5),Table22[[#This Row],[Elem. FTE]]*$T$4,0))</f>
        <v>0</v>
      </c>
      <c r="R19" s="141">
        <f>IF(Table22[[#This Row],[School Type]]="Adult Education",0,IF(AND(Table22[[#This Row],[Avg Elem. FTEs per Grade]]&gt;=5,Table22[[#This Row],[Avg Elem. FTEs per Grade]]&lt;20),($T$4-$T$5*(Table22[[#This Row],[Avg Elem. FTEs per Grade]]-5))*Table22[[#This Row],[Elem. FTE]],0))</f>
        <v>2002.3109999999999</v>
      </c>
      <c r="S19" s="141">
        <f>IF(Table22[[#This Row],[School Type]]="Adult Education",0,IF(AND(Table22[[#This Row],[Avg Second. FTEs per Grade]]&gt;0,Table22[[#This Row],[Avg Second. FTEs per Grade]]&lt;10),Table22[[#This Row],[Second. FTE]]*$T$6,0))</f>
        <v>0</v>
      </c>
      <c r="T19" s="141">
        <f>IF(Table22[[#This Row],[School Type]]="Adult Education",0,IF(AND(Table22[[#This Row],[Avg Second. FTEs per Grade]]&gt;=10,Table22[[#This Row],[Avg Second. FTEs per Grade]]&lt;50),($T$6-$T$7*(Table22[[#This Row],[Avg Second. FTEs per Grade]]-10))*Table22[[#This Row],[Second. FTE]],0))</f>
        <v>0</v>
      </c>
      <c r="U19" s="142">
        <f>IF(OR(Table22[[#This Row],[Elem. Small Schools &lt;5 FTE per Grade]]&gt;0,Table22[[#This Row],[Elem. Small Schools 5&lt;20 FTE per Grade]]&gt;0,Table22[[#This Row],[Second. Small Schools &lt;10 FTE per Grade]]&gt;0,Table22[[#This Row],[Second. Small Schools 10&lt;50 FTE per Grade]]&gt;0),$T$8,0)</f>
        <v>3411</v>
      </c>
      <c r="V19" s="713">
        <f>IF(Table22[[#This Row],[School Type]]="Adult Education",0,ROUND(SUM(Q19:U19),0))</f>
        <v>5413</v>
      </c>
      <c r="X19" s="711">
        <f>V19+Table22[[#This Row],[TOTAL]]</f>
        <v>13158</v>
      </c>
    </row>
    <row r="20" spans="1:24" ht="15">
      <c r="A20">
        <f>'A. 20-21 FN Schools Data'!A16</f>
        <v>305</v>
      </c>
      <c r="B20" t="str">
        <f>'A. 20-21 FN Schools Data'!B16</f>
        <v>Fox Lake</v>
      </c>
      <c r="C20">
        <f>'A. 20-21 FN Schools Data'!C16</f>
        <v>6413</v>
      </c>
      <c r="D20" t="str">
        <f>'A. 20-21 FN Schools Data'!D16</f>
        <v>Fox Lake School</v>
      </c>
      <c r="E20" t="str">
        <f>INDEX(TableAFNSchools[School/ Program Type],MATCH(Table22[[#This Row],[School '#]],TableAFNSchools[School No.],0))</f>
        <v>Elementary</v>
      </c>
      <c r="F20" s="1">
        <f>INDEX(TableAFNSchools[Elementary],MATCH(Table22[[#This Row],[School '#]],TableAFNSchools[School No.],0))</f>
        <v>27</v>
      </c>
      <c r="G20" s="1">
        <f>INDEX(TableAFNSchools[Secondary],MATCH(Table22[[#This Row],[School '#]],TableAFNSchools[School No.],0))</f>
        <v>0</v>
      </c>
      <c r="H20" s="51">
        <f>INDEX(TableAFNSchools[Avg. Elem FTEs per Grade],MATCH(Table22[[#This Row],[School '#]],TableAFNSchools[School No.],0))</f>
        <v>2.7</v>
      </c>
      <c r="I20" s="51">
        <f>INDEX(TableAFNSchools[Avg. Second FTEs per Grade],MATCH(Table22[[#This Row],[School '#]],TableAFNSchools[School No.],0))</f>
        <v>0</v>
      </c>
      <c r="J20" s="141">
        <f>IF(Table22[[#This Row],[School Type]]="Adult Education",0,IF(AND(Table22[[#This Row],[Avg Elem. FTEs per Grade]]&gt;0,Table22[[#This Row],[Avg Elem. FTEs per Grade]]&lt;5),Table22[[#This Row],[Elem. FTE]]*FundingRate_SmSchElem,0))</f>
        <v>1377</v>
      </c>
      <c r="K20" s="141">
        <f>IF(Table22[[#This Row],[School Type]]="Adult Education",0,IF(AND(Table22[[#This Row],[Avg Elem. FTEs per Grade]]&gt;=5,Table22[[#This Row],[Avg Elem. FTEs per Grade]]&lt;20),(FundingRate_SmSchElem-FundingRate_SmSchElemperPupil*(Table22[[#This Row],[Avg Elem. FTEs per Grade]]-5))*Table22[[#This Row],[Elem. FTE]],0))</f>
        <v>0</v>
      </c>
      <c r="L20" s="141">
        <f>IF(Table22[[#This Row],[School Type]]="Adult Education",0,IF(AND(Table22[[#This Row],[Avg Second. FTEs per Grade]]&gt;0,Table22[[#This Row],[Avg Second. FTEs per Grade]]&lt;10),Table22[[#This Row],[Second. FTE]]*FundingRate_SmSchSec,0))</f>
        <v>0</v>
      </c>
      <c r="M20" s="141">
        <f>IF(Table22[[#This Row],[School Type]]="Adult Education",0,IF(AND(Table22[[#This Row],[Avg Second. FTEs per Grade]]&gt;=10,Table22[[#This Row],[Avg Second. FTEs per Grade]]&lt;50),(FundingRate_SmSchSec-FundingRate_SmSchSecperPupil*(Table22[[#This Row],[Avg Second. FTEs per Grade]]-10))*Table22[[#This Row],[Second. FTE]],0))</f>
        <v>0</v>
      </c>
      <c r="N20" s="142">
        <f>IF(OR(Table22[[#This Row],[Elem. Small Schools &lt;5 FTE per Grade]]&gt;0,Table22[[#This Row],[Elem. Small Schools 5&lt;20 FTE per Grade]]&gt;0,Table22[[#This Row],[Second. Small Schools &lt;10 FTE per Grade]]&gt;0,Table22[[#This Row],[Second. Small Schools 10&lt;50 FTE per Grade]]&gt;0),FudningRate_SmSchperSch,0)</f>
        <v>5300</v>
      </c>
      <c r="O20" s="740">
        <f>IF(Table22[[#This Row],[School Type]]="Adult Education",0,ROUND(SUM(Table22[[#This Row],[Elem. Small Schools &lt;5 FTE per Grade]:[Small Schools - Per School Allocation]]),0))</f>
        <v>6677</v>
      </c>
      <c r="P20" s="22">
        <f>Table22[[#This Row],[TOTAL]]/(Table22[[#This Row],[Second. FTE]]+Table22[[#This Row],[Elem. FTE]])</f>
        <v>247.2962962962963</v>
      </c>
      <c r="Q20" s="141">
        <f>IF(Table22[[#This Row],[School Type]]="Adult Education",0,IF(AND(Table22[[#This Row],[Avg Elem. FTEs per Grade]]&gt;0,Table22[[#This Row],[Avg Elem. FTEs per Grade]]&lt;5),Table22[[#This Row],[Elem. FTE]]*$T$4,0))</f>
        <v>1107</v>
      </c>
      <c r="R20" s="141">
        <f>IF(Table22[[#This Row],[School Type]]="Adult Education",0,IF(AND(Table22[[#This Row],[Avg Elem. FTEs per Grade]]&gt;=5,Table22[[#This Row],[Avg Elem. FTEs per Grade]]&lt;20),($T$4-$T$5*(Table22[[#This Row],[Avg Elem. FTEs per Grade]]-5))*Table22[[#This Row],[Elem. FTE]],0))</f>
        <v>0</v>
      </c>
      <c r="S20" s="141">
        <f>IF(Table22[[#This Row],[School Type]]="Adult Education",0,IF(AND(Table22[[#This Row],[Avg Second. FTEs per Grade]]&gt;0,Table22[[#This Row],[Avg Second. FTEs per Grade]]&lt;10),Table22[[#This Row],[Second. FTE]]*$T$6,0))</f>
        <v>0</v>
      </c>
      <c r="T20" s="141">
        <f>IF(Table22[[#This Row],[School Type]]="Adult Education",0,IF(AND(Table22[[#This Row],[Avg Second. FTEs per Grade]]&gt;=10,Table22[[#This Row],[Avg Second. FTEs per Grade]]&lt;50),($T$6-$T$7*(Table22[[#This Row],[Avg Second. FTEs per Grade]]-10))*Table22[[#This Row],[Second. FTE]],0))</f>
        <v>0</v>
      </c>
      <c r="U20" s="142">
        <f>IF(OR(Table22[[#This Row],[Elem. Small Schools &lt;5 FTE per Grade]]&gt;0,Table22[[#This Row],[Elem. Small Schools 5&lt;20 FTE per Grade]]&gt;0,Table22[[#This Row],[Second. Small Schools &lt;10 FTE per Grade]]&gt;0,Table22[[#This Row],[Second. Small Schools 10&lt;50 FTE per Grade]]&gt;0),$T$8,0)</f>
        <v>3411</v>
      </c>
      <c r="V20" s="713">
        <f>IF(Table22[[#This Row],[School Type]]="Adult Education",0,ROUND(SUM(Q20:U20),0))</f>
        <v>4518</v>
      </c>
      <c r="X20" s="711">
        <f>V20+Table22[[#This Row],[TOTAL]]</f>
        <v>11195</v>
      </c>
    </row>
    <row r="21" spans="1:24" ht="15">
      <c r="A21">
        <f>'A. 20-21 FN Schools Data'!A17</f>
        <v>286</v>
      </c>
      <c r="B21" t="str">
        <f>'A. 20-21 FN Schools Data'!B17</f>
        <v>Keeseekoowenin</v>
      </c>
      <c r="C21">
        <f>'A. 20-21 FN Schools Data'!C17</f>
        <v>8990</v>
      </c>
      <c r="D21" t="str">
        <f>'A. 20-21 FN Schools Data'!D17</f>
        <v>Keeseekoowenin School</v>
      </c>
      <c r="E21" t="str">
        <f>INDEX(TableAFNSchools[School/ Program Type],MATCH(Table22[[#This Row],[School '#]],TableAFNSchools[School No.],0))</f>
        <v>Elementary</v>
      </c>
      <c r="F21" s="1">
        <f>INDEX(TableAFNSchools[Elementary],MATCH(Table22[[#This Row],[School '#]],TableAFNSchools[School No.],0))</f>
        <v>99</v>
      </c>
      <c r="G21" s="1">
        <f>INDEX(TableAFNSchools[Secondary],MATCH(Table22[[#This Row],[School '#]],TableAFNSchools[School No.],0))</f>
        <v>0</v>
      </c>
      <c r="H21" s="51">
        <f>INDEX(TableAFNSchools[Avg. Elem FTEs per Grade],MATCH(Table22[[#This Row],[School '#]],TableAFNSchools[School No.],0))</f>
        <v>9.9</v>
      </c>
      <c r="I21" s="51">
        <f>INDEX(TableAFNSchools[Avg. Second FTEs per Grade],MATCH(Table22[[#This Row],[School '#]],TableAFNSchools[School No.],0))</f>
        <v>0</v>
      </c>
      <c r="J21" s="141">
        <f>IF(Table22[[#This Row],[School Type]]="Adult Education",0,IF(AND(Table22[[#This Row],[Avg Elem. FTEs per Grade]]&gt;0,Table22[[#This Row],[Avg Elem. FTEs per Grade]]&lt;5),Table22[[#This Row],[Elem. FTE]]*FundingRate_SmSchElem,0))</f>
        <v>0</v>
      </c>
      <c r="K21" s="141">
        <f>IF(Table22[[#This Row],[School Type]]="Adult Education",0,IF(AND(Table22[[#This Row],[Avg Elem. FTEs per Grade]]&gt;=5,Table22[[#This Row],[Avg Elem. FTEs per Grade]]&lt;20),(FundingRate_SmSchElem-FundingRate_SmSchElemperPupil*(Table22[[#This Row],[Avg Elem. FTEs per Grade]]-5))*Table22[[#This Row],[Elem. FTE]],0))</f>
        <v>3399.6600000000003</v>
      </c>
      <c r="L21" s="141">
        <f>IF(Table22[[#This Row],[School Type]]="Adult Education",0,IF(AND(Table22[[#This Row],[Avg Second. FTEs per Grade]]&gt;0,Table22[[#This Row],[Avg Second. FTEs per Grade]]&lt;10),Table22[[#This Row],[Second. FTE]]*FundingRate_SmSchSec,0))</f>
        <v>0</v>
      </c>
      <c r="M21" s="141">
        <f>IF(Table22[[#This Row],[School Type]]="Adult Education",0,IF(AND(Table22[[#This Row],[Avg Second. FTEs per Grade]]&gt;=10,Table22[[#This Row],[Avg Second. FTEs per Grade]]&lt;50),(FundingRate_SmSchSec-FundingRate_SmSchSecperPupil*(Table22[[#This Row],[Avg Second. FTEs per Grade]]-10))*Table22[[#This Row],[Second. FTE]],0))</f>
        <v>0</v>
      </c>
      <c r="N21" s="142">
        <f>IF(OR(Table22[[#This Row],[Elem. Small Schools &lt;5 FTE per Grade]]&gt;0,Table22[[#This Row],[Elem. Small Schools 5&lt;20 FTE per Grade]]&gt;0,Table22[[#This Row],[Second. Small Schools &lt;10 FTE per Grade]]&gt;0,Table22[[#This Row],[Second. Small Schools 10&lt;50 FTE per Grade]]&gt;0),FudningRate_SmSchperSch,0)</f>
        <v>5300</v>
      </c>
      <c r="O21" s="740">
        <f>IF(Table22[[#This Row],[School Type]]="Adult Education",0,ROUND(SUM(Table22[[#This Row],[Elem. Small Schools &lt;5 FTE per Grade]:[Small Schools - Per School Allocation]]),0))</f>
        <v>8700</v>
      </c>
      <c r="P21" s="22">
        <f>Table22[[#This Row],[TOTAL]]/(Table22[[#This Row],[Second. FTE]]+Table22[[#This Row],[Elem. FTE]])</f>
        <v>87.878787878787875</v>
      </c>
      <c r="Q21" s="141">
        <f>IF(Table22[[#This Row],[School Type]]="Adult Education",0,IF(AND(Table22[[#This Row],[Avg Elem. FTEs per Grade]]&gt;0,Table22[[#This Row],[Avg Elem. FTEs per Grade]]&lt;5),Table22[[#This Row],[Elem. FTE]]*$T$4,0))</f>
        <v>0</v>
      </c>
      <c r="R21" s="141">
        <f>IF(Table22[[#This Row],[School Type]]="Adult Education",0,IF(AND(Table22[[#This Row],[Avg Elem. FTEs per Grade]]&gt;=5,Table22[[#This Row],[Avg Elem. FTEs per Grade]]&lt;20),($T$4-$T$5*(Table22[[#This Row],[Avg Elem. FTEs per Grade]]-5))*Table22[[#This Row],[Elem. FTE]],0))</f>
        <v>2744.3789999999999</v>
      </c>
      <c r="S21" s="141">
        <f>IF(Table22[[#This Row],[School Type]]="Adult Education",0,IF(AND(Table22[[#This Row],[Avg Second. FTEs per Grade]]&gt;0,Table22[[#This Row],[Avg Second. FTEs per Grade]]&lt;10),Table22[[#This Row],[Second. FTE]]*$T$6,0))</f>
        <v>0</v>
      </c>
      <c r="T21" s="141">
        <f>IF(Table22[[#This Row],[School Type]]="Adult Education",0,IF(AND(Table22[[#This Row],[Avg Second. FTEs per Grade]]&gt;=10,Table22[[#This Row],[Avg Second. FTEs per Grade]]&lt;50),($T$6-$T$7*(Table22[[#This Row],[Avg Second. FTEs per Grade]]-10))*Table22[[#This Row],[Second. FTE]],0))</f>
        <v>0</v>
      </c>
      <c r="U21" s="142">
        <f>IF(OR(Table22[[#This Row],[Elem. Small Schools &lt;5 FTE per Grade]]&gt;0,Table22[[#This Row],[Elem. Small Schools 5&lt;20 FTE per Grade]]&gt;0,Table22[[#This Row],[Second. Small Schools &lt;10 FTE per Grade]]&gt;0,Table22[[#This Row],[Second. Small Schools 10&lt;50 FTE per Grade]]&gt;0),$T$8,0)</f>
        <v>3411</v>
      </c>
      <c r="V21" s="713">
        <f>IF(Table22[[#This Row],[School Type]]="Adult Education",0,ROUND(SUM(Q21:U21),0))</f>
        <v>6155</v>
      </c>
      <c r="X21" s="711">
        <f>V21+Table22[[#This Row],[TOTAL]]</f>
        <v>14855</v>
      </c>
    </row>
    <row r="22" spans="1:24" ht="15">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Type],MATCH(Table22[[#This Row],[School '#]],TableAFNSchools[School No.],0))</f>
        <v>Adult Education</v>
      </c>
      <c r="F22" s="1">
        <f>INDEX(TableAFNSchools[Elementary],MATCH(Table22[[#This Row],[School '#]],TableAFNSchools[School No.],0))</f>
        <v>0</v>
      </c>
      <c r="G22" s="1">
        <f>INDEX(TableAFNSchools[Secondary],MATCH(Table22[[#This Row],[School '#]],TableAFNSchools[School No.],0))</f>
        <v>25</v>
      </c>
      <c r="H22" s="51">
        <f>INDEX(TableAFNSchools[Avg. Elem FTEs per Grade],MATCH(Table22[[#This Row],[School '#]],TableAFNSchools[School No.],0))</f>
        <v>0</v>
      </c>
      <c r="I22" s="51">
        <f>INDEX(TableAFNSchools[Avg. Second FTEs per Grade],MATCH(Table22[[#This Row],[School '#]],TableAFNSchools[School No.],0))</f>
        <v>25</v>
      </c>
      <c r="J22" s="141">
        <f>IF(Table22[[#This Row],[School Type]]="Adult Education",0,IF(AND(Table22[[#This Row],[Avg Elem. FTEs per Grade]]&gt;0,Table22[[#This Row],[Avg Elem. FTEs per Grade]]&lt;5),Table22[[#This Row],[Elem. FTE]]*FundingRate_SmSchElem,0))</f>
        <v>0</v>
      </c>
      <c r="K22" s="141">
        <f>IF(Table22[[#This Row],[School Type]]="Adult Education",0,IF(AND(Table22[[#This Row],[Avg Elem. FTEs per Grade]]&gt;=5,Table22[[#This Row],[Avg Elem. FTEs per Grade]]&lt;20),(FundingRate_SmSchElem-FundingRate_SmSchElemperPupil*(Table22[[#This Row],[Avg Elem. FTEs per Grade]]-5))*Table22[[#This Row],[Elem. FTE]],0))</f>
        <v>0</v>
      </c>
      <c r="L22" s="141">
        <f>IF(Table22[[#This Row],[School Type]]="Adult Education",0,IF(AND(Table22[[#This Row],[Avg Second. FTEs per Grade]]&gt;0,Table22[[#This Row],[Avg Second. FTEs per Grade]]&lt;10),Table22[[#This Row],[Second. FTE]]*FundingRate_SmSchSec,0))</f>
        <v>0</v>
      </c>
      <c r="M22" s="141">
        <f>IF(Table22[[#This Row],[School Type]]="Adult Education",0,IF(AND(Table22[[#This Row],[Avg Second. FTEs per Grade]]&gt;=10,Table22[[#This Row],[Avg Second. FTEs per Grade]]&lt;50),(FundingRate_SmSchSec-FundingRate_SmSchSecperPupil*(Table22[[#This Row],[Avg Second. FTEs per Grade]]-10))*Table22[[#This Row],[Second. FTE]],0))</f>
        <v>0</v>
      </c>
      <c r="N22" s="142">
        <f>IF(OR(Table22[[#This Row],[Elem. Small Schools &lt;5 FTE per Grade]]&gt;0,Table22[[#This Row],[Elem. Small Schools 5&lt;20 FTE per Grade]]&gt;0,Table22[[#This Row],[Second. Small Schools &lt;10 FTE per Grade]]&gt;0,Table22[[#This Row],[Second. Small Schools 10&lt;50 FTE per Grade]]&gt;0),FudningRate_SmSchperSch,0)</f>
        <v>0</v>
      </c>
      <c r="O22" s="740">
        <f>IF(Table22[[#This Row],[School Type]]="Adult Education",0,ROUND(SUM(Table22[[#This Row],[Elem. Small Schools &lt;5 FTE per Grade]:[Small Schools - Per School Allocation]]),0))</f>
        <v>0</v>
      </c>
      <c r="P22" s="22">
        <f>Table22[[#This Row],[TOTAL]]/(Table22[[#This Row],[Second. FTE]]+Table22[[#This Row],[Elem. FTE]])</f>
        <v>0</v>
      </c>
      <c r="Q22" s="141">
        <f>IF(Table22[[#This Row],[School Type]]="Adult Education",0,IF(AND(Table22[[#This Row],[Avg Elem. FTEs per Grade]]&gt;0,Table22[[#This Row],[Avg Elem. FTEs per Grade]]&lt;5),Table22[[#This Row],[Elem. FTE]]*$T$4,0))</f>
        <v>0</v>
      </c>
      <c r="R22" s="141">
        <f>IF(Table22[[#This Row],[School Type]]="Adult Education",0,IF(AND(Table22[[#This Row],[Avg Elem. FTEs per Grade]]&gt;=5,Table22[[#This Row],[Avg Elem. FTEs per Grade]]&lt;20),($T$4-$T$5*(Table22[[#This Row],[Avg Elem. FTEs per Grade]]-5))*Table22[[#This Row],[Elem. FTE]],0))</f>
        <v>0</v>
      </c>
      <c r="S22" s="141">
        <f>IF(Table22[[#This Row],[School Type]]="Adult Education",0,IF(AND(Table22[[#This Row],[Avg Second. FTEs per Grade]]&gt;0,Table22[[#This Row],[Avg Second. FTEs per Grade]]&lt;10),Table22[[#This Row],[Second. FTE]]*$T$6,0))</f>
        <v>0</v>
      </c>
      <c r="T22" s="141">
        <f>IF(Table22[[#This Row],[School Type]]="Adult Education",0,IF(AND(Table22[[#This Row],[Avg Second. FTEs per Grade]]&gt;=10,Table22[[#This Row],[Avg Second. FTEs per Grade]]&lt;50),($T$6-$T$7*(Table22[[#This Row],[Avg Second. FTEs per Grade]]-10))*Table22[[#This Row],[Second. FTE]],0))</f>
        <v>0</v>
      </c>
      <c r="U22" s="142">
        <f>IF(OR(Table22[[#This Row],[Elem. Small Schools &lt;5 FTE per Grade]]&gt;0,Table22[[#This Row],[Elem. Small Schools 5&lt;20 FTE per Grade]]&gt;0,Table22[[#This Row],[Second. Small Schools &lt;10 FTE per Grade]]&gt;0,Table22[[#This Row],[Second. Small Schools 10&lt;50 FTE per Grade]]&gt;0),$T$8,0)</f>
        <v>0</v>
      </c>
      <c r="V22" s="713">
        <f>IF(Table22[[#This Row],[School Type]]="Adult Education",0,ROUND(SUM(Q22:U22),0))</f>
        <v>0</v>
      </c>
      <c r="X22" s="711">
        <f>V22+Table22[[#This Row],[TOTAL]]</f>
        <v>0</v>
      </c>
    </row>
    <row r="23" spans="1:24">
      <c r="A23" t="s">
        <v>72</v>
      </c>
      <c r="F23" s="1197">
        <f>SUBTOTAL(109,Table22[Elem. FTE])</f>
        <v>1579</v>
      </c>
      <c r="G23" s="1">
        <f>SUBTOTAL(109,Table22[Second. FTE])</f>
        <v>447</v>
      </c>
      <c r="H23" s="51">
        <f>SUBTOTAL(109,Table22[Avg Elem. FTEs per Grade])</f>
        <v>157.9</v>
      </c>
      <c r="I23" s="51">
        <f>SUBTOTAL(109,Table22[Avg Second. FTEs per Grade])</f>
        <v>132</v>
      </c>
      <c r="J23" s="141">
        <f>SUBTOTAL(109,Table22[Elem. Small Schools &lt;5 FTE per Grade])</f>
        <v>2958</v>
      </c>
      <c r="K23" s="141">
        <f>SUBTOTAL(109,Table22[Elem. Small Schools 5&lt;20 FTE per Grade])</f>
        <v>17372.64</v>
      </c>
      <c r="L23" s="141">
        <f>SUBTOTAL(109,Table22[Second. Small Schools &lt;10 FTE per Grade])</f>
        <v>17596</v>
      </c>
      <c r="M23" s="141">
        <f>SUBTOTAL(109,Table22[Second. Small Schools 10&lt;50 FTE per Grade])</f>
        <v>36491.825000000012</v>
      </c>
      <c r="N23" s="141">
        <f>SUBTOTAL(109,Table22[Small Schools - Per School Allocation])</f>
        <v>58300</v>
      </c>
      <c r="O23" s="740">
        <f>SUBTOTAL(109,Table22[TOTAL])</f>
        <v>132719</v>
      </c>
      <c r="P23" s="121"/>
      <c r="Q23" s="1484">
        <f>SUBTOTAL(109,Table22[Elem. Small Schools &lt;5 FTE per Grade])</f>
        <v>2958</v>
      </c>
      <c r="R23" s="1484">
        <f>SUM(R11:R22)</f>
        <v>14100.415999999997</v>
      </c>
      <c r="S23" s="1484">
        <f>SUM(S11:S22)</f>
        <v>10707</v>
      </c>
      <c r="T23" s="1484">
        <f>SUM(T11:T22)</f>
        <v>22305.052500000002</v>
      </c>
      <c r="U23" s="1484">
        <f>SUM(U11:U22)</f>
        <v>37521</v>
      </c>
      <c r="V23" s="1485">
        <f>SUM(V11:V22)</f>
        <v>87010</v>
      </c>
      <c r="X23" s="1486">
        <f>SUM(X11:X22)</f>
        <v>219729</v>
      </c>
    </row>
    <row r="24" spans="1:24">
      <c r="J24" s="19"/>
      <c r="N24" s="20"/>
    </row>
  </sheetData>
  <mergeCells count="11">
    <mergeCell ref="E8:G8"/>
    <mergeCell ref="A4:D5"/>
    <mergeCell ref="E4:G4"/>
    <mergeCell ref="E5:G5"/>
    <mergeCell ref="E6:G6"/>
    <mergeCell ref="E7:G7"/>
    <mergeCell ref="Q4:S4"/>
    <mergeCell ref="Q5:S5"/>
    <mergeCell ref="Q6:S6"/>
    <mergeCell ref="Q7:S7"/>
    <mergeCell ref="Q8:S8"/>
  </mergeCells>
  <hyperlinks>
    <hyperlink ref="A6" r:id="rId1" display="Source: Manitoba Education, Funding of Schools 2019-20 Guide, p17" xr:uid="{00000000-0004-0000-1E00-000000000000}"/>
  </hyperlinks>
  <pageMargins left="0.7" right="0.7" top="0.75" bottom="0.75" header="0.3" footer="0.3"/>
  <pageSetup orientation="landscape" r:id="rId2"/>
  <headerFooter>
    <oddHeader>&amp;LMFNERC First Nations School System 2017-18&amp;RE&amp;&amp;OE
&amp;P of &amp;N</oddHeader>
  </headerFooter>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5"/>
  <dimension ref="A2:M27"/>
  <sheetViews>
    <sheetView topLeftCell="A4" workbookViewId="0">
      <selection activeCell="J12" sqref="J12"/>
    </sheetView>
  </sheetViews>
  <sheetFormatPr baseColWidth="10" defaultColWidth="9.19921875" defaultRowHeight="14"/>
  <cols>
    <col min="2" max="2" width="17.3984375" customWidth="1"/>
    <col min="3" max="3" width="13.3984375" customWidth="1"/>
    <col min="4" max="4" width="13.796875" customWidth="1"/>
    <col min="5" max="5" width="13" customWidth="1"/>
    <col min="6" max="8" width="15" customWidth="1"/>
    <col min="9" max="9" width="15.796875" customWidth="1"/>
    <col min="11" max="11" width="12.3984375" bestFit="1" customWidth="1"/>
    <col min="12" max="12" width="15.796875" customWidth="1"/>
    <col min="13" max="13" width="11" bestFit="1" customWidth="1"/>
  </cols>
  <sheetData>
    <row r="2" spans="1:13">
      <c r="A2" t="s">
        <v>465</v>
      </c>
    </row>
    <row r="3" spans="1:13" ht="19">
      <c r="A3" s="33" t="s">
        <v>600</v>
      </c>
    </row>
    <row r="4" spans="1:13" ht="14.25" customHeight="1">
      <c r="A4" s="764" t="s">
        <v>601</v>
      </c>
      <c r="B4" s="765"/>
      <c r="C4" s="765"/>
      <c r="D4" s="765"/>
      <c r="E4" s="766"/>
    </row>
    <row r="5" spans="1:13">
      <c r="A5" s="767" t="s">
        <v>602</v>
      </c>
      <c r="B5" s="752"/>
      <c r="C5" s="768"/>
      <c r="D5" s="768"/>
      <c r="E5" s="769"/>
    </row>
    <row r="6" spans="1:13" ht="33" customHeight="1">
      <c r="A6" s="1655" t="s">
        <v>603</v>
      </c>
      <c r="B6" s="1656"/>
      <c r="C6" s="1656"/>
      <c r="D6" s="1656"/>
      <c r="E6" s="1656"/>
      <c r="F6" s="1656"/>
      <c r="G6" s="1656"/>
    </row>
    <row r="7" spans="1:13" ht="37.5" customHeight="1">
      <c r="A7" s="1655" t="s">
        <v>604</v>
      </c>
      <c r="B7" s="1656"/>
      <c r="C7" s="1656"/>
      <c r="D7" s="1656"/>
      <c r="E7" s="1656"/>
      <c r="F7" s="1656"/>
      <c r="G7" s="1656"/>
    </row>
    <row r="8" spans="1:13">
      <c r="A8" s="93" t="s">
        <v>605</v>
      </c>
    </row>
    <row r="10" spans="1:13" ht="66" customHeight="1">
      <c r="A10" s="114" t="s">
        <v>285</v>
      </c>
      <c r="B10" s="114" t="s">
        <v>286</v>
      </c>
      <c r="C10" s="114" t="s">
        <v>606</v>
      </c>
      <c r="D10" s="144" t="s">
        <v>607</v>
      </c>
      <c r="E10" s="114" t="s">
        <v>608</v>
      </c>
      <c r="F10" s="114" t="s">
        <v>609</v>
      </c>
      <c r="G10" s="114" t="s">
        <v>610</v>
      </c>
      <c r="H10" s="114" t="s">
        <v>611</v>
      </c>
      <c r="I10" s="739" t="s">
        <v>612</v>
      </c>
      <c r="J10" s="1556" t="s">
        <v>458</v>
      </c>
    </row>
    <row r="11" spans="1:13">
      <c r="A11">
        <v>272</v>
      </c>
      <c r="B11" t="s">
        <v>388</v>
      </c>
      <c r="C11" s="1">
        <v>317</v>
      </c>
      <c r="D11" s="1">
        <v>378</v>
      </c>
      <c r="E11" s="1">
        <f>SUMIF(TableAFNSchools[Band No '#],Table23[[#This Row],[Band '#]],TableAFNSchools[Total Funded FTE])</f>
        <v>435</v>
      </c>
      <c r="F11" s="961">
        <f>SUMIF(Table31[Band '#],Table23[[#This Row],[Band '#]],Table31[BASE SUPPORT SUBTOTAL])-SUMIF(Table31[Band '#],Table23[[#This Row],[Band '#]],Table31[11. Occupancy])</f>
        <v>1478447</v>
      </c>
      <c r="G11" s="87"/>
      <c r="H11" s="87"/>
      <c r="I11" s="716"/>
      <c r="J11" s="74">
        <f>Table23[[#This Row],[Base Support Current Formula Year (excluding Occupancy) 2020-21]]/Table23[[#This Row],[Total Enrolment Current Formula Year - 2021/22]]</f>
        <v>3398.728735632184</v>
      </c>
    </row>
    <row r="12" spans="1:13">
      <c r="A12">
        <v>275</v>
      </c>
      <c r="B12" t="s">
        <v>390</v>
      </c>
      <c r="C12" s="1">
        <v>273</v>
      </c>
      <c r="D12" s="1">
        <v>298</v>
      </c>
      <c r="E12" s="1">
        <f>SUMIF(TableAFNSchools[Band No '#],Table23[[#This Row],[Band '#]],TableAFNSchools[Total Funded FTE])</f>
        <v>398</v>
      </c>
      <c r="F12" s="691">
        <f>SUMIF(Table31[Band '#],Table23[[#This Row],[Band '#]],Table31[BASE SUPPORT SUBTOTAL])-SUMIF(Table31[Band '#],Table23[[#This Row],[Band '#]],Table31[11. Occupancy])</f>
        <v>1345978</v>
      </c>
      <c r="G12" s="139"/>
      <c r="H12" s="139"/>
      <c r="I12" s="741"/>
      <c r="J12" s="74">
        <f>Table23[[#This Row],[Base Support Current Formula Year (excluding Occupancy) 2020-21]]/Table23[[#This Row],[Total Enrolment Current Formula Year - 2021/22]]</f>
        <v>3381.854271356784</v>
      </c>
    </row>
    <row r="13" spans="1:13">
      <c r="A13">
        <v>267</v>
      </c>
      <c r="B13" t="s">
        <v>392</v>
      </c>
      <c r="C13" s="1">
        <v>159</v>
      </c>
      <c r="D13" s="1">
        <v>180</v>
      </c>
      <c r="E13" s="1">
        <f>SUMIF(TableAFNSchools[Band No '#],Table23[[#This Row],[Band '#]],TableAFNSchools[Total Funded FTE])</f>
        <v>194</v>
      </c>
      <c r="F13" s="691">
        <f>SUMIF(Table31[Band '#],Table23[[#This Row],[Band '#]],Table31[BASE SUPPORT SUBTOTAL])-SUMIF(Table31[Band '#],Table23[[#This Row],[Band '#]],Table31[11. Occupancy])</f>
        <v>689942</v>
      </c>
      <c r="G13" s="139"/>
      <c r="H13" s="139"/>
      <c r="I13" s="716"/>
      <c r="J13" s="74">
        <f>Table23[[#This Row],[Base Support Current Formula Year (excluding Occupancy) 2020-21]]/Table23[[#This Row],[Total Enrolment Current Formula Year - 2021/22]]</f>
        <v>3556.4020618556701</v>
      </c>
    </row>
    <row r="14" spans="1:13">
      <c r="A14">
        <v>304</v>
      </c>
      <c r="B14" t="s">
        <v>394</v>
      </c>
      <c r="C14" s="1">
        <v>117</v>
      </c>
      <c r="D14" s="1">
        <v>133</v>
      </c>
      <c r="E14" s="1">
        <f>SUMIF(TableAFNSchools[Band No '#],Table23[[#This Row],[Band '#]],TableAFNSchools[Total Funded FTE])</f>
        <v>142</v>
      </c>
      <c r="F14" s="691">
        <f>SUMIF(Table31[Band '#],Table23[[#This Row],[Band '#]],Table31[BASE SUPPORT SUBTOTAL])-SUMIF(Table31[Band '#],Table23[[#This Row],[Band '#]],Table31[11. Occupancy])</f>
        <v>474948</v>
      </c>
      <c r="G14" s="139"/>
      <c r="H14" s="139"/>
      <c r="I14" s="716"/>
      <c r="J14" s="74">
        <f>Table23[[#This Row],[Base Support Current Formula Year (excluding Occupancy) 2020-21]]/Table23[[#This Row],[Total Enrolment Current Formula Year - 2021/22]]</f>
        <v>3344.7042253521126</v>
      </c>
      <c r="M14" s="26"/>
    </row>
    <row r="15" spans="1:13">
      <c r="A15">
        <v>271</v>
      </c>
      <c r="B15" t="s">
        <v>396</v>
      </c>
      <c r="C15" s="1">
        <v>280</v>
      </c>
      <c r="D15" s="1">
        <v>298</v>
      </c>
      <c r="E15" s="1">
        <f>SUMIF(TableAFNSchools[Band No '#],Table23[[#This Row],[Band '#]],TableAFNSchools[Total Funded FTE])</f>
        <v>303</v>
      </c>
      <c r="F15" s="691">
        <f>SUMIF(Table31[Band '#],Table23[[#This Row],[Band '#]],Table31[BASE SUPPORT SUBTOTAL])-SUMIF(Table31[Band '#],Table23[[#This Row],[Band '#]],Table31[11. Occupancy])</f>
        <v>1131995</v>
      </c>
      <c r="G15" s="139"/>
      <c r="H15" s="139"/>
      <c r="I15" s="716"/>
      <c r="J15" s="74">
        <f>Table23[[#This Row],[Base Support Current Formula Year (excluding Occupancy) 2020-21]]/Table23[[#This Row],[Total Enrolment Current Formula Year - 2021/22]]</f>
        <v>3735.9570957095711</v>
      </c>
      <c r="L15" s="92"/>
      <c r="M15" s="26"/>
    </row>
    <row r="16" spans="1:13">
      <c r="A16">
        <v>295</v>
      </c>
      <c r="B16" t="s">
        <v>320</v>
      </c>
      <c r="C16" s="1">
        <v>5</v>
      </c>
      <c r="D16" s="1">
        <v>73</v>
      </c>
      <c r="E16" s="1">
        <f>SUMIF(TableAFNSchools[Band No '#],Table23[[#This Row],[Band '#]],TableAFNSchools[Total Funded FTE])</f>
        <v>41</v>
      </c>
      <c r="F16" s="691">
        <f>SUMIF(Table31[Band '#],Table23[[#This Row],[Band '#]],Table31[BASE SUPPORT SUBTOTAL])-SUMIF(Table31[Band '#],Table23[[#This Row],[Band '#]],Table31[11. Occupancy])</f>
        <v>253092</v>
      </c>
      <c r="G16" s="139"/>
      <c r="H16" s="139"/>
      <c r="I16" s="716"/>
      <c r="J16" s="74">
        <f>Table23[[#This Row],[Base Support Current Formula Year (excluding Occupancy) 2020-21]]/Table23[[#This Row],[Total Enrolment Current Formula Year - 2021/22]]</f>
        <v>6172.9756097560976</v>
      </c>
      <c r="L16" s="92"/>
      <c r="M16" s="26"/>
    </row>
    <row r="17" spans="1:13">
      <c r="A17">
        <v>288</v>
      </c>
      <c r="B17" t="s">
        <v>398</v>
      </c>
      <c r="C17" s="1">
        <v>90</v>
      </c>
      <c r="D17" s="1">
        <v>88</v>
      </c>
      <c r="E17" s="1">
        <f>SUMIF(TableAFNSchools[Band No '#],Table23[[#This Row],[Band '#]],TableAFNSchools[Total Funded FTE])</f>
        <v>86</v>
      </c>
      <c r="F17" s="691">
        <f>SUMIF(Table31[Band '#],Table23[[#This Row],[Band '#]],Table31[BASE SUPPORT SUBTOTAL])-SUMIF(Table31[Band '#],Table23[[#This Row],[Band '#]],Table31[11. Occupancy])</f>
        <v>308340</v>
      </c>
      <c r="G17" s="139"/>
      <c r="H17" s="139"/>
      <c r="I17" s="716"/>
      <c r="J17" s="74">
        <f>Table23[[#This Row],[Base Support Current Formula Year (excluding Occupancy) 2020-21]]/Table23[[#This Row],[Total Enrolment Current Formula Year - 2021/22]]</f>
        <v>3585.3488372093025</v>
      </c>
      <c r="L17" s="92"/>
      <c r="M17" s="26"/>
    </row>
    <row r="18" spans="1:13">
      <c r="A18">
        <v>261</v>
      </c>
      <c r="B18" t="s">
        <v>400</v>
      </c>
      <c r="C18" s="1">
        <v>143</v>
      </c>
      <c r="D18" s="1">
        <v>142</v>
      </c>
      <c r="E18" s="1">
        <f>SUMIF(TableAFNSchools[Band No '#],Table23[[#This Row],[Band '#]],TableAFNSchools[Total Funded FTE])</f>
        <v>148</v>
      </c>
      <c r="F18" s="691">
        <f>SUMIF(Table31[Band '#],Table23[[#This Row],[Band '#]],Table31[BASE SUPPORT SUBTOTAL])-SUMIF(Table31[Band '#],Table23[[#This Row],[Band '#]],Table31[11. Occupancy])</f>
        <v>713546</v>
      </c>
      <c r="G18" s="139"/>
      <c r="H18" s="139"/>
      <c r="I18" s="716"/>
      <c r="J18" s="74">
        <f>Table23[[#This Row],[Base Support Current Formula Year (excluding Occupancy) 2020-21]]/Table23[[#This Row],[Total Enrolment Current Formula Year - 2021/22]]</f>
        <v>4821.2567567567567</v>
      </c>
    </row>
    <row r="19" spans="1:13">
      <c r="A19">
        <v>273</v>
      </c>
      <c r="B19" t="s">
        <v>402</v>
      </c>
      <c r="C19" s="1">
        <v>149</v>
      </c>
      <c r="D19" s="1">
        <v>167</v>
      </c>
      <c r="E19" s="1">
        <f>SUMIF(TableAFNSchools[Band No '#],Table23[[#This Row],[Band '#]],TableAFNSchools[Total Funded FTE])</f>
        <v>153</v>
      </c>
      <c r="F19" s="691">
        <f>SUMIF(Table31[Band '#],Table23[[#This Row],[Band '#]],Table31[BASE SUPPORT SUBTOTAL])-SUMIF(Table31[Band '#],Table23[[#This Row],[Band '#]],Table31[11. Occupancy])</f>
        <v>429534</v>
      </c>
      <c r="G19" s="139"/>
      <c r="H19" s="139"/>
      <c r="I19" s="716"/>
      <c r="J19" s="74">
        <f>Table23[[#This Row],[Base Support Current Formula Year (excluding Occupancy) 2020-21]]/Table23[[#This Row],[Total Enrolment Current Formula Year - 2021/22]]</f>
        <v>2807.4117647058824</v>
      </c>
    </row>
    <row r="20" spans="1:13">
      <c r="A20">
        <v>305</v>
      </c>
      <c r="B20" t="s">
        <v>404</v>
      </c>
      <c r="C20" s="1">
        <v>20</v>
      </c>
      <c r="D20" s="1">
        <v>27.5</v>
      </c>
      <c r="E20" s="1">
        <f>SUMIF(TableAFNSchools[Band No '#],Table23[[#This Row],[Band '#]],TableAFNSchools[Total Funded FTE])</f>
        <v>27</v>
      </c>
      <c r="F20" s="691">
        <f>SUMIF(Table31[Band '#],Table23[[#This Row],[Band '#]],Table31[BASE SUPPORT SUBTOTAL])-SUMIF(Table31[Band '#],Table23[[#This Row],[Band '#]],Table31[11. Occupancy])</f>
        <v>267095</v>
      </c>
      <c r="G20" s="139"/>
      <c r="H20" s="139"/>
      <c r="I20" s="741"/>
      <c r="J20" s="74">
        <f>Table23[[#This Row],[Base Support Current Formula Year (excluding Occupancy) 2020-21]]/Table23[[#This Row],[Total Enrolment Current Formula Year - 2021/22]]</f>
        <v>9892.4074074074069</v>
      </c>
    </row>
    <row r="21" spans="1:13">
      <c r="A21">
        <v>286</v>
      </c>
      <c r="B21" t="s">
        <v>406</v>
      </c>
      <c r="C21" s="1">
        <v>90</v>
      </c>
      <c r="D21" s="1">
        <v>103</v>
      </c>
      <c r="E21" s="1">
        <f>SUMIF(TableAFNSchools[Band No '#],Table23[[#This Row],[Band '#]],TableAFNSchools[Total Funded FTE])</f>
        <v>99</v>
      </c>
      <c r="F21" s="691">
        <f>SUMIF(Table31[Band '#],Table23[[#This Row],[Band '#]],Table31[BASE SUPPORT SUBTOTAL])-SUMIF(Table31[Band '#],Table23[[#This Row],[Band '#]],Table31[11. Occupancy])</f>
        <v>283431</v>
      </c>
      <c r="G21" s="139"/>
      <c r="H21" s="139"/>
      <c r="I21" s="716"/>
      <c r="J21" s="74">
        <f>Table23[[#This Row],[Base Support Current Formula Year (excluding Occupancy) 2020-21]]/Table23[[#This Row],[Total Enrolment Current Formula Year - 2021/22]]</f>
        <v>2862.939393939394</v>
      </c>
    </row>
    <row r="22" spans="1:13" ht="15">
      <c r="A22" t="s">
        <v>72</v>
      </c>
      <c r="C22" s="166">
        <f>SUBTOTAL(109,Table23[Total Enrolment Formula Year - 2019/20])</f>
        <v>1643</v>
      </c>
      <c r="D22" s="166">
        <f>SUBTOTAL(109,Table23[Total Enrolment  Formula Year - 2020/21])</f>
        <v>1887.5</v>
      </c>
      <c r="E22" s="166">
        <f>SUBTOTAL(109,Table23[Total Enrolment Current Formula Year - 2021/22])</f>
        <v>2026</v>
      </c>
      <c r="F22" s="74">
        <f>SUBTOTAL(109,Table23[Base Support Current Formula Year (excluding Occupancy) 2020-21])</f>
        <v>7376348</v>
      </c>
      <c r="G22" s="74">
        <f>ROUND((Table23[[#Totals],[Total Enrolment Formula Year - 2019/20]]-Table23[[#Totals],[Total Enrolment  Formula Year - 2020/21]])*(Table23[[#Totals],[Base Support Current Formula Year (excluding Occupancy) 2020-21]]/Table23[[#Totals],[Total Enrolment  Formula Year - 2020/21]]),0)</f>
        <v>-955506</v>
      </c>
      <c r="H22" s="74">
        <f>ROUND((Table23[[#Totals],[Total Enrolment Current Formula Year - 2021/22]]-Table23[[#Totals],[Total Enrolment  Formula Year - 2020/21]])*(Table23[[#Totals],[Base Support Current Formula Year (excluding Occupancy) 2020-21]]/Table23[[#Totals],[Total Enrolment  Formula Year - 2020/21]]),0)</f>
        <v>541258</v>
      </c>
      <c r="I22" s="1143">
        <f>IF(OR(Table23[[#Totals],[B. Increase in NR from 2019 to 2020]],Table23[[#Totals],[A. Decrease in NR from 2018 to 2019]])&gt;0,IF(Table23[[#Totals],[B. Increase in NR from 2019 to 2020]]&gt;Table23[[#Totals],[A. Decrease in NR from 2018 to 2019]],Table23[[#Totals],[B. Increase in NR from 2019 to 2020]],Table23[[#Totals],[A. Decrease in NR from 2018 to 2019]]),0)</f>
        <v>541258</v>
      </c>
      <c r="K22" s="26"/>
    </row>
    <row r="27" spans="1:13">
      <c r="A27" s="121"/>
    </row>
  </sheetData>
  <mergeCells count="2">
    <mergeCell ref="A6:G6"/>
    <mergeCell ref="A7:G7"/>
  </mergeCells>
  <hyperlinks>
    <hyperlink ref="A8" r:id="rId1" display="Source: Manitoba Education, Funding of Schools 2017-18 Guide, p18" xr:uid="{00000000-0004-0000-1F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6"/>
  <dimension ref="A2:L54"/>
  <sheetViews>
    <sheetView workbookViewId="0">
      <selection activeCell="H11" sqref="H11"/>
    </sheetView>
  </sheetViews>
  <sheetFormatPr baseColWidth="10" defaultColWidth="9.19921875" defaultRowHeight="14"/>
  <cols>
    <col min="1" max="1" width="7.59765625" customWidth="1"/>
    <col min="2" max="2" width="18.19921875" customWidth="1"/>
    <col min="3" max="3" width="9.3984375" customWidth="1"/>
    <col min="4" max="4" width="30.19921875" customWidth="1"/>
    <col min="5" max="5" width="18.19921875" customWidth="1"/>
    <col min="6" max="6" width="13.19921875" customWidth="1"/>
    <col min="7" max="7" width="15.59765625" customWidth="1"/>
    <col min="8" max="8" width="14.59765625" customWidth="1"/>
    <col min="9" max="9" width="14.3984375" customWidth="1"/>
    <col min="10" max="10" width="13.19921875" customWidth="1"/>
    <col min="12" max="12" width="14.19921875" bestFit="1" customWidth="1"/>
  </cols>
  <sheetData>
    <row r="2" spans="1:12">
      <c r="A2" t="s">
        <v>465</v>
      </c>
    </row>
    <row r="3" spans="1:12" ht="19">
      <c r="A3" s="773" t="s">
        <v>613</v>
      </c>
      <c r="B3" s="770"/>
      <c r="C3" s="758"/>
      <c r="D3" s="758"/>
      <c r="E3" s="758"/>
      <c r="F3" s="759"/>
      <c r="I3" s="33" t="s">
        <v>325</v>
      </c>
    </row>
    <row r="4" spans="1:12">
      <c r="A4" s="1653" t="s">
        <v>614</v>
      </c>
      <c r="B4" s="1653"/>
      <c r="C4" s="1653"/>
      <c r="D4" s="1653"/>
      <c r="E4" s="1653"/>
      <c r="F4" s="1653"/>
      <c r="G4" s="771"/>
    </row>
    <row r="5" spans="1:12" ht="40.5" customHeight="1">
      <c r="A5" s="1656" t="s">
        <v>615</v>
      </c>
      <c r="B5" s="1656"/>
      <c r="C5" s="1656"/>
      <c r="D5" s="1656"/>
      <c r="E5" s="1656"/>
      <c r="F5" s="1656"/>
      <c r="G5" s="772"/>
      <c r="H5" s="35"/>
    </row>
    <row r="6" spans="1:12">
      <c r="A6" s="1228" t="s">
        <v>328</v>
      </c>
      <c r="B6" s="1223">
        <v>670</v>
      </c>
      <c r="C6" s="758"/>
      <c r="D6" s="758"/>
      <c r="E6" s="758"/>
      <c r="F6" s="759"/>
      <c r="G6" s="52"/>
      <c r="H6" s="52"/>
    </row>
    <row r="7" spans="1:12" ht="15">
      <c r="A7" s="556" t="s">
        <v>605</v>
      </c>
      <c r="H7" s="52"/>
      <c r="I7" s="621"/>
      <c r="J7" s="622"/>
    </row>
    <row r="10" spans="1:12" ht="33.75" customHeight="1">
      <c r="A10" s="114" t="s">
        <v>285</v>
      </c>
      <c r="B10" s="114" t="s">
        <v>286</v>
      </c>
      <c r="C10" s="114" t="s">
        <v>330</v>
      </c>
      <c r="D10" s="114" t="s">
        <v>331</v>
      </c>
      <c r="E10" s="114" t="s">
        <v>616</v>
      </c>
      <c r="F10" s="888" t="s">
        <v>566</v>
      </c>
      <c r="G10" s="742" t="s">
        <v>322</v>
      </c>
      <c r="I10" s="1487" t="s">
        <v>617</v>
      </c>
      <c r="J10" s="1456" t="s">
        <v>366</v>
      </c>
      <c r="L10" s="1488" t="s">
        <v>618</v>
      </c>
    </row>
    <row r="11" spans="1:12">
      <c r="A11">
        <f>'A. 20-21 FN Schools Data'!A7</f>
        <v>272</v>
      </c>
      <c r="B11" t="str">
        <f>'A. 20-21 FN Schools Data'!B7</f>
        <v>Pinaymootang</v>
      </c>
      <c r="C11">
        <f>'A. 20-21 FN Schools Data'!C7</f>
        <v>1140</v>
      </c>
      <c r="D11" t="str">
        <f>'A. 20-21 FN Schools Data'!D7</f>
        <v>Pinaymootang School</v>
      </c>
      <c r="E11" s="76" t="str">
        <f>INDEX(TableAFNSchools[North/South of 53rd Parallel &amp; Fly-in = North],MATCH(Table24[[#This Row],[School '#]],TableAFNSchools[School No.],0))</f>
        <v>South</v>
      </c>
      <c r="F11" s="1">
        <f>INDEX(TableAFNSchools[Total Funded FTE],MATCH(Table24[[#This Row],[School '#]],TableAFNSchools[School No.],0))</f>
        <v>435</v>
      </c>
      <c r="G11" s="737">
        <f>IF(Table24[[#This Row],[North/South of the 53rd Parallel]]="North",Table24[[#This Row],[Total Eligible FTE]]*FundingRate_Northern,0)</f>
        <v>0</v>
      </c>
      <c r="I11" s="139">
        <f>IF(Table24[[#This Row],[North/South of the 53rd Parallel]]="North",(Table24[[#This Row],[Total Eligible FTE]]*INDEX($G$29:$G$50,MATCH(Table24[[#This Row],[Band '#]],$B$29:$B$50,0))),0)</f>
        <v>0</v>
      </c>
      <c r="J11" s="706">
        <f>I11-Table24[[#This Row],[TOTAL]]</f>
        <v>0</v>
      </c>
      <c r="L11" s="704">
        <f>I11</f>
        <v>0</v>
      </c>
    </row>
    <row r="12" spans="1:12">
      <c r="A12">
        <f>'A. 20-21 FN Schools Data'!A8</f>
        <v>275</v>
      </c>
      <c r="B12" t="str">
        <f>'A. 20-21 FN Schools Data'!B8</f>
        <v>Lake St. Martin</v>
      </c>
      <c r="C12">
        <f>'A. 20-21 FN Schools Data'!C8</f>
        <v>1144</v>
      </c>
      <c r="D12" t="str">
        <f>'A. 20-21 FN Schools Data'!D8</f>
        <v>Lake St. Martin School</v>
      </c>
      <c r="E12" s="76" t="str">
        <f>INDEX(TableAFNSchools[North/South of 53rd Parallel &amp; Fly-in = North],MATCH(Table24[[#This Row],[School '#]],TableAFNSchools[School No.],0))</f>
        <v>South</v>
      </c>
      <c r="F12" s="80">
        <f>INDEX(TableAFNSchools[Total Funded FTE],MATCH(Table24[[#This Row],[School '#]],TableAFNSchools[School No.],0))</f>
        <v>398</v>
      </c>
      <c r="G12" s="737">
        <f>IF(Table24[[#This Row],[North/South of the 53rd Parallel]]="North",Table24[[#This Row],[Total Eligible FTE]]*FundingRate_Northern,0)</f>
        <v>0</v>
      </c>
      <c r="I12" s="139">
        <f>IF(Table24[[#This Row],[North/South of the 53rd Parallel]]="North",(Table24[[#This Row],[Total Eligible FTE]]*INDEX($G$29:$G$50,MATCH(Table24[[#This Row],[Band '#]],$B$29:$B$50,0))),0)</f>
        <v>0</v>
      </c>
      <c r="J12" s="706">
        <f>I12-Table24[[#This Row],[TOTAL]]</f>
        <v>0</v>
      </c>
      <c r="L12" s="704">
        <f t="shared" ref="L12:L22" si="0">I12</f>
        <v>0</v>
      </c>
    </row>
    <row r="13" spans="1:12">
      <c r="A13">
        <f>'A. 20-21 FN Schools Data'!A9</f>
        <v>267</v>
      </c>
      <c r="B13" t="str">
        <f>'A. 20-21 FN Schools Data'!B9</f>
        <v>Bloodvein</v>
      </c>
      <c r="C13">
        <f>'A. 20-21 FN Schools Data'!C9</f>
        <v>1148</v>
      </c>
      <c r="D13" t="str">
        <f>'A. 20-21 FN Schools Data'!D9</f>
        <v>Miskooseepi School</v>
      </c>
      <c r="E13" s="76" t="str">
        <f>INDEX(TableAFNSchools[North/South of 53rd Parallel &amp; Fly-in = North],MATCH(Table24[[#This Row],[School '#]],TableAFNSchools[School No.],0))</f>
        <v>North</v>
      </c>
      <c r="F13" s="1">
        <f>INDEX(TableAFNSchools[Total Funded FTE],MATCH(Table24[[#This Row],[School '#]],TableAFNSchools[School No.],0))</f>
        <v>194</v>
      </c>
      <c r="G13" s="737">
        <f>IF(Table24[[#This Row],[North/South of the 53rd Parallel]]="North",Table24[[#This Row],[Total Eligible FTE]]*FundingRate_Northern,0)</f>
        <v>129980</v>
      </c>
      <c r="I13" s="139">
        <f>IF(Table24[[#This Row],[North/South of the 53rd Parallel]]="North",(Table24[[#This Row],[Total Eligible FTE]]*INDEX($G$29:$G$50,MATCH(Table24[[#This Row],[Band '#]],$B$29:$B$50,0))),0)</f>
        <v>164124</v>
      </c>
      <c r="J13" s="706">
        <f>I13-Table24[[#This Row],[TOTAL]]</f>
        <v>34144</v>
      </c>
      <c r="L13" s="704">
        <f t="shared" si="0"/>
        <v>164124</v>
      </c>
    </row>
    <row r="14" spans="1:12">
      <c r="A14">
        <f>'A. 20-21 FN Schools Data'!A10</f>
        <v>304</v>
      </c>
      <c r="B14" t="str">
        <f>'A. 20-21 FN Schools Data'!B10</f>
        <v>York Factory</v>
      </c>
      <c r="C14">
        <f>'A. 20-21 FN Schools Data'!C10</f>
        <v>1166</v>
      </c>
      <c r="D14" t="str">
        <f>'A. 20-21 FN Schools Data'!D10</f>
        <v>George Saunders Memorial School</v>
      </c>
      <c r="E14" s="76" t="str">
        <f>INDEX(TableAFNSchools[North/South of 53rd Parallel &amp; Fly-in = North],MATCH(Table24[[#This Row],[School '#]],TableAFNSchools[School No.],0))</f>
        <v>North</v>
      </c>
      <c r="F14" s="1">
        <f>INDEX(TableAFNSchools[Total Funded FTE],MATCH(Table24[[#This Row],[School '#]],TableAFNSchools[School No.],0))</f>
        <v>142</v>
      </c>
      <c r="G14" s="737">
        <f>IF(Table24[[#This Row],[North/South of the 53rd Parallel]]="North",Table24[[#This Row],[Total Eligible FTE]]*FundingRate_Northern,0)</f>
        <v>95140</v>
      </c>
      <c r="I14" s="139">
        <f>IF(Table24[[#This Row],[North/South of the 53rd Parallel]]="North",(Table24[[#This Row],[Total Eligible FTE]]*INDEX($G$29:$G$50,MATCH(Table24[[#This Row],[Band '#]],$B$29:$B$50,0))),0)</f>
        <v>135468</v>
      </c>
      <c r="J14" s="706">
        <f>I14-Table24[[#This Row],[TOTAL]]</f>
        <v>40328</v>
      </c>
      <c r="L14" s="704">
        <f t="shared" si="0"/>
        <v>135468</v>
      </c>
    </row>
    <row r="15" spans="1:12">
      <c r="A15">
        <f>'A. 20-21 FN Schools Data'!A11</f>
        <v>271</v>
      </c>
      <c r="B15" t="str">
        <f>'A. 20-21 FN Schools Data'!B11</f>
        <v>Lake Manitoba</v>
      </c>
      <c r="C15">
        <f>'A. 20-21 FN Schools Data'!C11</f>
        <v>1345</v>
      </c>
      <c r="D15" t="str">
        <f>'A. 20-21 FN Schools Data'!D11</f>
        <v>Lake Manitoba School</v>
      </c>
      <c r="E15" s="76" t="str">
        <f>INDEX(TableAFNSchools[North/South of 53rd Parallel &amp; Fly-in = North],MATCH(Table24[[#This Row],[School '#]],TableAFNSchools[School No.],0))</f>
        <v>South</v>
      </c>
      <c r="F15" s="1">
        <f>INDEX(TableAFNSchools[Total Funded FTE],MATCH(Table24[[#This Row],[School '#]],TableAFNSchools[School No.],0))</f>
        <v>303</v>
      </c>
      <c r="G15" s="737">
        <f>IF(Table24[[#This Row],[North/South of the 53rd Parallel]]="North",Table24[[#This Row],[Total Eligible FTE]]*FundingRate_Northern,0)</f>
        <v>0</v>
      </c>
      <c r="I15" s="139">
        <f>IF(Table24[[#This Row],[North/South of the 53rd Parallel]]="North",(Table24[[#This Row],[Total Eligible FTE]]*INDEX($G$29:$G$50,MATCH(Table24[[#This Row],[Band '#]],$B$29:$B$50,0))),0)</f>
        <v>0</v>
      </c>
      <c r="J15" s="706">
        <f>I15-Table24[[#This Row],[TOTAL]]</f>
        <v>0</v>
      </c>
      <c r="L15" s="704">
        <f t="shared" si="0"/>
        <v>0</v>
      </c>
    </row>
    <row r="16" spans="1:12">
      <c r="A16">
        <f>'A. 20-21 FN Schools Data'!A12</f>
        <v>295</v>
      </c>
      <c r="B16" t="str">
        <f>'A. 20-21 FN Schools Data'!B12</f>
        <v>Dakota Tipi</v>
      </c>
      <c r="C16">
        <f>'A. 20-21 FN Schools Data'!C12</f>
        <v>1350</v>
      </c>
      <c r="D16" t="str">
        <f>'A. 20-21 FN Schools Data'!D12</f>
        <v>Dakota Tipi School</v>
      </c>
      <c r="E16" s="76" t="str">
        <f>INDEX(TableAFNSchools[North/South of 53rd Parallel &amp; Fly-in = North],MATCH(Table24[[#This Row],[School '#]],TableAFNSchools[School No.],0))</f>
        <v>South</v>
      </c>
      <c r="F16" s="1">
        <f>INDEX(TableAFNSchools[Total Funded FTE],MATCH(Table24[[#This Row],[School '#]],TableAFNSchools[School No.],0))</f>
        <v>41</v>
      </c>
      <c r="G16" s="737">
        <f>IF(Table24[[#This Row],[North/South of the 53rd Parallel]]="North",Table24[[#This Row],[Total Eligible FTE]]*FundingRate_Northern,0)</f>
        <v>0</v>
      </c>
      <c r="I16" s="139">
        <f>IF(Table24[[#This Row],[North/South of the 53rd Parallel]]="North",(Table24[[#This Row],[Total Eligible FTE]]*INDEX($G$29:$G$50,MATCH(Table24[[#This Row],[Band '#]],$B$29:$B$50,0))),0)</f>
        <v>0</v>
      </c>
      <c r="J16" s="706">
        <f>I16-Table24[[#This Row],[TOTAL]]</f>
        <v>0</v>
      </c>
      <c r="L16" s="704">
        <f t="shared" si="0"/>
        <v>0</v>
      </c>
    </row>
    <row r="17" spans="1:12">
      <c r="A17">
        <f>'A. 20-21 FN Schools Data'!A13</f>
        <v>288</v>
      </c>
      <c r="B17" t="str">
        <f>'A. 20-21 FN Schools Data'!B13</f>
        <v>Dakota Plains</v>
      </c>
      <c r="C17">
        <f>'A. 20-21 FN Schools Data'!C13</f>
        <v>1486</v>
      </c>
      <c r="D17" t="str">
        <f>'A. 20-21 FN Schools Data'!D13</f>
        <v>Mahpiya Hdega School</v>
      </c>
      <c r="E17" s="76" t="str">
        <f>INDEX(TableAFNSchools[North/South of 53rd Parallel &amp; Fly-in = North],MATCH(Table24[[#This Row],[School '#]],TableAFNSchools[School No.],0))</f>
        <v>South</v>
      </c>
      <c r="F17" s="1">
        <f>INDEX(TableAFNSchools[Total Funded FTE],MATCH(Table24[[#This Row],[School '#]],TableAFNSchools[School No.],0))</f>
        <v>86</v>
      </c>
      <c r="G17" s="737">
        <f>IF(Table24[[#This Row],[North/South of the 53rd Parallel]]="North",Table24[[#This Row],[Total Eligible FTE]]*FundingRate_Northern,0)</f>
        <v>0</v>
      </c>
      <c r="I17" s="139">
        <f>IF(Table24[[#This Row],[North/South of the 53rd Parallel]]="North",(Table24[[#This Row],[Total Eligible FTE]]*INDEX($G$29:$G$50,MATCH(Table24[[#This Row],[Band '#]],$B$29:$B$50,0))),0)</f>
        <v>0</v>
      </c>
      <c r="J17" s="706">
        <f>I17-Table24[[#This Row],[TOTAL]]</f>
        <v>0</v>
      </c>
      <c r="L17" s="704">
        <f t="shared" si="0"/>
        <v>0</v>
      </c>
    </row>
    <row r="18" spans="1:12">
      <c r="A18">
        <f>'A. 20-21 FN Schools Data'!A14</f>
        <v>261</v>
      </c>
      <c r="B18" t="str">
        <f>'A. 20-21 FN Schools Data'!B14</f>
        <v>Brokenhead</v>
      </c>
      <c r="C18">
        <f>'A. 20-21 FN Schools Data'!C14</f>
        <v>1756</v>
      </c>
      <c r="D18" t="str">
        <f>'A. 20-21 FN Schools Data'!D14</f>
        <v>Sergeant Tommy Prince School</v>
      </c>
      <c r="E18" s="76" t="str">
        <f>INDEX(TableAFNSchools[North/South of 53rd Parallel &amp; Fly-in = North],MATCH(Table24[[#This Row],[School '#]],TableAFNSchools[School No.],0))</f>
        <v>South</v>
      </c>
      <c r="F18" s="1">
        <f>INDEX(TableAFNSchools[Total Funded FTE],MATCH(Table24[[#This Row],[School '#]],TableAFNSchools[School No.],0))</f>
        <v>123</v>
      </c>
      <c r="G18" s="737">
        <f>IF(Table24[[#This Row],[North/South of the 53rd Parallel]]="North",Table24[[#This Row],[Total Eligible FTE]]*FundingRate_Northern,0)</f>
        <v>0</v>
      </c>
      <c r="I18" s="139">
        <f>IF(Table24[[#This Row],[North/South of the 53rd Parallel]]="North",(Table24[[#This Row],[Total Eligible FTE]]*INDEX($G$29:$G$50,MATCH(Table24[[#This Row],[Band '#]],$B$29:$B$50,0))),0)</f>
        <v>0</v>
      </c>
      <c r="J18" s="706">
        <f>I18-Table24[[#This Row],[TOTAL]]</f>
        <v>0</v>
      </c>
      <c r="L18" s="704">
        <f t="shared" si="0"/>
        <v>0</v>
      </c>
    </row>
    <row r="19" spans="1:12">
      <c r="A19">
        <f>'A. 20-21 FN Schools Data'!A15</f>
        <v>273</v>
      </c>
      <c r="B19" t="str">
        <f>'A. 20-21 FN Schools Data'!B15</f>
        <v>Roseau River</v>
      </c>
      <c r="C19">
        <f>'A. 20-21 FN Schools Data'!C15</f>
        <v>5717</v>
      </c>
      <c r="D19" t="str">
        <f>'A. 20-21 FN Schools Data'!D15</f>
        <v>Ginew School</v>
      </c>
      <c r="E19" s="76" t="str">
        <f>INDEX(TableAFNSchools[North/South of 53rd Parallel &amp; Fly-in = North],MATCH(Table24[[#This Row],[School '#]],TableAFNSchools[School No.],0))</f>
        <v>South</v>
      </c>
      <c r="F19" s="1">
        <f>INDEX(TableAFNSchools[Total Funded FTE],MATCH(Table24[[#This Row],[School '#]],TableAFNSchools[School No.],0))</f>
        <v>153</v>
      </c>
      <c r="G19" s="737">
        <f>IF(Table24[[#This Row],[North/South of the 53rd Parallel]]="North",Table24[[#This Row],[Total Eligible FTE]]*FundingRate_Northern,0)</f>
        <v>0</v>
      </c>
      <c r="I19" s="139">
        <f>IF(Table24[[#This Row],[North/South of the 53rd Parallel]]="North",(Table24[[#This Row],[Total Eligible FTE]]*INDEX($G$29:$G$50,MATCH(Table24[[#This Row],[Band '#]],$B$29:$B$50,0))),0)</f>
        <v>0</v>
      </c>
      <c r="J19" s="706">
        <f>I19-Table24[[#This Row],[TOTAL]]</f>
        <v>0</v>
      </c>
      <c r="L19" s="704">
        <f t="shared" si="0"/>
        <v>0</v>
      </c>
    </row>
    <row r="20" spans="1:12">
      <c r="A20">
        <f>'A. 20-21 FN Schools Data'!A16</f>
        <v>305</v>
      </c>
      <c r="B20" t="str">
        <f>'A. 20-21 FN Schools Data'!B16</f>
        <v>Fox Lake</v>
      </c>
      <c r="C20">
        <f>'A. 20-21 FN Schools Data'!C16</f>
        <v>6413</v>
      </c>
      <c r="D20" t="str">
        <f>'A. 20-21 FN Schools Data'!D16</f>
        <v>Fox Lake School</v>
      </c>
      <c r="E20" s="76" t="str">
        <f>INDEX(TableAFNSchools[North/South of 53rd Parallel &amp; Fly-in = North],MATCH(Table24[[#This Row],[School '#]],TableAFNSchools[School No.],0))</f>
        <v>North</v>
      </c>
      <c r="F20" s="1">
        <f>INDEX(TableAFNSchools[Total Funded FTE],MATCH(Table24[[#This Row],[School '#]],TableAFNSchools[School No.],0))</f>
        <v>27</v>
      </c>
      <c r="G20" s="737">
        <f>IF(Table24[[#This Row],[North/South of the 53rd Parallel]]="North",Table24[[#This Row],[Total Eligible FTE]]*FundingRate_Northern,0)</f>
        <v>18090</v>
      </c>
      <c r="I20" s="139">
        <f>IF(Table24[[#This Row],[North/South of the 53rd Parallel]]="North",(Table24[[#This Row],[Total Eligible FTE]]*INDEX($G$29:$G$50,MATCH(Table24[[#This Row],[Band '#]],$B$29:$B$50,0))),0)</f>
        <v>22842</v>
      </c>
      <c r="J20" s="706">
        <f>I20-Table24[[#This Row],[TOTAL]]</f>
        <v>4752</v>
      </c>
      <c r="L20" s="704">
        <f t="shared" si="0"/>
        <v>22842</v>
      </c>
    </row>
    <row r="21" spans="1:12">
      <c r="A21">
        <f>'A. 20-21 FN Schools Data'!A17</f>
        <v>286</v>
      </c>
      <c r="B21" t="str">
        <f>'A. 20-21 FN Schools Data'!B17</f>
        <v>Keeseekoowenin</v>
      </c>
      <c r="C21">
        <f>'A. 20-21 FN Schools Data'!C17</f>
        <v>8990</v>
      </c>
      <c r="D21" t="str">
        <f>'A. 20-21 FN Schools Data'!D17</f>
        <v>Keeseekoowenin School</v>
      </c>
      <c r="E21" s="76" t="str">
        <f>INDEX(TableAFNSchools[North/South of 53rd Parallel &amp; Fly-in = North],MATCH(Table24[[#This Row],[School '#]],TableAFNSchools[School No.],0))</f>
        <v>South</v>
      </c>
      <c r="F21" s="1">
        <f>INDEX(TableAFNSchools[Total Funded FTE],MATCH(Table24[[#This Row],[School '#]],TableAFNSchools[School No.],0))</f>
        <v>99</v>
      </c>
      <c r="G21" s="737">
        <f>IF(Table24[[#This Row],[North/South of the 53rd Parallel]]="North",Table24[[#This Row],[Total Eligible FTE]]*FundingRate_Northern,0)</f>
        <v>0</v>
      </c>
      <c r="I21" s="139">
        <f>IF(Table24[[#This Row],[North/South of the 53rd Parallel]]="North",(Table24[[#This Row],[Total Eligible FTE]]*INDEX($G$29:$G$50,MATCH(Table24[[#This Row],[Band '#]],$B$29:$B$50,0))),0)</f>
        <v>0</v>
      </c>
      <c r="J21" s="706">
        <f>I21-Table24[[#This Row],[TOTAL]]</f>
        <v>0</v>
      </c>
      <c r="L21" s="704">
        <f t="shared" si="0"/>
        <v>0</v>
      </c>
    </row>
    <row r="22" spans="1:12">
      <c r="A22">
        <f>'A. 20-21 FN Schools Data'!A18</f>
        <v>261</v>
      </c>
      <c r="B22" t="str">
        <f>'A. 20-21 FN Schools Data'!B18</f>
        <v>Brokenhead</v>
      </c>
      <c r="C22">
        <f>'A. 20-21 FN Schools Data'!C18</f>
        <v>50250</v>
      </c>
      <c r="D22" t="str">
        <f>'A. 20-21 FN Schools Data'!D18</f>
        <v>Brokenhead Ojibway Nation Adult Learning Centre</v>
      </c>
      <c r="E22" s="76" t="str">
        <f>INDEX(TableAFNSchools[North/South of 53rd Parallel &amp; Fly-in = North],MATCH(Table24[[#This Row],[School '#]],TableAFNSchools[School No.],0))</f>
        <v>South</v>
      </c>
      <c r="F22" s="1">
        <f>INDEX(TableAFNSchools[Total Funded FTE],MATCH(Table24[[#This Row],[School '#]],TableAFNSchools[School No.],0))</f>
        <v>25</v>
      </c>
      <c r="G22" s="737">
        <f>IF(Table24[[#This Row],[North/South of the 53rd Parallel]]="North",Table24[[#This Row],[Total Eligible FTE]]*FundingRate_Northern,0)</f>
        <v>0</v>
      </c>
      <c r="I22" s="139">
        <f>IF(Table24[[#This Row],[North/South of the 53rd Parallel]]="North",(Table24[[#This Row],[Total Eligible FTE]]*INDEX($G$29:$G$50,MATCH(Table24[[#This Row],[Band '#]],$B$29:$B$50,0))),0)</f>
        <v>0</v>
      </c>
      <c r="J22" s="706">
        <f>I22-Table24[[#This Row],[TOTAL]]</f>
        <v>0</v>
      </c>
      <c r="L22" s="704">
        <f t="shared" si="0"/>
        <v>0</v>
      </c>
    </row>
    <row r="23" spans="1:12">
      <c r="A23" t="s">
        <v>72</v>
      </c>
      <c r="E23" s="76"/>
      <c r="F23" s="1197">
        <f>SUBTOTAL(109,Table24[Total Eligible FTE])</f>
        <v>2026</v>
      </c>
      <c r="G23" s="737">
        <f>SUBTOTAL(109,Table24[TOTAL])</f>
        <v>243210</v>
      </c>
      <c r="I23" s="1489">
        <f>SUM(I11:I22)</f>
        <v>322434</v>
      </c>
      <c r="J23" s="1458">
        <f>SUM(J11:J22)</f>
        <v>79224</v>
      </c>
      <c r="L23" s="1480">
        <f>SUM(L11:L22)</f>
        <v>322434</v>
      </c>
    </row>
    <row r="28" spans="1:12" ht="45">
      <c r="A28" s="677" t="s">
        <v>619</v>
      </c>
      <c r="B28" s="677" t="s">
        <v>620</v>
      </c>
      <c r="C28" s="677" t="s">
        <v>621</v>
      </c>
      <c r="D28" s="677" t="s">
        <v>622</v>
      </c>
      <c r="E28" s="678" t="s">
        <v>623</v>
      </c>
      <c r="F28" s="678" t="s">
        <v>624</v>
      </c>
      <c r="G28" s="679" t="s">
        <v>625</v>
      </c>
      <c r="H28" s="666"/>
      <c r="I28" s="666"/>
      <c r="J28" s="666"/>
      <c r="K28" s="666"/>
      <c r="L28" s="666"/>
    </row>
    <row r="29" spans="1:12">
      <c r="A29" s="1490" t="s">
        <v>626</v>
      </c>
      <c r="B29" s="680">
        <v>301</v>
      </c>
      <c r="C29" s="1270" t="s">
        <v>627</v>
      </c>
      <c r="D29" s="1271">
        <v>1.35</v>
      </c>
      <c r="E29" s="1272">
        <v>0.75000000000000011</v>
      </c>
      <c r="F29" s="1273">
        <v>1559</v>
      </c>
      <c r="G29" s="681">
        <v>1516</v>
      </c>
      <c r="H29" s="667"/>
      <c r="I29" s="665"/>
      <c r="J29" s="665"/>
      <c r="K29" s="665"/>
      <c r="L29" s="668"/>
    </row>
    <row r="30" spans="1:12">
      <c r="A30" s="646" t="s">
        <v>626</v>
      </c>
      <c r="B30" s="682">
        <v>296</v>
      </c>
      <c r="C30" s="647" t="s">
        <v>628</v>
      </c>
      <c r="D30" s="648">
        <v>1.35</v>
      </c>
      <c r="E30" s="649">
        <v>0.75000000000000011</v>
      </c>
      <c r="F30" s="650">
        <v>1559</v>
      </c>
      <c r="G30" s="681">
        <v>1516</v>
      </c>
      <c r="H30" s="667"/>
      <c r="I30" s="665"/>
      <c r="J30" s="665"/>
      <c r="K30" s="665"/>
      <c r="L30" s="668"/>
    </row>
    <row r="31" spans="1:12">
      <c r="A31" s="646" t="s">
        <v>626</v>
      </c>
      <c r="B31" s="680">
        <v>302</v>
      </c>
      <c r="C31" s="647" t="s">
        <v>629</v>
      </c>
      <c r="D31" s="648">
        <v>1.35</v>
      </c>
      <c r="E31" s="649">
        <v>0.75000000000000011</v>
      </c>
      <c r="F31" s="650">
        <v>1559</v>
      </c>
      <c r="G31" s="683">
        <v>1516</v>
      </c>
      <c r="H31" s="667"/>
      <c r="I31" s="665"/>
      <c r="J31" s="665"/>
      <c r="K31" s="665"/>
      <c r="L31" s="668"/>
    </row>
    <row r="32" spans="1:12">
      <c r="A32" s="646" t="s">
        <v>626</v>
      </c>
      <c r="B32" s="682">
        <v>300</v>
      </c>
      <c r="C32" s="647" t="s">
        <v>630</v>
      </c>
      <c r="D32" s="648">
        <v>1.35</v>
      </c>
      <c r="E32" s="649">
        <v>0.75000000000000011</v>
      </c>
      <c r="F32" s="650">
        <v>1559</v>
      </c>
      <c r="G32" s="681">
        <v>1516</v>
      </c>
      <c r="H32" s="667"/>
      <c r="I32" s="665"/>
      <c r="J32" s="665"/>
      <c r="K32" s="665"/>
      <c r="L32" s="668"/>
    </row>
    <row r="33" spans="1:12">
      <c r="A33" s="646" t="s">
        <v>626</v>
      </c>
      <c r="B33" s="680">
        <v>299</v>
      </c>
      <c r="C33" s="647" t="s">
        <v>631</v>
      </c>
      <c r="D33" s="648">
        <v>1.35</v>
      </c>
      <c r="E33" s="649">
        <v>0.75000000000000011</v>
      </c>
      <c r="F33" s="650">
        <v>1559</v>
      </c>
      <c r="G33" s="683">
        <v>1516</v>
      </c>
      <c r="H33" s="667"/>
      <c r="I33" s="665"/>
      <c r="J33" s="665"/>
      <c r="K33" s="665"/>
      <c r="L33" s="668"/>
    </row>
    <row r="34" spans="1:12">
      <c r="A34" s="651" t="s">
        <v>626</v>
      </c>
      <c r="B34" s="682">
        <v>297</v>
      </c>
      <c r="C34" s="652" t="s">
        <v>632</v>
      </c>
      <c r="D34" s="648">
        <v>1.18</v>
      </c>
      <c r="E34" s="653">
        <v>0.57999999999999996</v>
      </c>
      <c r="F34" s="645">
        <v>1408</v>
      </c>
      <c r="G34" s="681">
        <v>1516</v>
      </c>
      <c r="H34" s="667"/>
      <c r="I34" s="665"/>
      <c r="J34" s="665"/>
      <c r="K34" s="665"/>
      <c r="L34" s="668"/>
    </row>
    <row r="35" spans="1:12">
      <c r="A35" s="651" t="s">
        <v>626</v>
      </c>
      <c r="B35" s="680">
        <v>298</v>
      </c>
      <c r="C35" s="652" t="s">
        <v>633</v>
      </c>
      <c r="D35" s="648">
        <v>1.18</v>
      </c>
      <c r="E35" s="653">
        <v>0.57999999999999996</v>
      </c>
      <c r="F35" s="645">
        <v>1408</v>
      </c>
      <c r="G35" s="681">
        <v>1516</v>
      </c>
      <c r="H35" s="667"/>
      <c r="I35" s="665"/>
      <c r="J35" s="665"/>
      <c r="K35" s="665"/>
      <c r="L35" s="668"/>
    </row>
    <row r="36" spans="1:12">
      <c r="A36" s="651" t="s">
        <v>626</v>
      </c>
      <c r="B36" s="682">
        <v>317</v>
      </c>
      <c r="C36" s="654" t="s">
        <v>634</v>
      </c>
      <c r="D36" s="648">
        <v>1.04</v>
      </c>
      <c r="E36" s="653">
        <v>0.44000000000000006</v>
      </c>
      <c r="F36" s="645">
        <v>1283</v>
      </c>
      <c r="G36" s="681">
        <v>1265</v>
      </c>
      <c r="H36" s="667"/>
      <c r="I36" s="665"/>
      <c r="J36" s="665"/>
      <c r="K36" s="665"/>
      <c r="L36" s="668"/>
    </row>
    <row r="37" spans="1:12">
      <c r="A37" s="651" t="s">
        <v>626</v>
      </c>
      <c r="B37" s="680">
        <v>303</v>
      </c>
      <c r="C37" s="654" t="s">
        <v>635</v>
      </c>
      <c r="D37" s="648">
        <v>1.04</v>
      </c>
      <c r="E37" s="653">
        <v>0.44000000000000006</v>
      </c>
      <c r="F37" s="645">
        <v>1283</v>
      </c>
      <c r="G37" s="681">
        <v>1265</v>
      </c>
      <c r="H37" s="667"/>
      <c r="I37" s="665"/>
      <c r="J37" s="665"/>
      <c r="K37" s="665"/>
      <c r="L37" s="668"/>
    </row>
    <row r="38" spans="1:12">
      <c r="A38" s="646" t="s">
        <v>626</v>
      </c>
      <c r="B38" s="682">
        <v>307</v>
      </c>
      <c r="C38" s="655" t="s">
        <v>636</v>
      </c>
      <c r="D38" s="648">
        <v>1.04</v>
      </c>
      <c r="E38" s="649">
        <v>0.44000000000000006</v>
      </c>
      <c r="F38" s="650">
        <v>1283</v>
      </c>
      <c r="G38" s="683">
        <v>1265</v>
      </c>
      <c r="H38" s="667"/>
      <c r="I38" s="665"/>
      <c r="J38" s="665"/>
      <c r="K38" s="665"/>
      <c r="L38" s="668"/>
    </row>
    <row r="39" spans="1:12">
      <c r="A39" s="651" t="s">
        <v>626</v>
      </c>
      <c r="B39" s="680">
        <v>270</v>
      </c>
      <c r="C39" s="654" t="s">
        <v>637</v>
      </c>
      <c r="D39" s="648">
        <v>1</v>
      </c>
      <c r="E39" s="653">
        <v>0.4</v>
      </c>
      <c r="F39" s="645">
        <v>1247</v>
      </c>
      <c r="G39" s="681">
        <v>1265</v>
      </c>
      <c r="H39" s="667"/>
      <c r="I39" s="665"/>
      <c r="J39" s="665"/>
      <c r="K39" s="665"/>
      <c r="L39" s="668"/>
    </row>
    <row r="40" spans="1:12">
      <c r="A40" s="646" t="s">
        <v>626</v>
      </c>
      <c r="B40" s="682">
        <v>327</v>
      </c>
      <c r="C40" s="655" t="s">
        <v>638</v>
      </c>
      <c r="D40" s="648">
        <v>1</v>
      </c>
      <c r="E40" s="649">
        <v>0.4</v>
      </c>
      <c r="F40" s="650">
        <v>1247</v>
      </c>
      <c r="G40" s="683">
        <v>1265</v>
      </c>
      <c r="H40" s="667"/>
      <c r="I40" s="665"/>
      <c r="J40" s="665"/>
      <c r="K40" s="665"/>
      <c r="L40" s="668"/>
    </row>
    <row r="41" spans="1:12">
      <c r="A41" s="651" t="s">
        <v>626</v>
      </c>
      <c r="B41" s="680">
        <v>277</v>
      </c>
      <c r="C41" s="654" t="s">
        <v>639</v>
      </c>
      <c r="D41" s="648">
        <v>1</v>
      </c>
      <c r="E41" s="653">
        <v>0.4</v>
      </c>
      <c r="F41" s="645">
        <v>1247</v>
      </c>
      <c r="G41" s="681">
        <v>1265</v>
      </c>
      <c r="H41" s="667"/>
      <c r="I41" s="665"/>
      <c r="J41" s="665"/>
      <c r="K41" s="665"/>
      <c r="L41" s="668"/>
    </row>
    <row r="42" spans="1:12">
      <c r="A42" s="651" t="s">
        <v>626</v>
      </c>
      <c r="B42" s="682">
        <v>311</v>
      </c>
      <c r="C42" s="866" t="s">
        <v>640</v>
      </c>
      <c r="D42" s="648">
        <v>0.74</v>
      </c>
      <c r="E42" s="653">
        <v>0.14000000000000001</v>
      </c>
      <c r="F42" s="645">
        <v>1016</v>
      </c>
      <c r="G42" s="681">
        <v>954</v>
      </c>
      <c r="H42" s="667"/>
      <c r="I42" s="665"/>
      <c r="J42" s="665"/>
      <c r="K42" s="665"/>
      <c r="L42" s="668"/>
    </row>
    <row r="43" spans="1:12">
      <c r="A43" s="663" t="s">
        <v>626</v>
      </c>
      <c r="B43" s="662">
        <v>304</v>
      </c>
      <c r="C43" s="661" t="s">
        <v>641</v>
      </c>
      <c r="D43" s="656">
        <v>0.6</v>
      </c>
      <c r="E43" s="660">
        <v>0</v>
      </c>
      <c r="F43" s="659">
        <v>891</v>
      </c>
      <c r="G43" s="671">
        <v>954</v>
      </c>
      <c r="H43" s="667"/>
      <c r="I43" s="665"/>
      <c r="J43" s="665"/>
      <c r="K43" s="665"/>
      <c r="L43" s="668"/>
    </row>
    <row r="44" spans="1:12">
      <c r="A44" s="867" t="s">
        <v>642</v>
      </c>
      <c r="B44" s="680">
        <v>267</v>
      </c>
      <c r="C44" s="684" t="s">
        <v>392</v>
      </c>
      <c r="D44" s="648">
        <v>0.63</v>
      </c>
      <c r="E44" s="645">
        <v>0.51</v>
      </c>
      <c r="F44" s="650">
        <v>1012</v>
      </c>
      <c r="G44" s="683">
        <v>846</v>
      </c>
      <c r="H44" s="667"/>
      <c r="I44" s="665"/>
      <c r="J44" s="665"/>
      <c r="K44" s="665"/>
      <c r="L44" s="668"/>
    </row>
    <row r="45" spans="1:12">
      <c r="A45" s="868" t="s">
        <v>642</v>
      </c>
      <c r="B45" s="682">
        <v>305</v>
      </c>
      <c r="C45" s="869" t="s">
        <v>404</v>
      </c>
      <c r="D45" s="648">
        <v>0.3</v>
      </c>
      <c r="E45" s="645">
        <v>0.18</v>
      </c>
      <c r="F45" s="645">
        <v>791</v>
      </c>
      <c r="G45" s="683">
        <v>846</v>
      </c>
      <c r="H45" s="667"/>
      <c r="I45" s="665"/>
      <c r="J45" s="665"/>
      <c r="K45" s="665"/>
      <c r="L45" s="668"/>
    </row>
    <row r="46" spans="1:12">
      <c r="A46" s="868" t="s">
        <v>642</v>
      </c>
      <c r="B46" s="680">
        <v>313</v>
      </c>
      <c r="C46" s="869" t="s">
        <v>643</v>
      </c>
      <c r="D46" s="648">
        <v>0.3</v>
      </c>
      <c r="E46" s="645">
        <v>0.18</v>
      </c>
      <c r="F46" s="645">
        <v>791</v>
      </c>
      <c r="G46" s="683">
        <v>846</v>
      </c>
      <c r="H46" s="667"/>
      <c r="I46" s="665"/>
      <c r="J46" s="665"/>
      <c r="K46" s="665"/>
      <c r="L46" s="668"/>
    </row>
    <row r="47" spans="1:12">
      <c r="A47" s="868" t="s">
        <v>642</v>
      </c>
      <c r="B47" s="682">
        <v>306</v>
      </c>
      <c r="C47" s="869" t="s">
        <v>644</v>
      </c>
      <c r="D47" s="648">
        <v>0.3</v>
      </c>
      <c r="E47" s="645">
        <v>0.18</v>
      </c>
      <c r="F47" s="645">
        <v>791</v>
      </c>
      <c r="G47" s="683">
        <v>846</v>
      </c>
      <c r="H47" s="667"/>
      <c r="I47" s="665"/>
      <c r="J47" s="665"/>
      <c r="K47" s="665"/>
      <c r="L47" s="668"/>
    </row>
    <row r="48" spans="1:12">
      <c r="A48" s="868" t="s">
        <v>642</v>
      </c>
      <c r="B48" s="680">
        <v>309</v>
      </c>
      <c r="C48" s="870" t="s">
        <v>645</v>
      </c>
      <c r="D48" s="648">
        <v>0.22</v>
      </c>
      <c r="E48" s="645">
        <v>0.1</v>
      </c>
      <c r="F48" s="645">
        <v>737</v>
      </c>
      <c r="G48" s="681">
        <v>715</v>
      </c>
      <c r="H48" s="667"/>
      <c r="I48" s="665"/>
      <c r="J48" s="665"/>
      <c r="K48" s="665"/>
      <c r="L48" s="668"/>
    </row>
    <row r="49" spans="1:12">
      <c r="A49" s="867" t="s">
        <v>642</v>
      </c>
      <c r="B49" s="682">
        <v>276</v>
      </c>
      <c r="C49" s="871" t="s">
        <v>646</v>
      </c>
      <c r="D49" s="648">
        <v>0.22</v>
      </c>
      <c r="E49" s="650">
        <v>0.1</v>
      </c>
      <c r="F49" s="650">
        <v>737</v>
      </c>
      <c r="G49" s="681">
        <v>715</v>
      </c>
      <c r="H49" s="667"/>
      <c r="I49" s="665"/>
      <c r="J49" s="665"/>
      <c r="K49" s="665"/>
      <c r="L49" s="668"/>
    </row>
    <row r="50" spans="1:12">
      <c r="A50" s="872" t="s">
        <v>642</v>
      </c>
      <c r="B50" s="662">
        <v>315</v>
      </c>
      <c r="C50" s="873" t="s">
        <v>647</v>
      </c>
      <c r="D50" s="656">
        <v>0.12</v>
      </c>
      <c r="E50" s="659">
        <v>0</v>
      </c>
      <c r="F50" s="659">
        <v>670</v>
      </c>
      <c r="G50" s="681">
        <v>715</v>
      </c>
      <c r="H50" s="667"/>
      <c r="I50" s="665"/>
      <c r="J50" s="665"/>
      <c r="K50" s="665"/>
      <c r="L50" s="668"/>
    </row>
    <row r="51" spans="1:12">
      <c r="A51" s="657"/>
      <c r="B51" s="658"/>
      <c r="C51" s="658"/>
      <c r="D51" s="672"/>
      <c r="E51" s="673" t="s">
        <v>648</v>
      </c>
      <c r="F51" s="674">
        <f>ROUND(AVERAGE(F44:F50),0)</f>
        <v>790</v>
      </c>
      <c r="G51" s="674"/>
      <c r="H51" s="664"/>
      <c r="I51" s="665"/>
      <c r="J51" s="665"/>
      <c r="K51" s="665"/>
      <c r="L51" s="665"/>
    </row>
    <row r="52" spans="1:12" ht="15">
      <c r="D52" s="675"/>
      <c r="E52" s="676"/>
      <c r="F52" s="676"/>
      <c r="G52" s="675"/>
      <c r="H52" s="669"/>
      <c r="I52" s="669"/>
      <c r="J52" s="669"/>
      <c r="K52" s="670"/>
      <c r="L52" s="164"/>
    </row>
    <row r="53" spans="1:12">
      <c r="H53" s="164"/>
      <c r="I53" s="164"/>
      <c r="J53" s="164"/>
      <c r="K53" s="164"/>
      <c r="L53" s="164"/>
    </row>
    <row r="54" spans="1:12">
      <c r="H54" s="164"/>
      <c r="I54" s="164"/>
      <c r="J54" s="164"/>
      <c r="K54" s="164"/>
      <c r="L54" s="164"/>
    </row>
  </sheetData>
  <mergeCells count="2">
    <mergeCell ref="A4:F4"/>
    <mergeCell ref="A5:F5"/>
  </mergeCells>
  <hyperlinks>
    <hyperlink ref="A7" r:id="rId1" display="Source: Manitoba Education, Funding of Schools 2019-20 Guide, p18" xr:uid="{00000000-0004-0000-2000-000000000000}"/>
  </hyperlinks>
  <pageMargins left="0.7" right="0.7" top="0.75" bottom="0.75" header="0.3" footer="0.3"/>
  <pageSetup orientation="landscape" r:id="rId2"/>
  <headerFooter>
    <oddHeader>&amp;LMFNERC First Nations School System 2017-18&amp;RE&amp;&amp;OE</oddHeader>
  </headerFooter>
  <legacyDrawing r:id="rId3"/>
  <tableParts count="1">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7"/>
  <dimension ref="A2:M28"/>
  <sheetViews>
    <sheetView topLeftCell="A2" workbookViewId="0">
      <selection activeCell="J12" sqref="J12"/>
    </sheetView>
  </sheetViews>
  <sheetFormatPr baseColWidth="10" defaultColWidth="9.19921875" defaultRowHeight="14"/>
  <cols>
    <col min="2" max="2" width="18.19921875" customWidth="1"/>
    <col min="3" max="3" width="9.19921875" customWidth="1"/>
    <col min="4" max="4" width="29.796875" customWidth="1"/>
    <col min="5" max="5" width="12.19921875" customWidth="1"/>
    <col min="6" max="7" width="13.19921875" customWidth="1"/>
    <col min="8" max="8" width="14.19921875" customWidth="1"/>
    <col min="9" max="9" width="16.59765625" customWidth="1"/>
    <col min="11" max="11" width="19.19921875" customWidth="1"/>
    <col min="12" max="12" width="16" customWidth="1"/>
    <col min="13" max="13" width="21.19921875" customWidth="1"/>
    <col min="14" max="14" width="13.19921875" customWidth="1"/>
  </cols>
  <sheetData>
    <row r="2" spans="1:13">
      <c r="A2" t="s">
        <v>465</v>
      </c>
    </row>
    <row r="3" spans="1:13" ht="19">
      <c r="A3" s="757" t="s">
        <v>649</v>
      </c>
      <c r="B3" s="758"/>
      <c r="C3" s="758"/>
      <c r="D3" s="758"/>
      <c r="E3" s="758"/>
      <c r="F3" s="758"/>
      <c r="G3" s="758"/>
      <c r="H3" s="758"/>
      <c r="I3" s="776"/>
      <c r="K3" s="33" t="s">
        <v>325</v>
      </c>
    </row>
    <row r="4" spans="1:13" ht="28.5" customHeight="1">
      <c r="A4" s="1653" t="s">
        <v>650</v>
      </c>
      <c r="B4" s="1653"/>
      <c r="C4" s="1653"/>
      <c r="D4" s="1653"/>
      <c r="E4" s="1653"/>
      <c r="F4" s="1653"/>
      <c r="G4" s="1653"/>
      <c r="H4" s="1653"/>
      <c r="I4" s="761"/>
    </row>
    <row r="5" spans="1:13" ht="44.25" customHeight="1">
      <c r="A5" s="1696" t="s">
        <v>651</v>
      </c>
      <c r="B5" s="1696"/>
      <c r="C5" s="1696"/>
      <c r="D5" s="1696"/>
      <c r="E5" s="1696"/>
      <c r="F5" s="1696"/>
      <c r="G5" s="1696"/>
      <c r="H5" s="1696"/>
      <c r="I5" s="762"/>
    </row>
    <row r="6" spans="1:13">
      <c r="A6" s="1274" t="s">
        <v>624</v>
      </c>
      <c r="B6" s="774">
        <v>80</v>
      </c>
      <c r="C6" s="779"/>
      <c r="D6" s="758"/>
      <c r="E6" s="758"/>
      <c r="F6" s="758"/>
      <c r="G6" s="758"/>
      <c r="H6" s="775"/>
    </row>
    <row r="7" spans="1:13">
      <c r="A7" s="1274" t="s">
        <v>652</v>
      </c>
      <c r="B7" s="1223">
        <f>126500/17932.5</f>
        <v>7.0542311445699148</v>
      </c>
      <c r="K7" s="1195" t="s">
        <v>328</v>
      </c>
      <c r="L7" s="1196">
        <v>191</v>
      </c>
    </row>
    <row r="8" spans="1:13" ht="15">
      <c r="A8" s="585" t="s">
        <v>653</v>
      </c>
    </row>
    <row r="10" spans="1:13" ht="45">
      <c r="A10" s="114" t="s">
        <v>285</v>
      </c>
      <c r="B10" s="114" t="s">
        <v>286</v>
      </c>
      <c r="C10" s="114" t="s">
        <v>330</v>
      </c>
      <c r="D10" s="114" t="s">
        <v>331</v>
      </c>
      <c r="E10" s="114" t="s">
        <v>566</v>
      </c>
      <c r="F10" s="114" t="s">
        <v>654</v>
      </c>
      <c r="G10" s="114" t="s">
        <v>655</v>
      </c>
      <c r="H10" s="114" t="s">
        <v>656</v>
      </c>
      <c r="I10" s="739" t="s">
        <v>322</v>
      </c>
      <c r="J10" s="1556" t="s">
        <v>458</v>
      </c>
      <c r="K10" s="1456" t="s">
        <v>366</v>
      </c>
      <c r="M10" s="1479" t="s">
        <v>657</v>
      </c>
    </row>
    <row r="11" spans="1:13">
      <c r="A11">
        <f>'A. 20-21 FN Schools Data'!A7</f>
        <v>272</v>
      </c>
      <c r="B11" t="str">
        <f>'A. 20-21 FN Schools Data'!B7</f>
        <v>Pinaymootang</v>
      </c>
      <c r="C11">
        <f>'A. 20-21 FN Schools Data'!C7</f>
        <v>1140</v>
      </c>
      <c r="D11" t="str">
        <f>'A. 20-21 FN Schools Data'!D7</f>
        <v>Pinaymootang School</v>
      </c>
      <c r="E11" s="1">
        <f>INDEX(TableAFNSchools[Total Funded FTE],MATCH(Table25[[#This Row],[School '#]],TableAFNSchools[School No.],0))</f>
        <v>435</v>
      </c>
      <c r="F11" s="74">
        <f>Table25[[#This Row],[Total Eligible FTE]]*FundingRate_LitNumperFTE</f>
        <v>34800</v>
      </c>
      <c r="G11" s="74"/>
      <c r="H11" s="165">
        <f>INDEX(Table135[2017-18 Travel Rate],MATCH(Table25[[#This Row],[Band '#]],Table135[Recipient/Band No.],0))</f>
        <v>413</v>
      </c>
      <c r="I11" s="740">
        <f>ROUND(SUM(Table25[[#This Row],[Literacy and Numeracy Per FTE]:[RRTL Travel Allocation by School]]),0)</f>
        <v>35213</v>
      </c>
      <c r="J11" s="19">
        <f>Table25[[#This Row],[TOTAL]]/Table25[[#This Row],[Total Eligible FTE]]</f>
        <v>80.94942528735632</v>
      </c>
      <c r="K11" s="706">
        <f>ROUND($L$7*Table25[[#This Row],[Total Eligible FTE]],0)</f>
        <v>83085</v>
      </c>
      <c r="M11" s="704">
        <f>Table25[[#This Row],[TOTAL]]+K11</f>
        <v>118298</v>
      </c>
    </row>
    <row r="12" spans="1:13">
      <c r="A12">
        <f>'A. 20-21 FN Schools Data'!A8</f>
        <v>275</v>
      </c>
      <c r="B12" t="str">
        <f>'A. 20-21 FN Schools Data'!B8</f>
        <v>Lake St. Martin</v>
      </c>
      <c r="C12">
        <f>'A. 20-21 FN Schools Data'!C8</f>
        <v>1144</v>
      </c>
      <c r="D12" t="str">
        <f>'A. 20-21 FN Schools Data'!D8</f>
        <v>Lake St. Martin School</v>
      </c>
      <c r="E12" s="80">
        <f>INDEX(TableAFNSchools[Total Funded FTE],MATCH(Table25[[#This Row],[School '#]],TableAFNSchools[School No.],0))</f>
        <v>398</v>
      </c>
      <c r="F12" s="74">
        <f>Table25[[#This Row],[Total Eligible FTE]]*FundingRate_LitNumperFTE</f>
        <v>31840</v>
      </c>
      <c r="G12" s="74"/>
      <c r="H12" s="165">
        <f>INDEX(Table135[2017-18 Travel Rate],MATCH(Table25[[#This Row],[Band '#]],Table135[Recipient/Band No.],0))</f>
        <v>464</v>
      </c>
      <c r="I12" s="740">
        <f>ROUND(SUM(Table25[[#This Row],[Literacy and Numeracy Per FTE]:[RRTL Travel Allocation by School]]),0)</f>
        <v>32304</v>
      </c>
      <c r="J12" s="19">
        <f>Table25[[#This Row],[TOTAL]]/Table25[[#This Row],[Total Eligible FTE]]</f>
        <v>81.165829145728637</v>
      </c>
      <c r="K12" s="706">
        <f>ROUND($L$7*Table25[[#This Row],[Total Eligible FTE]],0)</f>
        <v>76018</v>
      </c>
      <c r="M12" s="704">
        <f>Table25[[#This Row],[TOTAL]]+K12</f>
        <v>108322</v>
      </c>
    </row>
    <row r="13" spans="1:13">
      <c r="A13">
        <f>'A. 20-21 FN Schools Data'!A9</f>
        <v>267</v>
      </c>
      <c r="B13" t="str">
        <f>'A. 20-21 FN Schools Data'!B9</f>
        <v>Bloodvein</v>
      </c>
      <c r="C13">
        <f>'A. 20-21 FN Schools Data'!C9</f>
        <v>1148</v>
      </c>
      <c r="D13" t="str">
        <f>'A. 20-21 FN Schools Data'!D9</f>
        <v>Miskooseepi School</v>
      </c>
      <c r="E13" s="1">
        <f>INDEX(TableAFNSchools[Total Funded FTE],MATCH(Table25[[#This Row],[School '#]],TableAFNSchools[School No.],0))</f>
        <v>194</v>
      </c>
      <c r="F13" s="74">
        <f>Table25[[#This Row],[Total Eligible FTE]]*FundingRate_LitNumperFTE</f>
        <v>15520</v>
      </c>
      <c r="G13" s="74"/>
      <c r="H13" s="165">
        <f>INDEX(Table135[2017-18 Travel Rate],MATCH(Table25[[#This Row],[Band '#]],Table135[Recipient/Band No.],0))</f>
        <v>723</v>
      </c>
      <c r="I13" s="740">
        <f>ROUND(SUM(Table25[[#This Row],[Literacy and Numeracy Per FTE]:[RRTL Travel Allocation by School]]),0)</f>
        <v>16243</v>
      </c>
      <c r="J13" s="19">
        <f>Table25[[#This Row],[TOTAL]]/Table25[[#This Row],[Total Eligible FTE]]</f>
        <v>83.726804123711347</v>
      </c>
      <c r="K13" s="706">
        <f>ROUND($L$7*Table25[[#This Row],[Total Eligible FTE]],0)</f>
        <v>37054</v>
      </c>
      <c r="M13" s="704">
        <f>Table25[[#This Row],[TOTAL]]+K13</f>
        <v>53297</v>
      </c>
    </row>
    <row r="14" spans="1:13">
      <c r="A14">
        <f>'A. 20-21 FN Schools Data'!A10</f>
        <v>304</v>
      </c>
      <c r="B14" t="str">
        <f>'A. 20-21 FN Schools Data'!B10</f>
        <v>York Factory</v>
      </c>
      <c r="C14">
        <f>'A. 20-21 FN Schools Data'!C10</f>
        <v>1166</v>
      </c>
      <c r="D14" t="str">
        <f>'A. 20-21 FN Schools Data'!D10</f>
        <v>George Saunders Memorial School</v>
      </c>
      <c r="E14" s="1">
        <f>INDEX(TableAFNSchools[Total Funded FTE],MATCH(Table25[[#This Row],[School '#]],TableAFNSchools[School No.],0))</f>
        <v>142</v>
      </c>
      <c r="F14" s="74">
        <f>Table25[[#This Row],[Total Eligible FTE]]*FundingRate_LitNumperFTE</f>
        <v>11360</v>
      </c>
      <c r="G14" s="74"/>
      <c r="H14" s="165">
        <f>INDEX(Table135[2017-18 Travel Rate],MATCH(Table25[[#This Row],[Band '#]],Table135[Recipient/Band No.],0))</f>
        <v>1514</v>
      </c>
      <c r="I14" s="740">
        <f>ROUND(SUM(Table25[[#This Row],[Literacy and Numeracy Per FTE]:[RRTL Travel Allocation by School]]),0)</f>
        <v>12874</v>
      </c>
      <c r="J14" s="19">
        <f>Table25[[#This Row],[TOTAL]]/Table25[[#This Row],[Total Eligible FTE]]</f>
        <v>90.661971830985919</v>
      </c>
      <c r="K14" s="706">
        <f>ROUND($L$7*Table25[[#This Row],[Total Eligible FTE]],0)</f>
        <v>27122</v>
      </c>
      <c r="M14" s="704">
        <f>Table25[[#This Row],[TOTAL]]+K14</f>
        <v>39996</v>
      </c>
    </row>
    <row r="15" spans="1:13">
      <c r="A15">
        <f>'A. 20-21 FN Schools Data'!A11</f>
        <v>271</v>
      </c>
      <c r="B15" t="str">
        <f>'A. 20-21 FN Schools Data'!B11</f>
        <v>Lake Manitoba</v>
      </c>
      <c r="C15">
        <f>'A. 20-21 FN Schools Data'!C11</f>
        <v>1345</v>
      </c>
      <c r="D15" t="str">
        <f>'A. 20-21 FN Schools Data'!D11</f>
        <v>Lake Manitoba School</v>
      </c>
      <c r="E15" s="1">
        <f>INDEX(TableAFNSchools[Total Funded FTE],MATCH(Table25[[#This Row],[School '#]],TableAFNSchools[School No.],0))</f>
        <v>303</v>
      </c>
      <c r="F15" s="74">
        <f>Table25[[#This Row],[Total Eligible FTE]]*FundingRate_LitNumperFTE</f>
        <v>24240</v>
      </c>
      <c r="G15" s="74"/>
      <c r="H15" s="165">
        <f>INDEX(Table135[2017-18 Travel Rate],MATCH(Table25[[#This Row],[Band '#]],Table135[Recipient/Band No.],0))</f>
        <v>368</v>
      </c>
      <c r="I15" s="740">
        <f>ROUND(SUM(Table25[[#This Row],[Literacy and Numeracy Per FTE]:[RRTL Travel Allocation by School]]),0)</f>
        <v>24608</v>
      </c>
      <c r="J15" s="19">
        <f>Table25[[#This Row],[TOTAL]]/Table25[[#This Row],[Total Eligible FTE]]</f>
        <v>81.21452145214522</v>
      </c>
      <c r="K15" s="706">
        <f>ROUND($L$7*Table25[[#This Row],[Total Eligible FTE]],0)</f>
        <v>57873</v>
      </c>
      <c r="M15" s="704">
        <f>Table25[[#This Row],[TOTAL]]+K15</f>
        <v>82481</v>
      </c>
    </row>
    <row r="16" spans="1:13">
      <c r="A16">
        <f>'A. 20-21 FN Schools Data'!A12</f>
        <v>295</v>
      </c>
      <c r="B16" t="str">
        <f>'A. 20-21 FN Schools Data'!B12</f>
        <v>Dakota Tipi</v>
      </c>
      <c r="C16">
        <f>'A. 20-21 FN Schools Data'!C12</f>
        <v>1350</v>
      </c>
      <c r="D16" t="str">
        <f>'A. 20-21 FN Schools Data'!D12</f>
        <v>Dakota Tipi School</v>
      </c>
      <c r="E16" s="1">
        <f>INDEX(TableAFNSchools[Total Funded FTE],MATCH(Table25[[#This Row],[School '#]],TableAFNSchools[School No.],0))</f>
        <v>41</v>
      </c>
      <c r="F16" s="74">
        <f>Table25[[#This Row],[Total Eligible FTE]]*FundingRate_LitNumperFTE</f>
        <v>3280</v>
      </c>
      <c r="G16" s="74"/>
      <c r="H16" s="165">
        <f>INDEX(Table135[2017-18 Travel Rate],MATCH(Table25[[#This Row],[Band '#]],Table135[Recipient/Band No.],0))</f>
        <v>318</v>
      </c>
      <c r="I16" s="740">
        <f>ROUND(SUM(Table25[[#This Row],[Literacy and Numeracy Per FTE]:[RRTL Travel Allocation by School]]),0)</f>
        <v>3598</v>
      </c>
      <c r="J16" s="19">
        <f>Table25[[#This Row],[TOTAL]]/Table25[[#This Row],[Total Eligible FTE]]</f>
        <v>87.756097560975604</v>
      </c>
      <c r="K16" s="706">
        <f>ROUND($L$7*Table25[[#This Row],[Total Eligible FTE]],0)</f>
        <v>7831</v>
      </c>
      <c r="M16" s="704">
        <f>Table25[[#This Row],[TOTAL]]+K16</f>
        <v>11429</v>
      </c>
    </row>
    <row r="17" spans="1:13">
      <c r="A17">
        <f>'A. 20-21 FN Schools Data'!A13</f>
        <v>288</v>
      </c>
      <c r="B17" t="str">
        <f>'A. 20-21 FN Schools Data'!B13</f>
        <v>Dakota Plains</v>
      </c>
      <c r="C17">
        <f>'A. 20-21 FN Schools Data'!C13</f>
        <v>1486</v>
      </c>
      <c r="D17" t="str">
        <f>'A. 20-21 FN Schools Data'!D13</f>
        <v>Mahpiya Hdega School</v>
      </c>
      <c r="E17" s="1">
        <f>INDEX(TableAFNSchools[Total Funded FTE],MATCH(Table25[[#This Row],[School '#]],TableAFNSchools[School No.],0))</f>
        <v>86</v>
      </c>
      <c r="F17" s="74">
        <f>Table25[[#This Row],[Total Eligible FTE]]*FundingRate_LitNumperFTE</f>
        <v>6880</v>
      </c>
      <c r="G17" s="74"/>
      <c r="H17" s="1275">
        <f>INDEX(Table135[2017-18 Travel Rate],MATCH(Table25[[#This Row],[Band '#]],Table135[Recipient/Band No.],0))</f>
        <v>318</v>
      </c>
      <c r="I17" s="740">
        <f>ROUND(SUM(Table25[[#This Row],[Literacy and Numeracy Per FTE]:[RRTL Travel Allocation by School]]),0)</f>
        <v>7198</v>
      </c>
      <c r="J17" s="19">
        <f>Table25[[#This Row],[TOTAL]]/Table25[[#This Row],[Total Eligible FTE]]</f>
        <v>83.697674418604649</v>
      </c>
      <c r="K17" s="706">
        <f>ROUND($L$7*Table25[[#This Row],[Total Eligible FTE]],0)</f>
        <v>16426</v>
      </c>
      <c r="M17" s="704">
        <f>Table25[[#This Row],[TOTAL]]+K17</f>
        <v>23624</v>
      </c>
    </row>
    <row r="18" spans="1:13">
      <c r="A18">
        <f>'A. 20-21 FN Schools Data'!A14</f>
        <v>261</v>
      </c>
      <c r="B18" t="str">
        <f>'A. 20-21 FN Schools Data'!B14</f>
        <v>Brokenhead</v>
      </c>
      <c r="C18">
        <f>'A. 20-21 FN Schools Data'!C14</f>
        <v>1756</v>
      </c>
      <c r="D18" t="str">
        <f>'A. 20-21 FN Schools Data'!D14</f>
        <v>Sergeant Tommy Prince School</v>
      </c>
      <c r="E18" s="1">
        <f>INDEX(TableAFNSchools[Total Funded FTE],MATCH(Table25[[#This Row],[School '#]],TableAFNSchools[School No.],0))</f>
        <v>123</v>
      </c>
      <c r="F18" s="74">
        <f>Table25[[#This Row],[Total Eligible FTE]]*FundingRate_LitNumperFTE</f>
        <v>9840</v>
      </c>
      <c r="G18" s="74"/>
      <c r="H18" s="165">
        <f>INDEX(Table135[2017-18 Travel Rate],MATCH(Table25[[#This Row],[Band '#]],Table135[Recipient/Band No.],0))</f>
        <v>238</v>
      </c>
      <c r="I18" s="740">
        <f>ROUND(SUM(Table25[[#This Row],[Literacy and Numeracy Per FTE]:[RRTL Travel Allocation by School]]),0)</f>
        <v>10078</v>
      </c>
      <c r="J18" s="19">
        <f>Table25[[#This Row],[TOTAL]]/Table25[[#This Row],[Total Eligible FTE]]</f>
        <v>81.934959349593498</v>
      </c>
      <c r="K18" s="706">
        <f>ROUND($L$7*Table25[[#This Row],[Total Eligible FTE]],0)</f>
        <v>23493</v>
      </c>
      <c r="M18" s="704">
        <f>Table25[[#This Row],[TOTAL]]+K18</f>
        <v>33571</v>
      </c>
    </row>
    <row r="19" spans="1:13">
      <c r="A19">
        <f>'A. 20-21 FN Schools Data'!A15</f>
        <v>273</v>
      </c>
      <c r="B19" t="str">
        <f>'A. 20-21 FN Schools Data'!B15</f>
        <v>Roseau River</v>
      </c>
      <c r="C19">
        <f>'A. 20-21 FN Schools Data'!C15</f>
        <v>5717</v>
      </c>
      <c r="D19" t="str">
        <f>'A. 20-21 FN Schools Data'!D15</f>
        <v>Ginew School</v>
      </c>
      <c r="E19" s="1">
        <f>INDEX(TableAFNSchools[Total Funded FTE],MATCH(Table25[[#This Row],[School '#]],TableAFNSchools[School No.],0))</f>
        <v>153</v>
      </c>
      <c r="F19" s="74">
        <f>Table25[[#This Row],[Total Eligible FTE]]*FundingRate_LitNumperFTE</f>
        <v>12240</v>
      </c>
      <c r="G19" s="74"/>
      <c r="H19" s="165">
        <f>INDEX(Table135[2017-18 Travel Rate],MATCH(Table25[[#This Row],[Band '#]],Table135[Recipient/Band No.],0))</f>
        <v>280</v>
      </c>
      <c r="I19" s="740">
        <f>ROUND(SUM(Table25[[#This Row],[Literacy and Numeracy Per FTE]:[RRTL Travel Allocation by School]]),0)</f>
        <v>12520</v>
      </c>
      <c r="J19" s="19">
        <f>Table25[[#This Row],[TOTAL]]/Table25[[#This Row],[Total Eligible FTE]]</f>
        <v>81.830065359477118</v>
      </c>
      <c r="K19" s="706">
        <f>ROUND($L$7*Table25[[#This Row],[Total Eligible FTE]],0)</f>
        <v>29223</v>
      </c>
      <c r="M19" s="704">
        <f>Table25[[#This Row],[TOTAL]]+K19</f>
        <v>41743</v>
      </c>
    </row>
    <row r="20" spans="1:13">
      <c r="A20">
        <f>'A. 20-21 FN Schools Data'!A16</f>
        <v>305</v>
      </c>
      <c r="B20" t="str">
        <f>'A. 20-21 FN Schools Data'!B16</f>
        <v>Fox Lake</v>
      </c>
      <c r="C20">
        <f>'A. 20-21 FN Schools Data'!C16</f>
        <v>6413</v>
      </c>
      <c r="D20" t="str">
        <f>'A. 20-21 FN Schools Data'!D16</f>
        <v>Fox Lake School</v>
      </c>
      <c r="E20" s="1">
        <f>INDEX(TableAFNSchools[Total Funded FTE],MATCH(Table25[[#This Row],[School '#]],TableAFNSchools[School No.],0))</f>
        <v>27</v>
      </c>
      <c r="F20" s="74">
        <f>Table25[[#This Row],[Total Eligible FTE]]*FundingRate_LitNumperFTE</f>
        <v>2160</v>
      </c>
      <c r="G20" s="74"/>
      <c r="H20" s="165">
        <f>INDEX(Table135[2017-18 Travel Rate],MATCH(Table25[[#This Row],[Band '#]],Table135[Recipient/Band No.],0))</f>
        <v>1402</v>
      </c>
      <c r="I20" s="740">
        <f>ROUND(SUM(Table25[[#This Row],[Literacy and Numeracy Per FTE]:[RRTL Travel Allocation by School]]),0)</f>
        <v>3562</v>
      </c>
      <c r="J20" s="19">
        <f>Table25[[#This Row],[TOTAL]]/Table25[[#This Row],[Total Eligible FTE]]</f>
        <v>131.92592592592592</v>
      </c>
      <c r="K20" s="706">
        <f>ROUND($L$7*Table25[[#This Row],[Total Eligible FTE]],0)</f>
        <v>5157</v>
      </c>
      <c r="M20" s="704">
        <f>Table25[[#This Row],[TOTAL]]+K20</f>
        <v>8719</v>
      </c>
    </row>
    <row r="21" spans="1:13">
      <c r="A21">
        <f>'A. 20-21 FN Schools Data'!A17</f>
        <v>286</v>
      </c>
      <c r="B21" t="str">
        <f>'A. 20-21 FN Schools Data'!B17</f>
        <v>Keeseekoowenin</v>
      </c>
      <c r="C21">
        <f>'A. 20-21 FN Schools Data'!C17</f>
        <v>8990</v>
      </c>
      <c r="D21" t="str">
        <f>'A. 20-21 FN Schools Data'!D17</f>
        <v>Keeseekoowenin School</v>
      </c>
      <c r="E21" s="1">
        <f>INDEX(TableAFNSchools[Total Funded FTE],MATCH(Table25[[#This Row],[School '#]],TableAFNSchools[School No.],0))</f>
        <v>99</v>
      </c>
      <c r="F21" s="74">
        <f>Table25[[#This Row],[Total Eligible FTE]]*FundingRate_LitNumperFTE</f>
        <v>7920</v>
      </c>
      <c r="G21" s="74"/>
      <c r="H21" s="165">
        <f>INDEX(Table135[2017-18 Travel Rate],MATCH(Table25[[#This Row],[Band '#]],Table135[Recipient/Band No.],0))</f>
        <v>466</v>
      </c>
      <c r="I21" s="740">
        <f>ROUND(SUM(Table25[[#This Row],[Literacy and Numeracy Per FTE]:[RRTL Travel Allocation by School]]),0)</f>
        <v>8386</v>
      </c>
      <c r="J21" s="19">
        <f>Table25[[#This Row],[TOTAL]]/Table25[[#This Row],[Total Eligible FTE]]</f>
        <v>84.707070707070713</v>
      </c>
      <c r="K21" s="706">
        <f>ROUND($L$7*Table25[[#This Row],[Total Eligible FTE]],0)</f>
        <v>18909</v>
      </c>
      <c r="M21" s="704">
        <f>Table25[[#This Row],[TOTAL]]+K21</f>
        <v>27295</v>
      </c>
    </row>
    <row r="22" spans="1:13">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FTE],MATCH(Table25[[#This Row],[School '#]],TableAFNSchools[School No.],0))</f>
        <v>25</v>
      </c>
      <c r="F22" s="74">
        <f>Table25[[#This Row],[Total Eligible FTE]]*FundingRate_LitNumperFTE</f>
        <v>2000</v>
      </c>
      <c r="G22" s="74"/>
      <c r="H22" s="165">
        <f>INDEX(Table135[2017-18 Travel Rate],MATCH(Table25[[#This Row],[Band '#]],Table135[Recipient/Band No.],0))</f>
        <v>238</v>
      </c>
      <c r="I22" s="740">
        <f>ROUND(SUM(Table25[[#This Row],[Literacy and Numeracy Per FTE]:[RRTL Travel Allocation by School]]),0)</f>
        <v>2238</v>
      </c>
      <c r="J22" s="19">
        <f>Table25[[#This Row],[TOTAL]]/Table25[[#This Row],[Total Eligible FTE]]</f>
        <v>89.52</v>
      </c>
      <c r="K22" s="706">
        <f>ROUND($L$7*Table25[[#This Row],[Total Eligible FTE]],0)</f>
        <v>4775</v>
      </c>
      <c r="M22" s="704">
        <f>Table25[[#This Row],[TOTAL]]+K22</f>
        <v>7013</v>
      </c>
    </row>
    <row r="23" spans="1:13">
      <c r="A23" t="s">
        <v>72</v>
      </c>
      <c r="E23" s="1197">
        <f>SUBTOTAL(109,Table25[Total Eligible FTE])</f>
        <v>2026</v>
      </c>
      <c r="F23" s="74">
        <f>SUBTOTAL(109,Table25[Literacy and Numeracy Per FTE])</f>
        <v>162080</v>
      </c>
      <c r="G23" s="1264" t="s">
        <v>658</v>
      </c>
      <c r="H23" s="1264">
        <f>SUBTOTAL(109,Table25[RRTL Travel Allocation by School])</f>
        <v>6742</v>
      </c>
      <c r="I23" s="740">
        <f>Table25[[#Totals],[Literacy and Numeracy Per FTE]]+Table25[[#Totals],[RRTL Salary Allolcation]]+Table25[[#Totals],[RRTL Travel Allocation by School]]</f>
        <v>232072</v>
      </c>
      <c r="K23" s="1458">
        <f>SUM(K11:K22)</f>
        <v>386966</v>
      </c>
      <c r="M23" s="1480">
        <f>K23+Table25[[#Totals],[TOTAL]]</f>
        <v>619038</v>
      </c>
    </row>
    <row r="24" spans="1:13">
      <c r="I24" s="19"/>
    </row>
    <row r="28" spans="1:13">
      <c r="H28" s="19"/>
    </row>
  </sheetData>
  <mergeCells count="2">
    <mergeCell ref="A4:H4"/>
    <mergeCell ref="A5:H5"/>
  </mergeCells>
  <hyperlinks>
    <hyperlink ref="A8" r:id="rId1" display="Source: Manitoba Education, Funding of Schools 2019-20 Guide, p19" xr:uid="{00000000-0004-0000-2100-000000000000}"/>
  </hyperlinks>
  <pageMargins left="0.7" right="0.7" top="0.75" bottom="0.75" header="0.3" footer="0.3"/>
  <pageSetup orientation="landscape" r:id="rId2"/>
  <headerFooter>
    <oddHeader>&amp;LMFNERC First Nations School System 2017-18&amp;RE&amp;&amp;OE</oddHeader>
  </headerFooter>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8"/>
  <dimension ref="A2:G23"/>
  <sheetViews>
    <sheetView workbookViewId="0">
      <selection activeCell="G11" sqref="G11"/>
    </sheetView>
  </sheetViews>
  <sheetFormatPr baseColWidth="10" defaultColWidth="9.19921875" defaultRowHeight="14"/>
  <cols>
    <col min="2" max="2" width="19" customWidth="1"/>
    <col min="3" max="3" width="10.59765625" customWidth="1"/>
    <col min="4" max="4" width="32.796875" customWidth="1"/>
    <col min="5" max="5" width="14.3984375" customWidth="1"/>
    <col min="6" max="6" width="13" customWidth="1"/>
    <col min="7" max="7" width="17.59765625" customWidth="1"/>
    <col min="8" max="8" width="12.19921875" customWidth="1"/>
  </cols>
  <sheetData>
    <row r="2" spans="1:7">
      <c r="A2" t="s">
        <v>465</v>
      </c>
    </row>
    <row r="3" spans="1:7" ht="19">
      <c r="A3" s="757" t="s">
        <v>659</v>
      </c>
      <c r="B3" s="758"/>
      <c r="C3" s="758"/>
      <c r="D3" s="758"/>
      <c r="E3" s="759"/>
    </row>
    <row r="4" spans="1:7" ht="15" customHeight="1">
      <c r="A4" s="1653" t="s">
        <v>660</v>
      </c>
      <c r="B4" s="1653"/>
      <c r="C4" s="1653"/>
      <c r="D4" s="1653"/>
      <c r="E4" s="1653"/>
      <c r="F4" s="771"/>
    </row>
    <row r="5" spans="1:7" ht="23.25" customHeight="1">
      <c r="A5" s="1653"/>
      <c r="B5" s="1653"/>
      <c r="C5" s="1653"/>
      <c r="D5" s="1653"/>
      <c r="E5" s="1653"/>
      <c r="F5" s="777"/>
      <c r="G5" s="35"/>
    </row>
    <row r="6" spans="1:7">
      <c r="A6" s="1697" t="s">
        <v>661</v>
      </c>
      <c r="B6" s="1697"/>
      <c r="C6" s="1697"/>
      <c r="D6" s="1697"/>
      <c r="E6" s="1697"/>
      <c r="F6" s="778"/>
      <c r="G6" s="52"/>
    </row>
    <row r="7" spans="1:7">
      <c r="A7" s="1228" t="s">
        <v>662</v>
      </c>
      <c r="B7" s="1223">
        <v>700</v>
      </c>
      <c r="C7" s="758"/>
      <c r="D7" s="758"/>
      <c r="E7" s="759"/>
      <c r="G7" s="52"/>
    </row>
    <row r="8" spans="1:7" ht="20.25" customHeight="1">
      <c r="A8" s="585" t="s">
        <v>663</v>
      </c>
    </row>
    <row r="10" spans="1:7" ht="30.75" customHeight="1">
      <c r="A10" s="114" t="s">
        <v>285</v>
      </c>
      <c r="B10" s="114" t="s">
        <v>286</v>
      </c>
      <c r="C10" s="114" t="s">
        <v>330</v>
      </c>
      <c r="D10" s="114" t="s">
        <v>331</v>
      </c>
      <c r="E10" s="114" t="s">
        <v>338</v>
      </c>
      <c r="F10" s="742" t="s">
        <v>322</v>
      </c>
    </row>
    <row r="11" spans="1:7">
      <c r="A11">
        <f>'A. 20-21 FN Schools Data'!A7</f>
        <v>272</v>
      </c>
      <c r="B11" t="str">
        <f>'A. 20-21 FN Schools Data'!B7</f>
        <v>Pinaymootang</v>
      </c>
      <c r="C11">
        <f>'A. 20-21 FN Schools Data'!C7</f>
        <v>1140</v>
      </c>
      <c r="D11" t="str">
        <f>'A. 20-21 FN Schools Data'!D7</f>
        <v>Pinaymootang School</v>
      </c>
      <c r="E11" t="str">
        <f>INDEX(TableAFNSchools[School/ Program Type],MATCH(Table26[[#This Row],[School '#]],TableAFNSchools[School No.],0))</f>
        <v>Combined</v>
      </c>
      <c r="F11" s="737">
        <f t="shared" ref="F11:F21" si="0">FundingRate_SusDev</f>
        <v>700</v>
      </c>
    </row>
    <row r="12" spans="1:7">
      <c r="A12">
        <f>'A. 20-21 FN Schools Data'!A8</f>
        <v>275</v>
      </c>
      <c r="B12" t="str">
        <f>'A. 20-21 FN Schools Data'!B8</f>
        <v>Lake St. Martin</v>
      </c>
      <c r="C12">
        <f>'A. 20-21 FN Schools Data'!C8</f>
        <v>1144</v>
      </c>
      <c r="D12" t="str">
        <f>'A. 20-21 FN Schools Data'!D8</f>
        <v>Lake St. Martin School</v>
      </c>
      <c r="E12" t="str">
        <f>INDEX(TableAFNSchools[School/ Program Type],MATCH(Table26[[#This Row],[School '#]],TableAFNSchools[School No.],0))</f>
        <v>Combined</v>
      </c>
      <c r="F12" s="737">
        <f>FundingRate_SusDev</f>
        <v>700</v>
      </c>
    </row>
    <row r="13" spans="1:7">
      <c r="A13">
        <f>'A. 20-21 FN Schools Data'!A9</f>
        <v>267</v>
      </c>
      <c r="B13" t="str">
        <f>'A. 20-21 FN Schools Data'!B9</f>
        <v>Bloodvein</v>
      </c>
      <c r="C13">
        <f>'A. 20-21 FN Schools Data'!C9</f>
        <v>1148</v>
      </c>
      <c r="D13" t="str">
        <f>'A. 20-21 FN Schools Data'!D9</f>
        <v>Miskooseepi School</v>
      </c>
      <c r="E13" t="str">
        <f>INDEX(TableAFNSchools[School/ Program Type],MATCH(Table26[[#This Row],[School '#]],TableAFNSchools[School No.],0))</f>
        <v>Combined</v>
      </c>
      <c r="F13" s="737">
        <f t="shared" si="0"/>
        <v>700</v>
      </c>
    </row>
    <row r="14" spans="1:7">
      <c r="A14">
        <f>'A. 20-21 FN Schools Data'!A10</f>
        <v>304</v>
      </c>
      <c r="B14" t="str">
        <f>'A. 20-21 FN Schools Data'!B10</f>
        <v>York Factory</v>
      </c>
      <c r="C14">
        <f>'A. 20-21 FN Schools Data'!C10</f>
        <v>1166</v>
      </c>
      <c r="D14" t="str">
        <f>'A. 20-21 FN Schools Data'!D10</f>
        <v>George Saunders Memorial School</v>
      </c>
      <c r="E14" t="str">
        <f>INDEX(TableAFNSchools[School/ Program Type],MATCH(Table26[[#This Row],[School '#]],TableAFNSchools[School No.],0))</f>
        <v>Combined</v>
      </c>
      <c r="F14" s="737">
        <f>FundingRate_SusDev</f>
        <v>700</v>
      </c>
    </row>
    <row r="15" spans="1:7">
      <c r="A15">
        <f>'A. 20-21 FN Schools Data'!A11</f>
        <v>271</v>
      </c>
      <c r="B15" t="str">
        <f>'A. 20-21 FN Schools Data'!B11</f>
        <v>Lake Manitoba</v>
      </c>
      <c r="C15">
        <f>'A. 20-21 FN Schools Data'!C11</f>
        <v>1345</v>
      </c>
      <c r="D15" t="str">
        <f>'A. 20-21 FN Schools Data'!D11</f>
        <v>Lake Manitoba School</v>
      </c>
      <c r="E15" t="str">
        <f>INDEX(TableAFNSchools[School/ Program Type],MATCH(Table26[[#This Row],[School '#]],TableAFNSchools[School No.],0))</f>
        <v>Combined</v>
      </c>
      <c r="F15" s="737">
        <f t="shared" si="0"/>
        <v>700</v>
      </c>
    </row>
    <row r="16" spans="1:7">
      <c r="A16">
        <f>'A. 20-21 FN Schools Data'!A12</f>
        <v>295</v>
      </c>
      <c r="B16" t="str">
        <f>'A. 20-21 FN Schools Data'!B12</f>
        <v>Dakota Tipi</v>
      </c>
      <c r="C16">
        <f>'A. 20-21 FN Schools Data'!C12</f>
        <v>1350</v>
      </c>
      <c r="D16" t="str">
        <f>'A. 20-21 FN Schools Data'!D12</f>
        <v>Dakota Tipi School</v>
      </c>
      <c r="E16" t="str">
        <f>INDEX(TableAFNSchools[School/ Program Type],MATCH(Table26[[#This Row],[School '#]],TableAFNSchools[School No.],0))</f>
        <v>Nursery/Kindergarten</v>
      </c>
      <c r="F16" s="737">
        <f t="shared" si="0"/>
        <v>700</v>
      </c>
    </row>
    <row r="17" spans="1:6">
      <c r="A17">
        <f>'A. 20-21 FN Schools Data'!A13</f>
        <v>288</v>
      </c>
      <c r="B17" t="str">
        <f>'A. 20-21 FN Schools Data'!B13</f>
        <v>Dakota Plains</v>
      </c>
      <c r="C17">
        <f>'A. 20-21 FN Schools Data'!C13</f>
        <v>1486</v>
      </c>
      <c r="D17" t="str">
        <f>'A. 20-21 FN Schools Data'!D13</f>
        <v>Mahpiya Hdega School</v>
      </c>
      <c r="E17" t="str">
        <f>INDEX(TableAFNSchools[School/ Program Type],MATCH(Table26[[#This Row],[School '#]],TableAFNSchools[School No.],0))</f>
        <v>Elementary</v>
      </c>
      <c r="F17" s="737">
        <f t="shared" si="0"/>
        <v>700</v>
      </c>
    </row>
    <row r="18" spans="1:6">
      <c r="A18">
        <f>'A. 20-21 FN Schools Data'!A14</f>
        <v>261</v>
      </c>
      <c r="B18" t="str">
        <f>'A. 20-21 FN Schools Data'!B14</f>
        <v>Brokenhead</v>
      </c>
      <c r="C18">
        <f>'A. 20-21 FN Schools Data'!C14</f>
        <v>1756</v>
      </c>
      <c r="D18" t="str">
        <f>'A. 20-21 FN Schools Data'!D14</f>
        <v>Sergeant Tommy Prince School</v>
      </c>
      <c r="E18" t="str">
        <f>INDEX(TableAFNSchools[School/ Program Type],MATCH(Table26[[#This Row],[School '#]],TableAFNSchools[School No.],0))</f>
        <v>Combined</v>
      </c>
      <c r="F18" s="737">
        <f t="shared" si="0"/>
        <v>700</v>
      </c>
    </row>
    <row r="19" spans="1:6">
      <c r="A19">
        <f>'A. 20-21 FN Schools Data'!A15</f>
        <v>273</v>
      </c>
      <c r="B19" t="str">
        <f>'A. 20-21 FN Schools Data'!B15</f>
        <v>Roseau River</v>
      </c>
      <c r="C19">
        <f>'A. 20-21 FN Schools Data'!C15</f>
        <v>5717</v>
      </c>
      <c r="D19" t="str">
        <f>'A. 20-21 FN Schools Data'!D15</f>
        <v>Ginew School</v>
      </c>
      <c r="E19" t="str">
        <f>INDEX(TableAFNSchools[School/ Program Type],MATCH(Table26[[#This Row],[School '#]],TableAFNSchools[School No.],0))</f>
        <v>Elementary</v>
      </c>
      <c r="F19" s="737">
        <f t="shared" si="0"/>
        <v>700</v>
      </c>
    </row>
    <row r="20" spans="1:6">
      <c r="A20">
        <f>'A. 20-21 FN Schools Data'!A16</f>
        <v>305</v>
      </c>
      <c r="B20" t="str">
        <f>'A. 20-21 FN Schools Data'!B16</f>
        <v>Fox Lake</v>
      </c>
      <c r="C20">
        <f>'A. 20-21 FN Schools Data'!C16</f>
        <v>6413</v>
      </c>
      <c r="D20" t="str">
        <f>'A. 20-21 FN Schools Data'!D16</f>
        <v>Fox Lake School</v>
      </c>
      <c r="E20" t="str">
        <f>INDEX(TableAFNSchools[School/ Program Type],MATCH(Table26[[#This Row],[School '#]],TableAFNSchools[School No.],0))</f>
        <v>Elementary</v>
      </c>
      <c r="F20" s="737">
        <f t="shared" si="0"/>
        <v>700</v>
      </c>
    </row>
    <row r="21" spans="1:6">
      <c r="A21">
        <f>'A. 20-21 FN Schools Data'!A17</f>
        <v>286</v>
      </c>
      <c r="B21" t="str">
        <f>'A. 20-21 FN Schools Data'!B17</f>
        <v>Keeseekoowenin</v>
      </c>
      <c r="C21">
        <f>'A. 20-21 FN Schools Data'!C17</f>
        <v>8990</v>
      </c>
      <c r="D21" t="str">
        <f>'A. 20-21 FN Schools Data'!D17</f>
        <v>Keeseekoowenin School</v>
      </c>
      <c r="E21" t="str">
        <f>INDEX(TableAFNSchools[School/ Program Type],MATCH(Table26[[#This Row],[School '#]],TableAFNSchools[School No.],0))</f>
        <v>Elementary</v>
      </c>
      <c r="F21" s="737">
        <f t="shared" si="0"/>
        <v>700</v>
      </c>
    </row>
    <row r="22" spans="1:6">
      <c r="A22">
        <f>'A. 20-21 FN Schools Data'!A18</f>
        <v>261</v>
      </c>
      <c r="B22" t="str">
        <f>'A. 20-21 FN Schools Data'!B18</f>
        <v>Brokenhead</v>
      </c>
      <c r="C22">
        <f>'A. 20-21 FN Schools Data'!C18</f>
        <v>50250</v>
      </c>
      <c r="D22" t="str">
        <f>'A. 20-21 FN Schools Data'!D18</f>
        <v>Brokenhead Ojibway Nation Adult Learning Centre</v>
      </c>
      <c r="E22" t="str">
        <f>INDEX(TableAFNSchools[School/ Program Type],MATCH(Table26[[#This Row],[School '#]],TableAFNSchools[School No.],0))</f>
        <v>Adult Education</v>
      </c>
      <c r="F22" s="737">
        <f>FundingRate_SusDev</f>
        <v>700</v>
      </c>
    </row>
    <row r="23" spans="1:6">
      <c r="A23" t="s">
        <v>72</v>
      </c>
      <c r="F23" s="737">
        <f>SUBTOTAL(109,Table26[TOTAL])</f>
        <v>8400</v>
      </c>
    </row>
  </sheetData>
  <mergeCells count="2">
    <mergeCell ref="A4:E5"/>
    <mergeCell ref="A6:E6"/>
  </mergeCells>
  <hyperlinks>
    <hyperlink ref="A8" r:id="rId1" display="Source: Manitoba Education, Funding of Schools 2018-19 Guide, p20" xr:uid="{00000000-0004-0000-2200-000000000000}"/>
  </hyperlinks>
  <pageMargins left="0.7" right="0.7" top="0.75" bottom="0.75" header="0.3" footer="0.3"/>
  <pageSetup orientation="portrait" r:id="rId2"/>
  <headerFooter>
    <oddHeader>&amp;LMFNERC First Nations School System 2017-18&amp;RE&amp;&amp;OE</oddHeader>
  </headerFooter>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D0E4A5"/>
  </sheetPr>
  <dimension ref="A1:U18"/>
  <sheetViews>
    <sheetView workbookViewId="0">
      <selection activeCell="M6" sqref="M6"/>
    </sheetView>
  </sheetViews>
  <sheetFormatPr baseColWidth="10" defaultColWidth="8.796875" defaultRowHeight="14"/>
  <cols>
    <col min="1" max="1" width="15.19921875" customWidth="1"/>
    <col min="2" max="4" width="24.796875" customWidth="1"/>
    <col min="5" max="5" width="20.3984375" customWidth="1"/>
    <col min="6" max="6" width="21.19921875" customWidth="1"/>
    <col min="7" max="7" width="22.19921875" customWidth="1"/>
    <col min="8" max="8" width="15.796875" customWidth="1"/>
    <col min="9" max="9" width="17.3984375" customWidth="1"/>
    <col min="10" max="10" width="15.19921875" customWidth="1"/>
    <col min="11" max="15" width="16.3984375" customWidth="1"/>
    <col min="16" max="16" width="16.59765625" customWidth="1"/>
    <col min="17" max="19" width="16.3984375" customWidth="1"/>
    <col min="20" max="20" width="22.59765625" customWidth="1"/>
    <col min="21" max="21" width="17.3984375" customWidth="1"/>
  </cols>
  <sheetData>
    <row r="1" spans="1:21" ht="19">
      <c r="A1" s="33" t="s">
        <v>275</v>
      </c>
    </row>
    <row r="2" spans="1:21" ht="15">
      <c r="A2" s="960" t="s">
        <v>664</v>
      </c>
    </row>
    <row r="3" spans="1:21" ht="15">
      <c r="A3" s="960"/>
      <c r="H3" s="1698" t="s">
        <v>665</v>
      </c>
      <c r="I3" s="1698"/>
      <c r="J3" s="1698"/>
      <c r="K3" s="1698"/>
      <c r="L3" s="1066"/>
      <c r="M3" s="76"/>
      <c r="N3" s="1139"/>
      <c r="O3" s="1139"/>
      <c r="P3" s="1139"/>
      <c r="Q3" s="1699" t="s">
        <v>666</v>
      </c>
      <c r="R3" s="1699"/>
      <c r="S3" s="1699"/>
      <c r="T3" s="1699"/>
      <c r="U3" s="1140"/>
    </row>
    <row r="4" spans="1:21">
      <c r="A4" t="s">
        <v>373</v>
      </c>
      <c r="B4" t="s">
        <v>374</v>
      </c>
      <c r="C4" t="s">
        <v>667</v>
      </c>
      <c r="D4" t="s">
        <v>621</v>
      </c>
      <c r="E4" t="s">
        <v>668</v>
      </c>
      <c r="F4" t="s">
        <v>669</v>
      </c>
      <c r="G4" t="s">
        <v>670</v>
      </c>
      <c r="H4" s="1067" t="s">
        <v>671</v>
      </c>
      <c r="I4" s="1067" t="s">
        <v>672</v>
      </c>
      <c r="J4" s="1067" t="s">
        <v>673</v>
      </c>
      <c r="K4" s="1067" t="s">
        <v>674</v>
      </c>
      <c r="L4" s="1067" t="s">
        <v>675</v>
      </c>
      <c r="M4" t="s">
        <v>458</v>
      </c>
      <c r="N4" s="1141" t="s">
        <v>667</v>
      </c>
      <c r="O4" s="1141" t="s">
        <v>621</v>
      </c>
      <c r="P4" s="1141" t="s">
        <v>676</v>
      </c>
      <c r="Q4" s="1141" t="s">
        <v>677</v>
      </c>
      <c r="R4" s="1141" t="s">
        <v>678</v>
      </c>
      <c r="S4" s="1141" t="s">
        <v>679</v>
      </c>
      <c r="T4" s="1141" t="s">
        <v>680</v>
      </c>
      <c r="U4" s="1140" t="s">
        <v>681</v>
      </c>
    </row>
    <row r="5" spans="1:21">
      <c r="A5">
        <v>272</v>
      </c>
      <c r="B5" t="s">
        <v>388</v>
      </c>
      <c r="C5">
        <v>1140</v>
      </c>
      <c r="D5" t="s">
        <v>389</v>
      </c>
      <c r="E5">
        <v>160</v>
      </c>
      <c r="F5">
        <v>2</v>
      </c>
      <c r="G5" t="s">
        <v>682</v>
      </c>
      <c r="H5" s="19">
        <f>E5/3*'Menstrual Product Data'!$D$56</f>
        <v>3839.6800000000003</v>
      </c>
      <c r="I5" s="19">
        <f>E5/3*'Menstrual Product Data'!$D$65</f>
        <v>4686</v>
      </c>
      <c r="J5" s="19">
        <f>E5/3*'Menstrual Product Data'!$D$76</f>
        <v>2515.1999999999998</v>
      </c>
      <c r="K5" s="19">
        <f>IF('Menstrual Products'!$G5="Yes",F5*600,0)</f>
        <v>0</v>
      </c>
      <c r="L5" s="1068">
        <f>ROUND(SUM(Table1050[[#This Row],[Pad Cost]:[Dispenser cost]]),0)</f>
        <v>11041</v>
      </c>
      <c r="M5" s="19">
        <f>Table1050[[#This Row],[First Nation School Total]]/Table1050[[#This Row],[Band-Op Head Count]]</f>
        <v>69.006249999999994</v>
      </c>
      <c r="N5" s="918">
        <v>272</v>
      </c>
      <c r="O5" s="19" t="s">
        <v>388</v>
      </c>
      <c r="P5" s="918">
        <f>INDEX('[22]Menstrual Products'!P$5:P$67,MATCH(N5,'[22]Menstrual Products'!N$5:N$68,0))</f>
        <v>10</v>
      </c>
      <c r="Q5" s="19">
        <f>P5/3*'Menstrual Product Data'!$D$56</f>
        <v>239.98000000000002</v>
      </c>
      <c r="R5" s="19">
        <f>P5/3*'Menstrual Product Data'!$D$65</f>
        <v>292.875</v>
      </c>
      <c r="S5" s="19">
        <f>P5/3*'Menstrual Product Data'!$D$76</f>
        <v>157.19999999999999</v>
      </c>
      <c r="T5" s="1069">
        <f>ROUND(SUM(Q5:S5),0)</f>
        <v>690</v>
      </c>
      <c r="U5" s="19"/>
    </row>
    <row r="6" spans="1:21">
      <c r="A6">
        <v>275</v>
      </c>
      <c r="B6" t="s">
        <v>390</v>
      </c>
      <c r="C6">
        <v>1144</v>
      </c>
      <c r="D6" t="s">
        <v>391</v>
      </c>
      <c r="E6">
        <v>128</v>
      </c>
      <c r="F6">
        <v>1</v>
      </c>
      <c r="G6" t="s">
        <v>682</v>
      </c>
      <c r="H6" s="19">
        <f>E6/3*'Menstrual Product Data'!$D$56</f>
        <v>3071.7439999999997</v>
      </c>
      <c r="I6" s="19">
        <f>E6/3*'Menstrual Product Data'!$D$65</f>
        <v>3748.7999999999997</v>
      </c>
      <c r="J6" s="19">
        <f>E6/3*'Menstrual Product Data'!$D$76</f>
        <v>2012.1599999999999</v>
      </c>
      <c r="K6" s="19">
        <f>IF('Menstrual Products'!$G6="Yes",F6*600,0)</f>
        <v>0</v>
      </c>
      <c r="L6" s="1068">
        <f>ROUND(SUM(Table1050[[#This Row],[Pad Cost]:[Dispenser cost]]),0)</f>
        <v>8833</v>
      </c>
      <c r="M6" s="19">
        <f>Table1050[[#This Row],[First Nation School Total]]/Table1050[[#This Row],[Band-Op Head Count]]</f>
        <v>69.0078125</v>
      </c>
      <c r="N6" s="918">
        <v>275</v>
      </c>
      <c r="O6" s="19" t="s">
        <v>390</v>
      </c>
      <c r="P6" s="918">
        <f>INDEX('[22]Menstrual Products'!P$5:P$67,MATCH(N6,'[22]Menstrual Products'!N$5:N$68,0))</f>
        <v>6</v>
      </c>
      <c r="Q6" s="19">
        <f>P6/3*'Menstrual Product Data'!$D$56</f>
        <v>143.988</v>
      </c>
      <c r="R6" s="19">
        <f>P6/3*'Menstrual Product Data'!$D$65</f>
        <v>175.72499999999999</v>
      </c>
      <c r="S6" s="19">
        <f>P6/3*'Menstrual Product Data'!$D$76</f>
        <v>94.32</v>
      </c>
      <c r="T6" s="1069">
        <f t="shared" ref="T6:T15" si="0">ROUND(SUM(Q6:S6),0)</f>
        <v>414</v>
      </c>
      <c r="U6" s="19"/>
    </row>
    <row r="7" spans="1:21">
      <c r="A7">
        <v>267</v>
      </c>
      <c r="B7" t="s">
        <v>392</v>
      </c>
      <c r="C7">
        <v>1148</v>
      </c>
      <c r="D7" t="s">
        <v>393</v>
      </c>
      <c r="E7">
        <v>75</v>
      </c>
      <c r="F7">
        <v>1</v>
      </c>
      <c r="G7" t="s">
        <v>682</v>
      </c>
      <c r="H7" s="19">
        <f>E7/3*'Menstrual Product Data'!$D$56</f>
        <v>1799.85</v>
      </c>
      <c r="I7" s="19">
        <f>E7/3*'Menstrual Product Data'!$D$65</f>
        <v>2196.5625</v>
      </c>
      <c r="J7" s="19">
        <f>E7/3*'Menstrual Product Data'!$D$76</f>
        <v>1179</v>
      </c>
      <c r="K7" s="19">
        <f>IF('Menstrual Products'!$G7="Yes",F7*600,0)</f>
        <v>0</v>
      </c>
      <c r="L7" s="1068">
        <f>ROUND(SUM(Table1050[[#This Row],[Pad Cost]:[Dispenser cost]]),0)</f>
        <v>5175</v>
      </c>
      <c r="M7" s="19">
        <f>Table1050[[#This Row],[First Nation School Total]]/Table1050[[#This Row],[Band-Op Head Count]]</f>
        <v>69</v>
      </c>
      <c r="N7" s="918">
        <v>267</v>
      </c>
      <c r="O7" s="19" t="s">
        <v>392</v>
      </c>
      <c r="P7" s="918">
        <f>INDEX('[22]Menstrual Products'!P$5:P$67,MATCH(N7,'[22]Menstrual Products'!N$5:N$68,0))</f>
        <v>29</v>
      </c>
      <c r="Q7" s="19">
        <f>P7/3*'Menstrual Product Data'!$D$56</f>
        <v>695.94200000000001</v>
      </c>
      <c r="R7" s="19">
        <f>P7/3*'Menstrual Product Data'!$D$65</f>
        <v>849.33749999999998</v>
      </c>
      <c r="S7" s="19">
        <f>P7/3*'Menstrual Product Data'!$D$76</f>
        <v>455.87999999999994</v>
      </c>
      <c r="T7" s="1069">
        <f t="shared" si="0"/>
        <v>2001</v>
      </c>
      <c r="U7" s="19"/>
    </row>
    <row r="8" spans="1:21">
      <c r="A8">
        <v>304</v>
      </c>
      <c r="B8" t="s">
        <v>394</v>
      </c>
      <c r="C8">
        <v>1166</v>
      </c>
      <c r="D8" t="s">
        <v>395</v>
      </c>
      <c r="E8">
        <v>40</v>
      </c>
      <c r="F8">
        <v>1</v>
      </c>
      <c r="G8" t="s">
        <v>682</v>
      </c>
      <c r="H8" s="19">
        <f>E8/3*'Menstrual Product Data'!$D$56</f>
        <v>959.92000000000007</v>
      </c>
      <c r="I8" s="19">
        <f>E8/3*'Menstrual Product Data'!$D$65</f>
        <v>1171.5</v>
      </c>
      <c r="J8" s="19">
        <f>E8/3*'Menstrual Product Data'!$D$76</f>
        <v>628.79999999999995</v>
      </c>
      <c r="K8" s="19">
        <f>IF('Menstrual Products'!$G8="Yes",F8*600,0)</f>
        <v>0</v>
      </c>
      <c r="L8" s="1068">
        <f>ROUND(SUM(Table1050[[#This Row],[Pad Cost]:[Dispenser cost]]),0)</f>
        <v>2760</v>
      </c>
      <c r="M8" s="19">
        <f>Table1050[[#This Row],[First Nation School Total]]/Table1050[[#This Row],[Band-Op Head Count]]</f>
        <v>69</v>
      </c>
      <c r="N8" s="918">
        <v>304</v>
      </c>
      <c r="O8" s="19" t="s">
        <v>394</v>
      </c>
      <c r="P8" s="918">
        <f>INDEX('[22]Menstrual Products'!P$5:P$67,MATCH(N8,'[22]Menstrual Products'!N$5:N$68,0))</f>
        <v>6</v>
      </c>
      <c r="Q8" s="19">
        <f>P8/3*'Menstrual Product Data'!$D$56</f>
        <v>143.988</v>
      </c>
      <c r="R8" s="19">
        <f>P8/3*'Menstrual Product Data'!$D$65</f>
        <v>175.72499999999999</v>
      </c>
      <c r="S8" s="19">
        <f>P8/3*'Menstrual Product Data'!$D$76</f>
        <v>94.32</v>
      </c>
      <c r="T8" s="1069">
        <f t="shared" si="0"/>
        <v>414</v>
      </c>
      <c r="U8" s="19"/>
    </row>
    <row r="9" spans="1:21">
      <c r="A9">
        <v>271</v>
      </c>
      <c r="B9" t="s">
        <v>396</v>
      </c>
      <c r="C9">
        <v>1345</v>
      </c>
      <c r="D9" t="s">
        <v>397</v>
      </c>
      <c r="E9">
        <v>104</v>
      </c>
      <c r="F9">
        <v>1</v>
      </c>
      <c r="G9" t="s">
        <v>682</v>
      </c>
      <c r="H9" s="19">
        <f>E9/3*'Menstrual Product Data'!$D$56</f>
        <v>2495.7919999999999</v>
      </c>
      <c r="I9" s="19">
        <f>E9/3*'Menstrual Product Data'!$D$65</f>
        <v>3045.8999999999996</v>
      </c>
      <c r="J9" s="19">
        <f>E9/3*'Menstrual Product Data'!$D$76</f>
        <v>1634.8799999999999</v>
      </c>
      <c r="K9" s="19">
        <f>IF('Menstrual Products'!$G9="Yes",F9*600,0)</f>
        <v>0</v>
      </c>
      <c r="L9" s="1068">
        <f>ROUND(SUM(Table1050[[#This Row],[Pad Cost]:[Dispenser cost]]),0)</f>
        <v>7177</v>
      </c>
      <c r="M9" s="19">
        <f>Table1050[[#This Row],[First Nation School Total]]/Table1050[[#This Row],[Band-Op Head Count]]</f>
        <v>69.009615384615387</v>
      </c>
      <c r="N9" s="918">
        <v>271</v>
      </c>
      <c r="O9" s="19" t="s">
        <v>396</v>
      </c>
      <c r="P9" s="918">
        <f>INDEX('[22]Menstrual Products'!P$5:P$67,MATCH(N9,'[22]Menstrual Products'!N$5:N$68,0))</f>
        <v>3</v>
      </c>
      <c r="Q9" s="19">
        <f>P9/3*'Menstrual Product Data'!$D$56</f>
        <v>71.994</v>
      </c>
      <c r="R9" s="19">
        <f>P9/3*'Menstrual Product Data'!$D$65</f>
        <v>87.862499999999997</v>
      </c>
      <c r="S9" s="19">
        <f>P9/3*'Menstrual Product Data'!$D$76</f>
        <v>47.16</v>
      </c>
      <c r="T9" s="1069">
        <f t="shared" si="0"/>
        <v>207</v>
      </c>
      <c r="U9" s="19"/>
    </row>
    <row r="10" spans="1:21">
      <c r="A10">
        <v>295</v>
      </c>
      <c r="B10" t="s">
        <v>320</v>
      </c>
      <c r="C10">
        <v>1350</v>
      </c>
      <c r="D10" t="s">
        <v>409</v>
      </c>
      <c r="E10">
        <v>10</v>
      </c>
      <c r="F10">
        <v>1</v>
      </c>
      <c r="G10" t="s">
        <v>682</v>
      </c>
      <c r="H10" s="19">
        <f>E10/3*'Menstrual Product Data'!$D$56</f>
        <v>239.98000000000002</v>
      </c>
      <c r="I10" s="19">
        <f>E10/3*'Menstrual Product Data'!$D$65</f>
        <v>292.875</v>
      </c>
      <c r="J10" s="19">
        <f>E10/3*'Menstrual Product Data'!$D$76</f>
        <v>157.19999999999999</v>
      </c>
      <c r="K10" s="19">
        <f>IF('Menstrual Products'!$G10="Yes",F10*600,0)</f>
        <v>0</v>
      </c>
      <c r="L10" s="1068">
        <f>ROUND(SUM(Table1050[[#This Row],[Pad Cost]:[Dispenser cost]]),0)</f>
        <v>690</v>
      </c>
      <c r="M10" s="19">
        <f>Table1050[[#This Row],[First Nation School Total]]/Table1050[[#This Row],[Band-Op Head Count]]</f>
        <v>69</v>
      </c>
      <c r="N10" s="918">
        <v>295</v>
      </c>
      <c r="O10" s="19" t="s">
        <v>320</v>
      </c>
      <c r="P10" s="918">
        <f>INDEX('[22]Menstrual Products'!P$5:P$67,MATCH(N10,'[22]Menstrual Products'!N$5:N$68,0))</f>
        <v>20</v>
      </c>
      <c r="Q10" s="19">
        <f>P10/3*'Menstrual Product Data'!$D$56</f>
        <v>479.96000000000004</v>
      </c>
      <c r="R10" s="19">
        <f>P10/3*'Menstrual Product Data'!$D$65</f>
        <v>585.75</v>
      </c>
      <c r="S10" s="19">
        <f>P10/3*'Menstrual Product Data'!$D$76</f>
        <v>314.39999999999998</v>
      </c>
      <c r="T10" s="1069">
        <f t="shared" si="0"/>
        <v>1380</v>
      </c>
      <c r="U10" s="19"/>
    </row>
    <row r="11" spans="1:21">
      <c r="A11">
        <v>288</v>
      </c>
      <c r="B11" t="s">
        <v>398</v>
      </c>
      <c r="C11">
        <v>1486</v>
      </c>
      <c r="D11" t="s">
        <v>399</v>
      </c>
      <c r="E11">
        <v>29</v>
      </c>
      <c r="F11">
        <v>1</v>
      </c>
      <c r="G11" t="s">
        <v>682</v>
      </c>
      <c r="H11" s="19">
        <f>E11/3*'Menstrual Product Data'!$D$56</f>
        <v>695.94200000000001</v>
      </c>
      <c r="I11" s="19">
        <f>E11/3*'Menstrual Product Data'!$D$65</f>
        <v>849.33749999999998</v>
      </c>
      <c r="J11" s="19">
        <f>E11/3*'Menstrual Product Data'!$D$76</f>
        <v>455.87999999999994</v>
      </c>
      <c r="K11" s="19">
        <f>IF('Menstrual Products'!$G11="Yes",F11*600,0)</f>
        <v>0</v>
      </c>
      <c r="L11" s="1068">
        <f>ROUND(SUM(Table1050[[#This Row],[Pad Cost]:[Dispenser cost]]),0)</f>
        <v>2001</v>
      </c>
      <c r="M11" s="19">
        <f>Table1050[[#This Row],[First Nation School Total]]/Table1050[[#This Row],[Band-Op Head Count]]</f>
        <v>69</v>
      </c>
      <c r="N11" s="918">
        <v>288</v>
      </c>
      <c r="O11" s="19" t="s">
        <v>398</v>
      </c>
      <c r="P11" s="918">
        <f>INDEX('[22]Menstrual Products'!P$5:P$67,MATCH(N11,'[22]Menstrual Products'!N$5:N$68,0))</f>
        <v>12</v>
      </c>
      <c r="Q11" s="19">
        <f>P11/3*'Menstrual Product Data'!$D$56</f>
        <v>287.976</v>
      </c>
      <c r="R11" s="19">
        <f>P11/3*'Menstrual Product Data'!$D$65</f>
        <v>351.45</v>
      </c>
      <c r="S11" s="19">
        <f>P11/3*'Menstrual Product Data'!$D$76</f>
        <v>188.64</v>
      </c>
      <c r="T11" s="1069">
        <f t="shared" si="0"/>
        <v>828</v>
      </c>
      <c r="U11" s="19"/>
    </row>
    <row r="12" spans="1:21">
      <c r="A12">
        <v>261</v>
      </c>
      <c r="B12" t="s">
        <v>400</v>
      </c>
      <c r="C12">
        <v>1756</v>
      </c>
      <c r="D12" t="s">
        <v>401</v>
      </c>
      <c r="E12">
        <v>33</v>
      </c>
      <c r="F12">
        <v>1</v>
      </c>
      <c r="G12" t="s">
        <v>682</v>
      </c>
      <c r="H12" s="19">
        <f>E12/3*'Menstrual Product Data'!$D$56</f>
        <v>791.93399999999997</v>
      </c>
      <c r="I12" s="19">
        <f>E12/3*'Menstrual Product Data'!$D$65</f>
        <v>966.48749999999995</v>
      </c>
      <c r="J12" s="19">
        <f>E12/3*'Menstrual Product Data'!$D$76</f>
        <v>518.76</v>
      </c>
      <c r="K12" s="19">
        <f>IF('Menstrual Products'!$G12="Yes",F12*600,0)</f>
        <v>0</v>
      </c>
      <c r="L12" s="1068">
        <f>ROUND(SUM(Table1050[[#This Row],[Pad Cost]:[Dispenser cost]]),0)</f>
        <v>2277</v>
      </c>
      <c r="M12" s="19">
        <f>Table1050[[#This Row],[First Nation School Total]]/Table1050[[#This Row],[Band-Op Head Count]]</f>
        <v>69</v>
      </c>
      <c r="N12" s="918">
        <v>273</v>
      </c>
      <c r="O12" s="19" t="s">
        <v>402</v>
      </c>
      <c r="P12" s="918">
        <f>INDEX('[22]Menstrual Products'!P$5:P$67,MATCH(N12,'[22]Menstrual Products'!N$5:N$68,0))</f>
        <v>31</v>
      </c>
      <c r="Q12" s="19">
        <f>P12/3*'Menstrual Product Data'!$D$56</f>
        <v>743.93799999999999</v>
      </c>
      <c r="R12" s="19">
        <f>P12/3*'Menstrual Product Data'!$D$65</f>
        <v>907.91250000000002</v>
      </c>
      <c r="S12" s="19">
        <f>P12/3*'Menstrual Product Data'!$D$76</f>
        <v>487.32</v>
      </c>
      <c r="T12" s="1069">
        <f t="shared" si="0"/>
        <v>2139</v>
      </c>
      <c r="U12" s="19"/>
    </row>
    <row r="13" spans="1:21">
      <c r="A13">
        <v>273</v>
      </c>
      <c r="B13" t="s">
        <v>402</v>
      </c>
      <c r="C13">
        <v>5717</v>
      </c>
      <c r="D13" t="s">
        <v>403</v>
      </c>
      <c r="E13">
        <v>49</v>
      </c>
      <c r="F13">
        <v>1</v>
      </c>
      <c r="G13" t="s">
        <v>682</v>
      </c>
      <c r="H13" s="19">
        <f>E13/3*'Menstrual Product Data'!$D$56</f>
        <v>1175.9019999999998</v>
      </c>
      <c r="I13" s="19">
        <f>E13/3*'Menstrual Product Data'!$D$65</f>
        <v>1435.0874999999999</v>
      </c>
      <c r="J13" s="19">
        <f>E13/3*'Menstrual Product Data'!$D$76</f>
        <v>770.27999999999986</v>
      </c>
      <c r="K13" s="19">
        <f>IF('Menstrual Products'!$G13="Yes",F13*600,0)</f>
        <v>0</v>
      </c>
      <c r="L13" s="1068">
        <f>ROUND(SUM(Table1050[[#This Row],[Pad Cost]:[Dispenser cost]]),0)</f>
        <v>3381</v>
      </c>
      <c r="M13" s="19">
        <f>Table1050[[#This Row],[First Nation School Total]]/Table1050[[#This Row],[Band-Op Head Count]]</f>
        <v>69</v>
      </c>
      <c r="N13" s="918">
        <v>305</v>
      </c>
      <c r="O13" s="19" t="s">
        <v>404</v>
      </c>
      <c r="P13" s="918">
        <f>INDEX('[22]Menstrual Products'!P$5:P$67,MATCH(N13,'[22]Menstrual Products'!N$5:N$68,0))</f>
        <v>10</v>
      </c>
      <c r="Q13" s="19">
        <f>P13/3*'Menstrual Product Data'!$D$56</f>
        <v>239.98000000000002</v>
      </c>
      <c r="R13" s="19">
        <f>P13/3*'Menstrual Product Data'!$D$65</f>
        <v>292.875</v>
      </c>
      <c r="S13" s="19">
        <f>P13/3*'Menstrual Product Data'!$D$76</f>
        <v>157.19999999999999</v>
      </c>
      <c r="T13" s="1069">
        <f t="shared" si="0"/>
        <v>690</v>
      </c>
      <c r="U13" s="19"/>
    </row>
    <row r="14" spans="1:21">
      <c r="A14">
        <v>305</v>
      </c>
      <c r="B14" t="s">
        <v>404</v>
      </c>
      <c r="C14">
        <v>6413</v>
      </c>
      <c r="D14" t="s">
        <v>405</v>
      </c>
      <c r="E14">
        <v>5</v>
      </c>
      <c r="F14">
        <v>1</v>
      </c>
      <c r="G14" t="s">
        <v>682</v>
      </c>
      <c r="H14" s="19">
        <f>E14/3*'Menstrual Product Data'!$D$56</f>
        <v>119.99000000000001</v>
      </c>
      <c r="I14" s="19">
        <f>E14/3*'Menstrual Product Data'!$D$65</f>
        <v>146.4375</v>
      </c>
      <c r="J14" s="19">
        <f>E14/3*'Menstrual Product Data'!$D$76</f>
        <v>78.599999999999994</v>
      </c>
      <c r="K14" s="19">
        <f>IF('Menstrual Products'!$G14="Yes",F14*600,0)</f>
        <v>0</v>
      </c>
      <c r="L14" s="1068">
        <f>ROUND(SUM(Table1050[[#This Row],[Pad Cost]:[Dispenser cost]]),0)</f>
        <v>345</v>
      </c>
      <c r="M14" s="19">
        <f>Table1050[[#This Row],[First Nation School Total]]/Table1050[[#This Row],[Band-Op Head Count]]</f>
        <v>69</v>
      </c>
      <c r="N14" s="918">
        <v>286</v>
      </c>
      <c r="O14" s="19" t="s">
        <v>406</v>
      </c>
      <c r="P14" s="918">
        <f>INDEX('[22]Menstrual Products'!P$5:P$67,MATCH(N14,'[22]Menstrual Products'!N$5:N$68,0))</f>
        <v>18</v>
      </c>
      <c r="Q14" s="19">
        <f>P14/3*'Menstrual Product Data'!$D$56</f>
        <v>431.964</v>
      </c>
      <c r="R14" s="19">
        <f>P14/3*'Menstrual Product Data'!$D$65</f>
        <v>527.17499999999995</v>
      </c>
      <c r="S14" s="19">
        <f>P14/3*'Menstrual Product Data'!$D$76</f>
        <v>282.95999999999998</v>
      </c>
      <c r="T14" s="1069">
        <f t="shared" si="0"/>
        <v>1242</v>
      </c>
      <c r="U14" s="19"/>
    </row>
    <row r="15" spans="1:21">
      <c r="A15">
        <v>286</v>
      </c>
      <c r="B15" t="s">
        <v>406</v>
      </c>
      <c r="C15">
        <v>8990</v>
      </c>
      <c r="D15" t="s">
        <v>407</v>
      </c>
      <c r="E15">
        <v>18</v>
      </c>
      <c r="F15">
        <v>1</v>
      </c>
      <c r="G15" t="s">
        <v>682</v>
      </c>
      <c r="H15" s="19">
        <f>E15/3*'Menstrual Product Data'!$D$56</f>
        <v>431.964</v>
      </c>
      <c r="I15" s="19">
        <f>E15/3*'Menstrual Product Data'!$D$65</f>
        <v>527.17499999999995</v>
      </c>
      <c r="J15" s="19">
        <f>E15/3*'Menstrual Product Data'!$D$76</f>
        <v>282.95999999999998</v>
      </c>
      <c r="K15" s="19">
        <f>IF('Menstrual Products'!$G15="Yes",F15*600,0)</f>
        <v>0</v>
      </c>
      <c r="L15" s="1068">
        <f>ROUND(SUM(Table1050[[#This Row],[Pad Cost]:[Dispenser cost]]),0)</f>
        <v>1242</v>
      </c>
      <c r="M15" s="19">
        <f>Table1050[[#This Row],[First Nation School Total]]/Table1050[[#This Row],[Band-Op Head Count]]</f>
        <v>69</v>
      </c>
      <c r="N15" s="918">
        <v>261</v>
      </c>
      <c r="O15" s="19" t="s">
        <v>400</v>
      </c>
      <c r="P15" s="918">
        <f>INDEX('[22]Menstrual Products'!P$5:P$67,MATCH(N15,'[22]Menstrual Products'!N$5:N$68,0))</f>
        <v>9</v>
      </c>
      <c r="Q15" s="19">
        <f>P15/3*'Menstrual Product Data'!$D$56</f>
        <v>215.982</v>
      </c>
      <c r="R15" s="19">
        <f>P15/3*'Menstrual Product Data'!$D$65</f>
        <v>263.58749999999998</v>
      </c>
      <c r="S15" s="19">
        <f>P15/3*'Menstrual Product Data'!$D$76</f>
        <v>141.47999999999999</v>
      </c>
      <c r="T15" s="1069">
        <f t="shared" si="0"/>
        <v>621</v>
      </c>
      <c r="U15" s="19"/>
    </row>
    <row r="16" spans="1:21">
      <c r="A16">
        <v>261</v>
      </c>
      <c r="B16" t="s">
        <v>400</v>
      </c>
      <c r="C16">
        <v>50250</v>
      </c>
      <c r="D16" t="s">
        <v>408</v>
      </c>
      <c r="E16">
        <v>14</v>
      </c>
      <c r="F16">
        <f>SUMIF($AH$5:$AH$15,Table1050[[#This Row],[Recipient No.]],$AK$5:$AK$15)</f>
        <v>0</v>
      </c>
      <c r="G16" t="s">
        <v>682</v>
      </c>
      <c r="H16" s="19">
        <f>E16/3*'Menstrual Product Data'!$D$56</f>
        <v>335.97200000000004</v>
      </c>
      <c r="I16" s="19">
        <f>E16/3*'Menstrual Product Data'!$D$65</f>
        <v>410.02500000000003</v>
      </c>
      <c r="J16" s="19">
        <f>E16/3*'Menstrual Product Data'!$D$76</f>
        <v>220.07999999999998</v>
      </c>
      <c r="K16" s="19">
        <f>IF('Menstrual Products'!$G16="Yes",F16*600,0)</f>
        <v>0</v>
      </c>
      <c r="L16" s="1068">
        <f>ROUND(SUM(Table1050[[#This Row],[Pad Cost]:[Dispenser cost]]),0)</f>
        <v>966</v>
      </c>
      <c r="M16" s="19">
        <f>Table1050[[#This Row],[First Nation School Total]]/Table1050[[#This Row],[Band-Op Head Count]]</f>
        <v>69</v>
      </c>
      <c r="N16" s="1142" t="s">
        <v>72</v>
      </c>
      <c r="P16" s="1142"/>
      <c r="T16" s="1069">
        <f>SUBTOTAL(109,Table54[[Provincial School Total ]])</f>
        <v>10626</v>
      </c>
      <c r="U16" s="19"/>
    </row>
    <row r="17" spans="1:21">
      <c r="A17" t="s">
        <v>72</v>
      </c>
      <c r="E17">
        <f>SUBTOTAL(109,Table1050[Band-Op Head Count])</f>
        <v>665</v>
      </c>
      <c r="F17">
        <f>SUBTOTAL(109,Table1050[Number of programs])</f>
        <v>12</v>
      </c>
      <c r="H17" s="19">
        <f>SUBTOTAL(109,Table1050[Pad Cost])</f>
        <v>15958.669999999998</v>
      </c>
      <c r="I17" s="19">
        <f>SUBTOTAL(109,Table1050[Tampon Cost])</f>
        <v>19476.1875</v>
      </c>
      <c r="J17" s="19">
        <f>SUBTOTAL(109,Table1050[Cup Cost])</f>
        <v>10453.799999999999</v>
      </c>
      <c r="K17" s="19">
        <f>SUBTOTAL(109,Table1050[Dispenser cost])</f>
        <v>0</v>
      </c>
      <c r="L17" s="19">
        <f>SUBTOTAL(109,Table1050[First Nation School Total])</f>
        <v>45888</v>
      </c>
      <c r="N17" s="19"/>
      <c r="O17" s="19"/>
      <c r="P17" s="19"/>
      <c r="Q17" s="19"/>
      <c r="R17" s="19"/>
      <c r="S17" s="19"/>
      <c r="T17" s="19"/>
      <c r="U17" s="19"/>
    </row>
    <row r="18" spans="1:21">
      <c r="T18" s="92"/>
      <c r="U18" s="1041"/>
    </row>
  </sheetData>
  <mergeCells count="2">
    <mergeCell ref="H3:K3"/>
    <mergeCell ref="Q3:T3"/>
  </mergeCells>
  <hyperlinks>
    <hyperlink ref="A2" r:id="rId1" display="https://gcdocs.intra.pri/aanc-inac/llisapi.dll/Overview/98818395" xr:uid="{00000000-0004-0000-2300-000000000000}"/>
  </hyperlinks>
  <pageMargins left="0.7" right="0.7" top="0.75" bottom="0.75" header="0.3" footer="0.3"/>
  <tableParts count="2">
    <tablePart r:id="rId2"/>
    <tablePart r:id="rId3"/>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7" tint="0.59999389629810485"/>
  </sheetPr>
  <dimension ref="A1:BA74"/>
  <sheetViews>
    <sheetView topLeftCell="P1" workbookViewId="0">
      <selection activeCell="B10" sqref="B10"/>
    </sheetView>
  </sheetViews>
  <sheetFormatPr baseColWidth="10" defaultColWidth="8.796875" defaultRowHeight="14"/>
  <cols>
    <col min="2" max="2" width="16.19921875" customWidth="1"/>
    <col min="4" max="4" width="47.59765625" bestFit="1" customWidth="1"/>
    <col min="5" max="5" width="11.19921875" customWidth="1"/>
    <col min="6" max="7" width="12.59765625" customWidth="1"/>
    <col min="8" max="14" width="10.3984375" customWidth="1"/>
    <col min="15" max="15" width="12" bestFit="1" customWidth="1"/>
    <col min="16" max="16" width="9.59765625" bestFit="1" customWidth="1"/>
    <col min="17" max="18" width="12.796875" customWidth="1"/>
    <col min="19" max="19" width="23.19921875" customWidth="1"/>
    <col min="20" max="20" width="22.796875" bestFit="1" customWidth="1"/>
    <col min="21" max="21" width="22.3984375" style="37" customWidth="1"/>
    <col min="22" max="22" width="32.796875" style="37" customWidth="1"/>
    <col min="23" max="23" width="25.19921875" style="88" customWidth="1"/>
    <col min="24" max="24" width="12.796875" style="37" customWidth="1"/>
    <col min="25" max="25" width="13.19921875" style="37" bestFit="1" customWidth="1"/>
    <col min="26" max="27" width="14.796875" style="37" customWidth="1"/>
    <col min="28" max="28" width="14.796875" style="26" customWidth="1"/>
    <col min="29" max="29" width="17.3984375" customWidth="1"/>
    <col min="30" max="30" width="20.3984375" customWidth="1"/>
    <col min="31" max="31" width="13.796875" style="26" bestFit="1" customWidth="1"/>
    <col min="32" max="32" width="14.796875" customWidth="1"/>
    <col min="33" max="33" width="12.796875" customWidth="1"/>
    <col min="34" max="34" width="18.19921875" style="37" customWidth="1"/>
    <col min="35" max="35" width="18.796875" style="37" customWidth="1"/>
    <col min="36" max="36" width="15.19921875" style="37" customWidth="1"/>
    <col min="37" max="37" width="14" customWidth="1"/>
    <col min="38" max="38" width="17.3984375" customWidth="1"/>
    <col min="39" max="39" width="14.796875" customWidth="1"/>
    <col min="40" max="40" width="14" style="37" customWidth="1"/>
    <col min="41" max="41" width="21.3984375" customWidth="1"/>
    <col min="42" max="42" width="14" customWidth="1"/>
    <col min="43" max="43" width="16.3984375" customWidth="1"/>
    <col min="44" max="44" width="17.19921875" style="37" bestFit="1" customWidth="1"/>
    <col min="45" max="45" width="12.796875" customWidth="1"/>
    <col min="46" max="46" width="17.19921875" customWidth="1"/>
    <col min="47" max="47" width="14.3984375" customWidth="1"/>
    <col min="48" max="48" width="15" customWidth="1"/>
    <col min="49" max="49" width="12.59765625" bestFit="1" customWidth="1"/>
    <col min="50" max="50" width="13.796875" customWidth="1"/>
    <col min="51" max="51" width="15.796875" customWidth="1"/>
    <col min="53" max="53" width="12.59765625" bestFit="1" customWidth="1"/>
  </cols>
  <sheetData>
    <row r="1" spans="1:50">
      <c r="T1" s="37"/>
      <c r="V1" s="88"/>
      <c r="W1" s="37"/>
      <c r="AA1" s="26"/>
      <c r="AB1"/>
      <c r="AD1" s="26"/>
      <c r="AE1"/>
      <c r="AG1" s="37"/>
      <c r="AJ1"/>
      <c r="AM1" s="37"/>
      <c r="AN1"/>
      <c r="AQ1" s="37"/>
      <c r="AR1"/>
    </row>
    <row r="2" spans="1:50" ht="16" thickBot="1">
      <c r="S2" s="92" t="s">
        <v>683</v>
      </c>
      <c r="T2" s="37"/>
      <c r="V2" s="88"/>
      <c r="W2" s="37"/>
      <c r="X2" s="989"/>
      <c r="AA2" s="26"/>
      <c r="AB2">
        <v>1</v>
      </c>
      <c r="AD2" s="26"/>
      <c r="AE2"/>
      <c r="AF2" s="92" t="s">
        <v>684</v>
      </c>
      <c r="AG2" s="37" t="s">
        <v>685</v>
      </c>
      <c r="AH2" s="37" t="s">
        <v>686</v>
      </c>
      <c r="AJ2"/>
      <c r="AM2" s="37"/>
      <c r="AN2"/>
      <c r="AQ2" s="37"/>
      <c r="AR2"/>
    </row>
    <row r="3" spans="1:50" ht="16" thickBot="1">
      <c r="S3" s="1146">
        <v>0.3387</v>
      </c>
      <c r="T3" s="37"/>
      <c r="V3" s="88"/>
      <c r="W3" s="37"/>
      <c r="X3" s="989"/>
      <c r="AA3" s="26"/>
      <c r="AB3">
        <v>5</v>
      </c>
      <c r="AD3" s="26"/>
      <c r="AE3"/>
      <c r="AF3" s="990">
        <v>1</v>
      </c>
      <c r="AG3" s="991">
        <v>10</v>
      </c>
      <c r="AH3" s="991">
        <v>5</v>
      </c>
      <c r="AI3" s="689"/>
      <c r="AJ3"/>
      <c r="AM3" s="37"/>
      <c r="AN3"/>
      <c r="AQ3" s="37"/>
      <c r="AR3"/>
    </row>
    <row r="4" spans="1:50" ht="15">
      <c r="T4" s="26"/>
      <c r="V4" s="88"/>
      <c r="W4" s="37"/>
      <c r="X4" s="989"/>
      <c r="AA4" s="26"/>
      <c r="AB4"/>
      <c r="AC4" s="992">
        <v>7.5507503733934556E-2</v>
      </c>
      <c r="AD4" s="26"/>
      <c r="AE4"/>
      <c r="AG4" s="37"/>
      <c r="AJ4"/>
      <c r="AM4" s="37"/>
      <c r="AN4"/>
      <c r="AQ4" s="37"/>
      <c r="AR4"/>
    </row>
    <row r="5" spans="1:50">
      <c r="C5" s="188"/>
      <c r="D5" s="188"/>
      <c r="E5" s="188"/>
      <c r="F5" s="188"/>
      <c r="G5" s="188"/>
      <c r="H5" s="188"/>
      <c r="I5" s="188"/>
      <c r="J5" s="188"/>
      <c r="K5" s="188"/>
      <c r="L5" s="188"/>
      <c r="M5" s="188"/>
      <c r="N5" s="188"/>
      <c r="O5" s="188"/>
      <c r="P5" s="188"/>
      <c r="Q5" s="188"/>
      <c r="R5" s="188"/>
      <c r="S5" s="188"/>
      <c r="T5" s="994">
        <v>1145.24</v>
      </c>
      <c r="U5" s="994">
        <v>1825.88</v>
      </c>
      <c r="V5" s="995">
        <v>128.93</v>
      </c>
      <c r="W5" s="996">
        <v>46935.05</v>
      </c>
      <c r="X5" s="996" t="s">
        <v>687</v>
      </c>
      <c r="Y5" s="996">
        <v>6</v>
      </c>
      <c r="Z5" s="996">
        <v>24.91</v>
      </c>
      <c r="AA5" s="994"/>
      <c r="AB5" s="993">
        <v>0.2</v>
      </c>
      <c r="AC5" s="997">
        <v>0.22623844978788191</v>
      </c>
      <c r="AD5" s="994">
        <v>5000</v>
      </c>
      <c r="AE5" s="998"/>
      <c r="AF5" s="998"/>
      <c r="AG5" s="994">
        <v>9.83</v>
      </c>
      <c r="AH5" s="994">
        <v>4.66</v>
      </c>
      <c r="AI5" s="999">
        <v>7.5507503733934556E-2</v>
      </c>
      <c r="AJ5" s="998"/>
      <c r="AK5" s="993"/>
      <c r="AL5" s="998"/>
      <c r="AM5" s="994">
        <v>8.5500000000000007</v>
      </c>
      <c r="AN5" s="998"/>
      <c r="AO5" s="998"/>
      <c r="AP5" s="188"/>
      <c r="AQ5" s="996"/>
      <c r="AR5" s="188"/>
    </row>
    <row r="6" spans="1:50" ht="14.75" customHeight="1">
      <c r="T6" s="26">
        <v>931.52</v>
      </c>
      <c r="U6" s="26">
        <v>1758.51</v>
      </c>
      <c r="V6" s="88"/>
      <c r="W6" s="37"/>
      <c r="X6" s="989"/>
      <c r="AA6" s="26"/>
      <c r="AB6" s="1145"/>
      <c r="AC6" s="401">
        <v>0.33375186138664475</v>
      </c>
      <c r="AD6" s="26"/>
      <c r="AE6"/>
      <c r="AG6" s="37"/>
      <c r="AJ6"/>
      <c r="AK6" s="1000"/>
      <c r="AM6" s="994">
        <v>184</v>
      </c>
      <c r="AN6"/>
      <c r="AQ6" s="37"/>
      <c r="AR6"/>
    </row>
    <row r="7" spans="1:50" ht="23" customHeight="1">
      <c r="R7" s="34"/>
      <c r="T7" s="26">
        <v>633.02</v>
      </c>
      <c r="U7" s="1144"/>
      <c r="V7" s="88"/>
      <c r="W7" s="37"/>
      <c r="X7" s="989"/>
      <c r="AA7" s="26"/>
      <c r="AB7" s="1145" t="s">
        <v>688</v>
      </c>
      <c r="AC7" s="401"/>
      <c r="AD7" s="401"/>
      <c r="AE7"/>
      <c r="AG7" s="37"/>
      <c r="AJ7"/>
      <c r="AK7" s="1000"/>
      <c r="AM7" s="37"/>
      <c r="AN7"/>
      <c r="AQ7" s="37"/>
      <c r="AR7"/>
    </row>
    <row r="8" spans="1:50" ht="44.75" customHeight="1">
      <c r="R8" s="34">
        <v>1.1615</v>
      </c>
      <c r="T8" s="37"/>
      <c r="U8" s="1144"/>
      <c r="V8" s="88"/>
      <c r="W8" s="37"/>
      <c r="X8" s="989"/>
      <c r="AA8" s="26"/>
      <c r="AB8" s="1145"/>
      <c r="AC8" s="401" t="e">
        <v>#N/A</v>
      </c>
      <c r="AD8" s="26"/>
      <c r="AE8" s="34"/>
      <c r="AG8" s="37"/>
      <c r="AJ8"/>
      <c r="AK8" s="1000"/>
      <c r="AM8" s="37"/>
      <c r="AN8"/>
      <c r="AP8" s="1001"/>
      <c r="AQ8" s="37"/>
      <c r="AR8"/>
    </row>
    <row r="9" spans="1:50">
      <c r="R9" s="1002">
        <v>0.1615</v>
      </c>
      <c r="S9" s="37">
        <v>3480</v>
      </c>
      <c r="T9" s="37">
        <v>3118324</v>
      </c>
      <c r="U9" s="37">
        <v>511632</v>
      </c>
      <c r="V9" s="1003">
        <v>445440</v>
      </c>
      <c r="W9" s="1003">
        <v>140625</v>
      </c>
      <c r="X9" s="37">
        <v>13468</v>
      </c>
      <c r="Y9" s="37">
        <v>197886</v>
      </c>
      <c r="AA9" s="37">
        <v>39584836.723058932</v>
      </c>
      <c r="AB9" s="37">
        <v>2533431</v>
      </c>
      <c r="AC9" s="1001">
        <v>503194</v>
      </c>
      <c r="AD9" s="1001">
        <v>235000</v>
      </c>
      <c r="AE9" s="1001">
        <v>7685532</v>
      </c>
      <c r="AF9" s="1001"/>
      <c r="AG9" s="37">
        <v>1067427</v>
      </c>
      <c r="AH9" s="37">
        <v>252988</v>
      </c>
      <c r="AI9" s="37">
        <v>102187</v>
      </c>
      <c r="AJ9" s="1001">
        <v>1422602</v>
      </c>
      <c r="AK9" s="1001">
        <v>5734322</v>
      </c>
      <c r="AL9" s="1001">
        <v>9108134</v>
      </c>
      <c r="AM9" s="1001">
        <v>5501880</v>
      </c>
      <c r="AN9" s="1001">
        <v>-797325.01334481279</v>
      </c>
      <c r="AO9" s="1001">
        <v>4704554.9866551887</v>
      </c>
      <c r="AP9" s="1001">
        <v>13812687</v>
      </c>
      <c r="AQ9" s="37"/>
      <c r="AR9"/>
      <c r="AT9" s="34">
        <v>6339703</v>
      </c>
      <c r="AU9" s="34">
        <v>2533431</v>
      </c>
      <c r="AV9" s="34">
        <v>235000</v>
      </c>
      <c r="AW9" s="34">
        <v>4704553</v>
      </c>
      <c r="AX9" s="34">
        <v>13812687</v>
      </c>
    </row>
    <row r="10" spans="1:50" ht="16">
      <c r="A10" s="10" t="s">
        <v>689</v>
      </c>
      <c r="R10" s="1002"/>
      <c r="S10" s="1004"/>
      <c r="T10" s="1005" t="s">
        <v>690</v>
      </c>
      <c r="U10" s="1491"/>
      <c r="V10" s="1491"/>
      <c r="W10" s="1491"/>
      <c r="X10" s="1491"/>
      <c r="Y10" s="1491"/>
      <c r="Z10" s="1491"/>
      <c r="AA10" s="1491"/>
      <c r="AB10" s="1491"/>
      <c r="AC10" s="1491"/>
      <c r="AD10" s="1491"/>
      <c r="AE10" s="1006"/>
      <c r="AF10" s="1700" t="s">
        <v>691</v>
      </c>
      <c r="AG10" s="1701"/>
      <c r="AH10" s="1701"/>
      <c r="AI10" s="1701"/>
      <c r="AJ10" s="1702"/>
      <c r="AK10" s="1000"/>
      <c r="AL10" s="1001"/>
      <c r="AM10" s="1703" t="s">
        <v>692</v>
      </c>
      <c r="AN10" s="1704"/>
      <c r="AO10" s="1705"/>
      <c r="AP10" s="1001"/>
      <c r="AQ10" s="37"/>
      <c r="AR10"/>
    </row>
    <row r="11" spans="1:50" s="2" customFormat="1" ht="79.5" customHeight="1" thickBot="1">
      <c r="A11" s="489" t="s">
        <v>373</v>
      </c>
      <c r="B11" s="489" t="s">
        <v>374</v>
      </c>
      <c r="C11" s="1038" t="s">
        <v>375</v>
      </c>
      <c r="D11" s="1038" t="s">
        <v>331</v>
      </c>
      <c r="E11" s="1007" t="s">
        <v>693</v>
      </c>
      <c r="F11" s="1007" t="s">
        <v>694</v>
      </c>
      <c r="G11" s="1007" t="s">
        <v>695</v>
      </c>
      <c r="H11" s="1007" t="s">
        <v>696</v>
      </c>
      <c r="I11" s="1007">
        <v>1</v>
      </c>
      <c r="J11" s="1007">
        <v>2</v>
      </c>
      <c r="K11" s="1007">
        <v>3</v>
      </c>
      <c r="L11" s="1007">
        <v>4</v>
      </c>
      <c r="M11" s="1007">
        <v>5</v>
      </c>
      <c r="N11" s="1007">
        <v>6</v>
      </c>
      <c r="O11" s="1007" t="s">
        <v>697</v>
      </c>
      <c r="P11" s="1007" t="s">
        <v>698</v>
      </c>
      <c r="Q11" s="1007" t="s">
        <v>699</v>
      </c>
      <c r="R11" s="1008" t="s">
        <v>700</v>
      </c>
      <c r="S11" s="1009" t="s">
        <v>701</v>
      </c>
      <c r="T11" s="1010" t="s">
        <v>702</v>
      </c>
      <c r="U11" s="1011" t="s">
        <v>703</v>
      </c>
      <c r="V11" s="1012" t="s">
        <v>704</v>
      </c>
      <c r="W11" s="1010" t="s">
        <v>705</v>
      </c>
      <c r="X11" s="1013" t="s">
        <v>706</v>
      </c>
      <c r="Y11" s="1010" t="s">
        <v>707</v>
      </c>
      <c r="Z11" s="1010" t="s">
        <v>708</v>
      </c>
      <c r="AA11" s="1014" t="s">
        <v>709</v>
      </c>
      <c r="AB11" s="1015" t="s">
        <v>710</v>
      </c>
      <c r="AC11" s="1015" t="s">
        <v>711</v>
      </c>
      <c r="AD11" s="1016" t="s">
        <v>712</v>
      </c>
      <c r="AE11" s="1017" t="s">
        <v>713</v>
      </c>
      <c r="AF11" s="1018" t="s">
        <v>714</v>
      </c>
      <c r="AG11" s="1019" t="s">
        <v>715</v>
      </c>
      <c r="AH11" s="1019" t="s">
        <v>716</v>
      </c>
      <c r="AI11" s="1019" t="s">
        <v>298</v>
      </c>
      <c r="AJ11" s="1020" t="s">
        <v>717</v>
      </c>
      <c r="AK11" s="1021" t="s">
        <v>718</v>
      </c>
      <c r="AL11" s="1022" t="s">
        <v>719</v>
      </c>
      <c r="AM11" s="1023" t="s">
        <v>720</v>
      </c>
      <c r="AN11" s="1024" t="s">
        <v>721</v>
      </c>
      <c r="AO11" s="1025" t="s">
        <v>722</v>
      </c>
      <c r="AP11" s="1022" t="s">
        <v>723</v>
      </c>
      <c r="AQ11" s="1026" t="s">
        <v>724</v>
      </c>
      <c r="AR11" s="1027"/>
      <c r="AS11" s="1028" t="s">
        <v>725</v>
      </c>
      <c r="AT11" s="1028" t="s">
        <v>710</v>
      </c>
      <c r="AU11" s="1028" t="s">
        <v>726</v>
      </c>
      <c r="AV11" s="1028" t="s">
        <v>727</v>
      </c>
      <c r="AW11" s="1028" t="s">
        <v>728</v>
      </c>
      <c r="AX11" s="1028" t="s">
        <v>729</v>
      </c>
    </row>
    <row r="12" spans="1:50" ht="15">
      <c r="A12">
        <v>3548</v>
      </c>
      <c r="B12" t="s">
        <v>730</v>
      </c>
      <c r="C12">
        <v>1140</v>
      </c>
      <c r="D12" t="s">
        <v>389</v>
      </c>
      <c r="E12">
        <v>0</v>
      </c>
      <c r="F12">
        <v>29</v>
      </c>
      <c r="G12">
        <v>0</v>
      </c>
      <c r="H12">
        <v>29</v>
      </c>
      <c r="I12">
        <v>29</v>
      </c>
      <c r="J12">
        <v>16</v>
      </c>
      <c r="K12">
        <v>42</v>
      </c>
      <c r="L12">
        <v>32</v>
      </c>
      <c r="M12">
        <v>26</v>
      </c>
      <c r="N12">
        <v>21</v>
      </c>
      <c r="O12">
        <v>224</v>
      </c>
      <c r="P12">
        <v>435</v>
      </c>
      <c r="R12" s="1029">
        <v>0.1615</v>
      </c>
      <c r="S12">
        <v>76</v>
      </c>
      <c r="T12" s="1030">
        <v>87038.24</v>
      </c>
      <c r="U12" s="37">
        <v>17272.612773000001</v>
      </c>
      <c r="V12" s="88">
        <v>9798.68</v>
      </c>
      <c r="W12" s="37">
        <v>0</v>
      </c>
      <c r="X12" s="989">
        <v>0</v>
      </c>
      <c r="Y12" s="37">
        <v>0</v>
      </c>
      <c r="Z12" s="37">
        <v>1893.16</v>
      </c>
      <c r="AA12" s="1031">
        <v>843284.98134277761</v>
      </c>
      <c r="AB12" s="34">
        <v>57124</v>
      </c>
      <c r="AC12" s="34">
        <v>12456.99</v>
      </c>
      <c r="AD12" s="26">
        <v>0</v>
      </c>
      <c r="AE12" s="1032">
        <v>185583.68277300004</v>
      </c>
      <c r="AF12">
        <v>224</v>
      </c>
      <c r="AG12" s="37">
        <v>22019.200000000001</v>
      </c>
      <c r="AH12" s="37">
        <v>5219.2</v>
      </c>
      <c r="AI12" s="37">
        <v>2077.4699999999998</v>
      </c>
      <c r="AJ12" s="1032">
        <v>29315.870000000003</v>
      </c>
      <c r="AK12" s="1033">
        <v>143241.09277300004</v>
      </c>
      <c r="AL12" s="1032">
        <v>214899.55277300003</v>
      </c>
      <c r="AM12" s="37">
        <v>119563.2</v>
      </c>
      <c r="AN12" s="34">
        <v>-19916.863093275504</v>
      </c>
      <c r="AO12" s="1034">
        <v>99646.336906724493</v>
      </c>
      <c r="AP12" s="88">
        <v>314546</v>
      </c>
      <c r="AQ12" s="37">
        <v>4138.7631578947367</v>
      </c>
      <c r="AR12" s="34"/>
      <c r="AS12">
        <v>157775.54999999999</v>
      </c>
      <c r="AT12" s="34">
        <v>57124</v>
      </c>
      <c r="AU12" s="34">
        <v>0</v>
      </c>
      <c r="AV12" s="34">
        <v>99646.34</v>
      </c>
      <c r="AW12" s="88">
        <v>314546</v>
      </c>
      <c r="AX12" s="34">
        <v>257422</v>
      </c>
    </row>
    <row r="13" spans="1:50" ht="15">
      <c r="A13">
        <v>3548</v>
      </c>
      <c r="B13" t="s">
        <v>730</v>
      </c>
      <c r="C13">
        <v>1144</v>
      </c>
      <c r="D13" t="s">
        <v>391</v>
      </c>
      <c r="E13">
        <v>0</v>
      </c>
      <c r="F13">
        <v>19</v>
      </c>
      <c r="G13">
        <v>0</v>
      </c>
      <c r="H13">
        <v>23</v>
      </c>
      <c r="I13">
        <v>39</v>
      </c>
      <c r="J13">
        <v>30</v>
      </c>
      <c r="K13">
        <v>37</v>
      </c>
      <c r="L13">
        <v>31</v>
      </c>
      <c r="M13">
        <v>25</v>
      </c>
      <c r="N13">
        <v>38</v>
      </c>
      <c r="O13">
        <v>242</v>
      </c>
      <c r="P13">
        <v>398</v>
      </c>
      <c r="R13" s="1029">
        <v>0.1615</v>
      </c>
      <c r="S13">
        <v>82</v>
      </c>
      <c r="T13" s="1030">
        <v>93909.680000000008</v>
      </c>
      <c r="U13" s="37">
        <v>11316.539402999999</v>
      </c>
      <c r="V13" s="88">
        <v>10572.26</v>
      </c>
      <c r="W13" s="37">
        <v>0</v>
      </c>
      <c r="X13" s="989">
        <v>0</v>
      </c>
      <c r="Y13" s="37">
        <v>0</v>
      </c>
      <c r="Z13" s="37">
        <v>2042.62</v>
      </c>
      <c r="AA13" s="1031">
        <v>1053642.3825616632</v>
      </c>
      <c r="AB13" s="34">
        <v>71374</v>
      </c>
      <c r="AC13" s="34">
        <v>13625.05</v>
      </c>
      <c r="AD13" s="26">
        <v>0</v>
      </c>
      <c r="AE13" s="1032">
        <v>202840.14940300002</v>
      </c>
      <c r="AF13">
        <v>242</v>
      </c>
      <c r="AG13" s="37">
        <v>23788.6</v>
      </c>
      <c r="AH13" s="37">
        <v>5638.6</v>
      </c>
      <c r="AI13" s="37">
        <v>2244.41</v>
      </c>
      <c r="AJ13" s="1032">
        <v>31671.61</v>
      </c>
      <c r="AK13" s="1033">
        <v>147268.29940300001</v>
      </c>
      <c r="AL13" s="1032">
        <v>234511.759403</v>
      </c>
      <c r="AM13" s="37">
        <v>129002.40000000001</v>
      </c>
      <c r="AN13" s="34">
        <v>-20476.823378032292</v>
      </c>
      <c r="AO13" s="1034">
        <v>108525.57662196772</v>
      </c>
      <c r="AP13" s="88">
        <v>343037</v>
      </c>
      <c r="AQ13" s="37">
        <v>4183.3780487804879</v>
      </c>
      <c r="AR13" s="34"/>
      <c r="AS13">
        <v>163137.76</v>
      </c>
      <c r="AT13" s="34">
        <v>71374</v>
      </c>
      <c r="AU13" s="34">
        <v>0</v>
      </c>
      <c r="AV13" s="34">
        <v>108525.58</v>
      </c>
      <c r="AW13" s="88">
        <v>343037</v>
      </c>
      <c r="AX13" s="34">
        <v>271663</v>
      </c>
    </row>
    <row r="14" spans="1:50" ht="15">
      <c r="A14">
        <v>3548</v>
      </c>
      <c r="B14" t="s">
        <v>730</v>
      </c>
      <c r="C14">
        <v>1148</v>
      </c>
      <c r="D14" t="s">
        <v>393</v>
      </c>
      <c r="E14">
        <v>0</v>
      </c>
      <c r="F14">
        <v>17</v>
      </c>
      <c r="G14">
        <v>0</v>
      </c>
      <c r="H14">
        <v>19</v>
      </c>
      <c r="I14">
        <v>24</v>
      </c>
      <c r="J14">
        <v>13</v>
      </c>
      <c r="K14">
        <v>13</v>
      </c>
      <c r="L14">
        <v>20</v>
      </c>
      <c r="M14">
        <v>15</v>
      </c>
      <c r="N14">
        <v>19</v>
      </c>
      <c r="O14">
        <v>140</v>
      </c>
      <c r="P14">
        <v>194</v>
      </c>
      <c r="R14" s="1029">
        <v>0.1615</v>
      </c>
      <c r="S14">
        <v>47</v>
      </c>
      <c r="T14" s="1030">
        <v>53826.28</v>
      </c>
      <c r="U14" s="37">
        <v>10125.324729</v>
      </c>
      <c r="V14" s="88">
        <v>6059.71</v>
      </c>
      <c r="W14" s="37">
        <v>0</v>
      </c>
      <c r="X14" s="989">
        <v>140.54</v>
      </c>
      <c r="Y14" s="37">
        <v>6605.3799999999992</v>
      </c>
      <c r="Z14" s="37">
        <v>1170.77</v>
      </c>
      <c r="AA14" s="1031">
        <v>613751.24734601914</v>
      </c>
      <c r="AB14" s="34">
        <v>41576</v>
      </c>
      <c r="AC14" s="34">
        <v>8641.65</v>
      </c>
      <c r="AD14" s="26">
        <v>0</v>
      </c>
      <c r="AE14" s="1032">
        <v>128005.11472899999</v>
      </c>
      <c r="AF14">
        <v>140</v>
      </c>
      <c r="AG14" s="37">
        <v>13762</v>
      </c>
      <c r="AH14" s="37">
        <v>3262</v>
      </c>
      <c r="AI14" s="37">
        <v>1298.42</v>
      </c>
      <c r="AJ14" s="1032">
        <v>18322.419999999998</v>
      </c>
      <c r="AK14" s="1033">
        <v>94811.464729000014</v>
      </c>
      <c r="AL14" s="1032">
        <v>146327.53472900001</v>
      </c>
      <c r="AM14" s="37">
        <v>73940.400000000009</v>
      </c>
      <c r="AN14" s="34">
        <v>-13182.997463395179</v>
      </c>
      <c r="AO14" s="1034">
        <v>60757.40253660483</v>
      </c>
      <c r="AP14" s="88">
        <v>207085</v>
      </c>
      <c r="AQ14" s="37">
        <v>4406.0638297872338</v>
      </c>
      <c r="AR14" s="34"/>
      <c r="AS14">
        <v>104751.53</v>
      </c>
      <c r="AT14" s="34">
        <v>41576</v>
      </c>
      <c r="AU14" s="34">
        <v>0</v>
      </c>
      <c r="AV14" s="34">
        <v>60757.4</v>
      </c>
      <c r="AW14" s="88">
        <v>207085</v>
      </c>
      <c r="AX14" s="34">
        <v>165509</v>
      </c>
    </row>
    <row r="15" spans="1:50" ht="15">
      <c r="A15">
        <v>3548</v>
      </c>
      <c r="B15" t="s">
        <v>730</v>
      </c>
      <c r="C15">
        <v>1166</v>
      </c>
      <c r="D15" t="s">
        <v>395</v>
      </c>
      <c r="E15">
        <v>0</v>
      </c>
      <c r="F15">
        <v>18</v>
      </c>
      <c r="G15">
        <v>0</v>
      </c>
      <c r="H15">
        <v>7</v>
      </c>
      <c r="I15">
        <v>11</v>
      </c>
      <c r="J15">
        <v>14</v>
      </c>
      <c r="K15">
        <v>7</v>
      </c>
      <c r="L15">
        <v>14</v>
      </c>
      <c r="M15">
        <v>11</v>
      </c>
      <c r="N15">
        <v>7</v>
      </c>
      <c r="O15">
        <v>89</v>
      </c>
      <c r="P15">
        <v>142</v>
      </c>
      <c r="R15" s="1029">
        <v>0.1615</v>
      </c>
      <c r="S15">
        <v>30</v>
      </c>
      <c r="T15" s="1030">
        <v>34357.199999999997</v>
      </c>
      <c r="U15" s="37">
        <v>10720.932066000001</v>
      </c>
      <c r="V15" s="88">
        <v>3867.9</v>
      </c>
      <c r="W15" s="37">
        <v>0</v>
      </c>
      <c r="X15" s="989">
        <v>735.23</v>
      </c>
      <c r="Y15" s="37">
        <v>22056.9</v>
      </c>
      <c r="Z15" s="37">
        <v>747.3</v>
      </c>
      <c r="AA15" s="1031">
        <v>365613.49613811908</v>
      </c>
      <c r="AB15" s="34">
        <v>24767</v>
      </c>
      <c r="AC15" s="34">
        <v>7066.34</v>
      </c>
      <c r="AD15" s="26">
        <v>0</v>
      </c>
      <c r="AE15" s="1032">
        <v>103583.57206600001</v>
      </c>
      <c r="AF15">
        <v>89</v>
      </c>
      <c r="AG15" s="37">
        <v>8748.7000000000007</v>
      </c>
      <c r="AH15" s="37">
        <v>2073.6999999999998</v>
      </c>
      <c r="AI15" s="37">
        <v>825.42</v>
      </c>
      <c r="AJ15" s="1032">
        <v>11647.82</v>
      </c>
      <c r="AK15" s="1033">
        <v>82572.632066000006</v>
      </c>
      <c r="AL15" s="1032">
        <v>115231.392066</v>
      </c>
      <c r="AM15" s="37">
        <v>47196</v>
      </c>
      <c r="AN15" s="34">
        <v>-11481.257062986653</v>
      </c>
      <c r="AO15" s="1034">
        <v>35714.742937013347</v>
      </c>
      <c r="AP15" s="88">
        <v>150946</v>
      </c>
      <c r="AQ15" s="37">
        <v>5031.5333333333338</v>
      </c>
      <c r="AR15" s="34"/>
      <c r="AS15">
        <v>90464.39</v>
      </c>
      <c r="AT15" s="34">
        <v>24767</v>
      </c>
      <c r="AU15" s="34">
        <v>0</v>
      </c>
      <c r="AV15" s="34">
        <v>35714.74</v>
      </c>
      <c r="AW15" s="88">
        <v>150946</v>
      </c>
      <c r="AX15" s="34">
        <v>126179</v>
      </c>
    </row>
    <row r="16" spans="1:50" ht="15">
      <c r="A16">
        <v>3548</v>
      </c>
      <c r="B16" t="s">
        <v>730</v>
      </c>
      <c r="C16">
        <v>1345</v>
      </c>
      <c r="D16" t="s">
        <v>397</v>
      </c>
      <c r="E16">
        <v>0</v>
      </c>
      <c r="F16">
        <v>25</v>
      </c>
      <c r="G16">
        <v>0</v>
      </c>
      <c r="H16">
        <v>14</v>
      </c>
      <c r="I16">
        <v>29</v>
      </c>
      <c r="J16">
        <v>21</v>
      </c>
      <c r="K16">
        <v>20</v>
      </c>
      <c r="L16">
        <v>16</v>
      </c>
      <c r="M16">
        <v>19</v>
      </c>
      <c r="N16">
        <v>17</v>
      </c>
      <c r="O16">
        <v>161</v>
      </c>
      <c r="P16">
        <v>303</v>
      </c>
      <c r="R16" s="1029">
        <v>0.1615</v>
      </c>
      <c r="S16">
        <v>55</v>
      </c>
      <c r="T16" s="1030">
        <v>62988.2</v>
      </c>
      <c r="U16" s="37">
        <v>14890.183424999999</v>
      </c>
      <c r="V16" s="88">
        <v>7091.1500000000005</v>
      </c>
      <c r="W16" s="37">
        <v>0</v>
      </c>
      <c r="X16" s="989">
        <v>0</v>
      </c>
      <c r="Y16" s="37">
        <v>0</v>
      </c>
      <c r="Z16" s="37">
        <v>1370.05</v>
      </c>
      <c r="AA16" s="1031">
        <v>644590.42846803763</v>
      </c>
      <c r="AB16" s="34">
        <v>43665</v>
      </c>
      <c r="AC16" s="34">
        <v>9374.58</v>
      </c>
      <c r="AD16" s="26">
        <v>0</v>
      </c>
      <c r="AE16" s="1032">
        <v>139379.16342500001</v>
      </c>
      <c r="AF16">
        <v>161</v>
      </c>
      <c r="AG16" s="37">
        <v>15826.3</v>
      </c>
      <c r="AH16" s="37">
        <v>3751.3</v>
      </c>
      <c r="AI16" s="37">
        <v>1493.18</v>
      </c>
      <c r="AJ16" s="1032">
        <v>21070.78</v>
      </c>
      <c r="AK16" s="1033">
        <v>105917.183425</v>
      </c>
      <c r="AL16" s="1032">
        <v>160449.943425</v>
      </c>
      <c r="AM16" s="37">
        <v>86526</v>
      </c>
      <c r="AN16" s="34">
        <v>-14727.184781005169</v>
      </c>
      <c r="AO16" s="1034">
        <v>71798.815218994831</v>
      </c>
      <c r="AP16" s="88">
        <v>232249</v>
      </c>
      <c r="AQ16" s="37">
        <v>4222.7090909090912</v>
      </c>
      <c r="AR16" s="34"/>
      <c r="AS16">
        <v>116784.94</v>
      </c>
      <c r="AT16" s="34">
        <v>43665</v>
      </c>
      <c r="AU16" s="34">
        <v>0</v>
      </c>
      <c r="AV16" s="34">
        <v>71798.820000000007</v>
      </c>
      <c r="AW16" s="88">
        <v>232249</v>
      </c>
      <c r="AX16" s="34">
        <v>188584</v>
      </c>
    </row>
    <row r="17" spans="1:50" ht="15">
      <c r="A17">
        <v>3548</v>
      </c>
      <c r="B17" t="s">
        <v>730</v>
      </c>
      <c r="C17">
        <v>1350</v>
      </c>
      <c r="D17" t="s">
        <v>409</v>
      </c>
      <c r="E17">
        <v>0</v>
      </c>
      <c r="F17">
        <v>4</v>
      </c>
      <c r="G17">
        <v>0</v>
      </c>
      <c r="H17">
        <v>4</v>
      </c>
      <c r="I17">
        <v>3</v>
      </c>
      <c r="J17">
        <v>2</v>
      </c>
      <c r="K17">
        <v>5</v>
      </c>
      <c r="L17">
        <v>5</v>
      </c>
      <c r="M17">
        <v>2</v>
      </c>
      <c r="N17">
        <v>2</v>
      </c>
      <c r="O17">
        <v>27</v>
      </c>
      <c r="P17">
        <v>41</v>
      </c>
      <c r="R17" s="1029">
        <v>0.1615</v>
      </c>
      <c r="S17">
        <v>9</v>
      </c>
      <c r="T17" s="1030">
        <v>10307.16</v>
      </c>
      <c r="U17" s="37">
        <v>2382.4293480000001</v>
      </c>
      <c r="V17" s="88">
        <v>1160.3700000000001</v>
      </c>
      <c r="W17" s="37">
        <v>0</v>
      </c>
      <c r="X17" s="989">
        <v>2697</v>
      </c>
      <c r="Y17" s="37">
        <v>24273</v>
      </c>
      <c r="Z17" s="37">
        <v>224.19</v>
      </c>
      <c r="AA17" s="1031">
        <v>102956.79731900041</v>
      </c>
      <c r="AB17" s="34">
        <v>6974</v>
      </c>
      <c r="AC17" s="34">
        <v>3368.13</v>
      </c>
      <c r="AD17" s="26">
        <v>0</v>
      </c>
      <c r="AE17" s="1032">
        <v>48689.279348000011</v>
      </c>
      <c r="AF17">
        <v>27</v>
      </c>
      <c r="AG17" s="37">
        <v>2654.1</v>
      </c>
      <c r="AH17" s="37">
        <v>629.1</v>
      </c>
      <c r="AI17" s="37">
        <v>250.41</v>
      </c>
      <c r="AJ17" s="1032">
        <v>3533.6099999999997</v>
      </c>
      <c r="AK17" s="1033">
        <v>41630.349348000003</v>
      </c>
      <c r="AL17" s="1032">
        <v>52222.889348000012</v>
      </c>
      <c r="AM17" s="37">
        <v>14158.800000000001</v>
      </c>
      <c r="AN17" s="34">
        <v>-5788.4644164459751</v>
      </c>
      <c r="AO17" s="1034">
        <v>8370.335583554026</v>
      </c>
      <c r="AP17" s="88">
        <v>60593</v>
      </c>
      <c r="AQ17" s="37">
        <v>6732.5555555555557</v>
      </c>
      <c r="AR17" s="34"/>
      <c r="AS17">
        <v>45248.89</v>
      </c>
      <c r="AT17" s="34">
        <v>6974</v>
      </c>
      <c r="AU17" s="34">
        <v>0</v>
      </c>
      <c r="AV17" s="34">
        <v>8370.34</v>
      </c>
      <c r="AW17" s="88">
        <v>60593</v>
      </c>
      <c r="AX17" s="34">
        <v>53619</v>
      </c>
    </row>
    <row r="18" spans="1:50" ht="15">
      <c r="A18">
        <v>3548</v>
      </c>
      <c r="B18" t="s">
        <v>730</v>
      </c>
      <c r="C18">
        <v>1486</v>
      </c>
      <c r="D18" t="s">
        <v>399</v>
      </c>
      <c r="E18">
        <v>0</v>
      </c>
      <c r="F18">
        <v>3</v>
      </c>
      <c r="G18">
        <v>0</v>
      </c>
      <c r="H18">
        <v>8</v>
      </c>
      <c r="I18">
        <v>10</v>
      </c>
      <c r="J18">
        <v>8</v>
      </c>
      <c r="K18">
        <v>8</v>
      </c>
      <c r="L18">
        <v>9</v>
      </c>
      <c r="M18">
        <v>9</v>
      </c>
      <c r="N18">
        <v>11</v>
      </c>
      <c r="O18">
        <v>66</v>
      </c>
      <c r="P18">
        <v>86</v>
      </c>
      <c r="R18" s="1029">
        <v>0.1615</v>
      </c>
      <c r="S18">
        <v>22</v>
      </c>
      <c r="T18" s="1030">
        <v>25195.279999999999</v>
      </c>
      <c r="U18" s="37">
        <v>1786.822011</v>
      </c>
      <c r="V18" s="88">
        <v>2836.46</v>
      </c>
      <c r="W18" s="37">
        <v>0</v>
      </c>
      <c r="X18" s="989">
        <v>1806.13</v>
      </c>
      <c r="Y18" s="37">
        <v>39734.86</v>
      </c>
      <c r="Z18" s="37">
        <v>548.02</v>
      </c>
      <c r="AA18" s="1031">
        <v>247135.9774191569</v>
      </c>
      <c r="AB18" s="34">
        <v>16741</v>
      </c>
      <c r="AC18" s="34">
        <v>6407.12</v>
      </c>
      <c r="AD18" s="26">
        <v>0</v>
      </c>
      <c r="AE18" s="1032">
        <v>93249.562010999987</v>
      </c>
      <c r="AF18">
        <v>66</v>
      </c>
      <c r="AG18" s="37">
        <v>6487.8</v>
      </c>
      <c r="AH18" s="37">
        <v>1537.8</v>
      </c>
      <c r="AI18" s="37">
        <v>612.11</v>
      </c>
      <c r="AJ18" s="1032">
        <v>8637.7099999999991</v>
      </c>
      <c r="AK18" s="1033">
        <v>78127.042011000012</v>
      </c>
      <c r="AL18" s="1032">
        <v>101887.27201099999</v>
      </c>
      <c r="AM18" s="37">
        <v>34610.400000000001</v>
      </c>
      <c r="AN18" s="34">
        <v>-10863.122931361606</v>
      </c>
      <c r="AO18" s="1034">
        <v>23747.277068638396</v>
      </c>
      <c r="AP18" s="88">
        <v>125635</v>
      </c>
      <c r="AQ18" s="37">
        <v>5710.681818181818</v>
      </c>
      <c r="AR18" s="34"/>
      <c r="AS18">
        <v>85146.27</v>
      </c>
      <c r="AT18" s="34">
        <v>16741</v>
      </c>
      <c r="AU18" s="34">
        <v>0</v>
      </c>
      <c r="AV18" s="34">
        <v>23747.279999999999</v>
      </c>
      <c r="AW18" s="88">
        <v>125635</v>
      </c>
      <c r="AX18" s="34">
        <v>108894</v>
      </c>
    </row>
    <row r="19" spans="1:50" ht="15">
      <c r="A19">
        <v>3548</v>
      </c>
      <c r="B19" t="s">
        <v>730</v>
      </c>
      <c r="C19">
        <v>1756</v>
      </c>
      <c r="D19" t="s">
        <v>401</v>
      </c>
      <c r="E19">
        <v>0</v>
      </c>
      <c r="F19">
        <v>13</v>
      </c>
      <c r="G19">
        <v>0</v>
      </c>
      <c r="H19">
        <v>8</v>
      </c>
      <c r="I19">
        <v>8</v>
      </c>
      <c r="J19">
        <v>11</v>
      </c>
      <c r="K19">
        <v>4</v>
      </c>
      <c r="L19">
        <v>10</v>
      </c>
      <c r="M19">
        <v>7</v>
      </c>
      <c r="N19">
        <v>14</v>
      </c>
      <c r="O19">
        <v>75</v>
      </c>
      <c r="P19">
        <v>123</v>
      </c>
      <c r="R19" s="1029">
        <v>0.1615</v>
      </c>
      <c r="S19">
        <v>25</v>
      </c>
      <c r="T19" s="1030">
        <v>28631</v>
      </c>
      <c r="U19" s="37">
        <v>7742.8953810000003</v>
      </c>
      <c r="V19" s="88">
        <v>3223.25</v>
      </c>
      <c r="W19" s="37">
        <v>0</v>
      </c>
      <c r="X19" s="989">
        <v>1324.11</v>
      </c>
      <c r="Y19" s="37">
        <v>33102.75</v>
      </c>
      <c r="Z19" s="37">
        <v>622.75</v>
      </c>
      <c r="AA19" s="1031">
        <v>262127.37041943651</v>
      </c>
      <c r="AB19" s="34">
        <v>17757</v>
      </c>
      <c r="AC19" s="34">
        <v>6700.79</v>
      </c>
      <c r="AD19" s="26">
        <v>0</v>
      </c>
      <c r="AE19" s="1032">
        <v>97780.435381000003</v>
      </c>
      <c r="AF19">
        <v>75</v>
      </c>
      <c r="AG19" s="37">
        <v>7372.5</v>
      </c>
      <c r="AH19" s="37">
        <v>1747.5</v>
      </c>
      <c r="AI19" s="37">
        <v>695.58</v>
      </c>
      <c r="AJ19" s="1032">
        <v>9815.58</v>
      </c>
      <c r="AK19" s="1033">
        <v>82442.645381000009</v>
      </c>
      <c r="AL19" s="1032">
        <v>107596.015381</v>
      </c>
      <c r="AM19" s="37">
        <v>39330</v>
      </c>
      <c r="AN19" s="34">
        <v>-11463.183150263882</v>
      </c>
      <c r="AO19" s="1034">
        <v>27866.816849736118</v>
      </c>
      <c r="AP19" s="88">
        <v>135463</v>
      </c>
      <c r="AQ19" s="37">
        <v>5418.52</v>
      </c>
      <c r="AR19" s="34"/>
      <c r="AS19">
        <v>89839.02</v>
      </c>
      <c r="AT19" s="34">
        <v>17757</v>
      </c>
      <c r="AU19" s="34">
        <v>0</v>
      </c>
      <c r="AV19" s="34">
        <v>27866.82</v>
      </c>
      <c r="AW19" s="88">
        <v>135463</v>
      </c>
      <c r="AX19" s="34">
        <v>117706</v>
      </c>
    </row>
    <row r="20" spans="1:50" ht="15">
      <c r="A20">
        <v>3548</v>
      </c>
      <c r="B20" t="s">
        <v>730</v>
      </c>
      <c r="C20">
        <v>5717</v>
      </c>
      <c r="D20" t="s">
        <v>403</v>
      </c>
      <c r="E20">
        <v>0</v>
      </c>
      <c r="F20">
        <v>10</v>
      </c>
      <c r="G20">
        <v>0</v>
      </c>
      <c r="H20">
        <v>11</v>
      </c>
      <c r="I20">
        <v>24</v>
      </c>
      <c r="J20">
        <v>8</v>
      </c>
      <c r="K20">
        <v>18</v>
      </c>
      <c r="L20">
        <v>20</v>
      </c>
      <c r="M20">
        <v>22</v>
      </c>
      <c r="N20">
        <v>13</v>
      </c>
      <c r="O20">
        <v>126</v>
      </c>
      <c r="P20">
        <v>153</v>
      </c>
      <c r="R20" s="1029">
        <v>0.1615</v>
      </c>
      <c r="S20">
        <v>43</v>
      </c>
      <c r="T20" s="1030">
        <v>49245.32</v>
      </c>
      <c r="U20" s="37">
        <v>5956.0733700000001</v>
      </c>
      <c r="V20" s="88">
        <v>5543.9900000000007</v>
      </c>
      <c r="W20" s="37">
        <v>0</v>
      </c>
      <c r="X20" s="989">
        <v>358.9</v>
      </c>
      <c r="Y20" s="37">
        <v>15432.699999999999</v>
      </c>
      <c r="Z20" s="37">
        <v>1071.1300000000001</v>
      </c>
      <c r="AA20" s="1031">
        <v>574411.26075504825</v>
      </c>
      <c r="AB20" s="34">
        <v>38911</v>
      </c>
      <c r="AC20" s="34">
        <v>8436.67</v>
      </c>
      <c r="AD20" s="26">
        <v>0</v>
      </c>
      <c r="AE20" s="1032">
        <v>124596.88337</v>
      </c>
      <c r="AF20">
        <v>126</v>
      </c>
      <c r="AG20" s="37">
        <v>12385.8</v>
      </c>
      <c r="AH20" s="37">
        <v>2935.8</v>
      </c>
      <c r="AI20" s="37">
        <v>1168.57</v>
      </c>
      <c r="AJ20" s="1032">
        <v>16490.169999999998</v>
      </c>
      <c r="AK20" s="1033">
        <v>92570.813370000003</v>
      </c>
      <c r="AL20" s="1032">
        <v>141087.05336999998</v>
      </c>
      <c r="AM20" s="37">
        <v>67647.600000000006</v>
      </c>
      <c r="AN20" s="34">
        <v>-12871.447575768398</v>
      </c>
      <c r="AO20" s="1034">
        <v>54776.152424231608</v>
      </c>
      <c r="AP20" s="88">
        <v>195863</v>
      </c>
      <c r="AQ20" s="37">
        <v>4554.9534883720926</v>
      </c>
      <c r="AR20" s="34"/>
      <c r="AS20">
        <v>102176.05</v>
      </c>
      <c r="AT20" s="34">
        <v>38911</v>
      </c>
      <c r="AU20" s="34">
        <v>0</v>
      </c>
      <c r="AV20" s="34">
        <v>54776.15</v>
      </c>
      <c r="AW20" s="88">
        <v>195863</v>
      </c>
      <c r="AX20" s="34">
        <v>156952</v>
      </c>
    </row>
    <row r="21" spans="1:50" ht="15">
      <c r="A21">
        <v>3548</v>
      </c>
      <c r="B21" t="s">
        <v>730</v>
      </c>
      <c r="C21">
        <v>6413</v>
      </c>
      <c r="D21" t="s">
        <v>405</v>
      </c>
      <c r="E21">
        <v>0</v>
      </c>
      <c r="F21">
        <v>3</v>
      </c>
      <c r="G21">
        <v>0</v>
      </c>
      <c r="H21">
        <v>2</v>
      </c>
      <c r="I21">
        <v>3</v>
      </c>
      <c r="J21">
        <v>5</v>
      </c>
      <c r="K21">
        <v>1</v>
      </c>
      <c r="L21">
        <v>2</v>
      </c>
      <c r="M21">
        <v>2</v>
      </c>
      <c r="N21">
        <v>6</v>
      </c>
      <c r="O21">
        <v>24</v>
      </c>
      <c r="P21">
        <v>27</v>
      </c>
      <c r="R21" s="1029">
        <v>0.1615</v>
      </c>
      <c r="S21">
        <v>8</v>
      </c>
      <c r="T21" s="1030">
        <v>9161.92</v>
      </c>
      <c r="U21" s="37">
        <v>1786.822011</v>
      </c>
      <c r="V21" s="88">
        <v>1031.44</v>
      </c>
      <c r="W21" s="37">
        <v>0</v>
      </c>
      <c r="X21" s="989">
        <v>3310.28</v>
      </c>
      <c r="Y21" s="37">
        <v>26482.240000000002</v>
      </c>
      <c r="Z21" s="37">
        <v>199.28</v>
      </c>
      <c r="AA21" s="1031">
        <v>104808.51612903224</v>
      </c>
      <c r="AB21" s="34">
        <v>7100</v>
      </c>
      <c r="AC21" s="34">
        <v>3411.57</v>
      </c>
      <c r="AD21" s="26">
        <v>0</v>
      </c>
      <c r="AE21" s="1032">
        <v>49173.272010999994</v>
      </c>
      <c r="AF21">
        <v>24</v>
      </c>
      <c r="AG21" s="37">
        <v>2359.1999999999998</v>
      </c>
      <c r="AH21" s="37">
        <v>559.20000000000005</v>
      </c>
      <c r="AI21" s="37">
        <v>222.59</v>
      </c>
      <c r="AJ21" s="1032">
        <v>3140.99</v>
      </c>
      <c r="AK21" s="1033">
        <v>41580.102010999995</v>
      </c>
      <c r="AL21" s="1032">
        <v>52314.262010999992</v>
      </c>
      <c r="AM21" s="37">
        <v>12585.6</v>
      </c>
      <c r="AN21" s="34">
        <v>-5781.4778086754159</v>
      </c>
      <c r="AO21" s="1034">
        <v>6804.1221913245845</v>
      </c>
      <c r="AP21" s="88">
        <v>59118</v>
      </c>
      <c r="AQ21" s="37">
        <v>7389.75</v>
      </c>
      <c r="AR21" s="34"/>
      <c r="AS21">
        <v>45214.26</v>
      </c>
      <c r="AT21" s="34">
        <v>7100</v>
      </c>
      <c r="AU21" s="34">
        <v>0</v>
      </c>
      <c r="AV21" s="34">
        <v>6804.12</v>
      </c>
      <c r="AW21" s="88">
        <v>59118</v>
      </c>
      <c r="AX21" s="34">
        <v>52018</v>
      </c>
    </row>
    <row r="22" spans="1:50" ht="15">
      <c r="A22">
        <v>3548</v>
      </c>
      <c r="B22" t="s">
        <v>730</v>
      </c>
      <c r="C22">
        <v>8990</v>
      </c>
      <c r="D22" t="s">
        <v>407</v>
      </c>
      <c r="E22">
        <v>0</v>
      </c>
      <c r="F22">
        <v>13</v>
      </c>
      <c r="G22">
        <v>0</v>
      </c>
      <c r="H22">
        <v>17</v>
      </c>
      <c r="I22">
        <v>8</v>
      </c>
      <c r="J22">
        <v>9</v>
      </c>
      <c r="K22">
        <v>10</v>
      </c>
      <c r="L22">
        <v>6</v>
      </c>
      <c r="M22">
        <v>12</v>
      </c>
      <c r="N22">
        <v>7</v>
      </c>
      <c r="O22">
        <v>82</v>
      </c>
      <c r="P22">
        <v>99</v>
      </c>
      <c r="R22" s="1029">
        <v>0.1615</v>
      </c>
      <c r="S22">
        <v>28</v>
      </c>
      <c r="T22" s="1030">
        <v>32066.720000000001</v>
      </c>
      <c r="U22" s="37">
        <v>7742.8953810000003</v>
      </c>
      <c r="V22" s="88">
        <v>3610.04</v>
      </c>
      <c r="W22" s="37">
        <v>0</v>
      </c>
      <c r="X22" s="989">
        <v>945.46</v>
      </c>
      <c r="Y22" s="37">
        <v>26472.880000000001</v>
      </c>
      <c r="Z22" s="37">
        <v>697.48</v>
      </c>
      <c r="AA22" s="1031">
        <v>300242.62488761969</v>
      </c>
      <c r="AB22" s="34">
        <v>20338</v>
      </c>
      <c r="AC22" s="34">
        <v>6659.72</v>
      </c>
      <c r="AD22" s="26">
        <v>0</v>
      </c>
      <c r="AE22" s="1032">
        <v>97587.735381000006</v>
      </c>
      <c r="AF22">
        <v>82</v>
      </c>
      <c r="AG22" s="37">
        <v>8060.6</v>
      </c>
      <c r="AH22" s="37">
        <v>1910.6</v>
      </c>
      <c r="AI22" s="37">
        <v>760.5</v>
      </c>
      <c r="AJ22" s="1032">
        <v>10731.7</v>
      </c>
      <c r="AK22" s="1033">
        <v>80561.215381000016</v>
      </c>
      <c r="AL22" s="1032">
        <v>108319.435381</v>
      </c>
      <c r="AM22" s="37">
        <v>44049.599999999999</v>
      </c>
      <c r="AN22" s="34">
        <v>-11201.580959131723</v>
      </c>
      <c r="AO22" s="1034">
        <v>32848.019040868276</v>
      </c>
      <c r="AP22" s="88">
        <v>141167</v>
      </c>
      <c r="AQ22" s="37">
        <v>5041.6785714285716</v>
      </c>
      <c r="AR22" s="34"/>
      <c r="AS22">
        <v>87981.440000000002</v>
      </c>
      <c r="AT22" s="34">
        <v>20338</v>
      </c>
      <c r="AU22" s="34">
        <v>0</v>
      </c>
      <c r="AV22" s="34">
        <v>32848.019999999997</v>
      </c>
      <c r="AW22" s="88">
        <v>141167</v>
      </c>
      <c r="AX22" s="34">
        <v>120829</v>
      </c>
    </row>
    <row r="23" spans="1:50" ht="15">
      <c r="A23">
        <v>3548</v>
      </c>
      <c r="B23" t="s">
        <v>730</v>
      </c>
      <c r="C23">
        <v>50250</v>
      </c>
      <c r="D23" t="s">
        <v>408</v>
      </c>
      <c r="E23">
        <v>0</v>
      </c>
      <c r="F23">
        <v>0</v>
      </c>
      <c r="G23">
        <v>0</v>
      </c>
      <c r="H23">
        <v>0</v>
      </c>
      <c r="I23">
        <v>0</v>
      </c>
      <c r="J23">
        <v>0</v>
      </c>
      <c r="K23">
        <v>0</v>
      </c>
      <c r="L23">
        <v>0</v>
      </c>
      <c r="M23">
        <v>0</v>
      </c>
      <c r="N23">
        <v>0</v>
      </c>
      <c r="O23">
        <v>0</v>
      </c>
      <c r="P23">
        <v>25</v>
      </c>
      <c r="R23" s="1029">
        <v>0.1615</v>
      </c>
      <c r="S23">
        <v>0</v>
      </c>
      <c r="T23" s="1030">
        <v>0</v>
      </c>
      <c r="U23" s="37">
        <v>0</v>
      </c>
      <c r="V23" s="88">
        <v>0</v>
      </c>
      <c r="W23" s="37">
        <v>0</v>
      </c>
      <c r="X23" s="989">
        <v>0</v>
      </c>
      <c r="Y23" s="37">
        <v>0</v>
      </c>
      <c r="Z23" s="37">
        <v>0</v>
      </c>
      <c r="AA23" s="1031">
        <v>0</v>
      </c>
      <c r="AB23" s="34">
        <v>0</v>
      </c>
      <c r="AC23" s="34">
        <v>0</v>
      </c>
      <c r="AD23" s="26">
        <v>0</v>
      </c>
      <c r="AE23" s="1032">
        <v>0</v>
      </c>
      <c r="AF23">
        <v>0</v>
      </c>
      <c r="AG23" s="37">
        <v>0</v>
      </c>
      <c r="AH23" s="37">
        <v>0</v>
      </c>
      <c r="AI23" s="37">
        <v>0</v>
      </c>
      <c r="AJ23" s="1032">
        <v>0</v>
      </c>
      <c r="AK23" s="1033">
        <v>0</v>
      </c>
      <c r="AL23" s="1032">
        <v>0</v>
      </c>
      <c r="AM23" s="37">
        <v>0</v>
      </c>
      <c r="AN23" s="34">
        <v>0</v>
      </c>
      <c r="AO23" s="1034">
        <v>0</v>
      </c>
      <c r="AP23" s="88">
        <v>0</v>
      </c>
      <c r="AQ23" s="37">
        <v>0</v>
      </c>
      <c r="AR23" s="34"/>
      <c r="AS23">
        <v>0</v>
      </c>
      <c r="AT23" s="34">
        <v>0</v>
      </c>
      <c r="AU23" s="34">
        <v>0</v>
      </c>
      <c r="AV23" s="34">
        <v>0</v>
      </c>
      <c r="AW23" s="88">
        <v>0</v>
      </c>
      <c r="AX23" s="34">
        <v>0</v>
      </c>
    </row>
    <row r="24" spans="1:50" s="26" customFormat="1">
      <c r="E24" s="1035">
        <f>SUM(E12:E23)</f>
        <v>0</v>
      </c>
      <c r="F24" s="1035">
        <f>SUM(F12:F23)</f>
        <v>154</v>
      </c>
      <c r="G24" s="1035">
        <f>SUM(G12:G23)</f>
        <v>0</v>
      </c>
      <c r="H24" s="1035">
        <f t="shared" ref="H24:AX24" si="0">SUM(H12:H23)</f>
        <v>142</v>
      </c>
      <c r="I24" s="1035">
        <f t="shared" si="0"/>
        <v>188</v>
      </c>
      <c r="J24" s="1035">
        <f t="shared" si="0"/>
        <v>137</v>
      </c>
      <c r="K24" s="1035">
        <f t="shared" si="0"/>
        <v>165</v>
      </c>
      <c r="L24" s="1035">
        <f t="shared" si="0"/>
        <v>165</v>
      </c>
      <c r="M24" s="1035">
        <f t="shared" si="0"/>
        <v>150</v>
      </c>
      <c r="N24" s="1035">
        <f t="shared" si="0"/>
        <v>155</v>
      </c>
      <c r="O24" s="1035">
        <f t="shared" si="0"/>
        <v>1256</v>
      </c>
      <c r="P24" s="1035">
        <f t="shared" si="0"/>
        <v>2026</v>
      </c>
      <c r="Q24" s="1035">
        <f t="shared" si="0"/>
        <v>0</v>
      </c>
      <c r="R24" s="1035">
        <f t="shared" si="0"/>
        <v>1.9379999999999999</v>
      </c>
      <c r="S24" s="1035">
        <f t="shared" si="0"/>
        <v>425</v>
      </c>
      <c r="T24" s="1035">
        <f t="shared" si="0"/>
        <v>486727</v>
      </c>
      <c r="U24" s="1035">
        <f t="shared" si="0"/>
        <v>91723.529897999993</v>
      </c>
      <c r="V24" s="1035">
        <f t="shared" si="0"/>
        <v>54795.250000000007</v>
      </c>
      <c r="W24" s="1035">
        <f t="shared" si="0"/>
        <v>0</v>
      </c>
      <c r="X24" s="1035">
        <f t="shared" si="0"/>
        <v>11317.649999999998</v>
      </c>
      <c r="Y24" s="1035">
        <f t="shared" si="0"/>
        <v>194160.71</v>
      </c>
      <c r="Z24" s="1035">
        <f t="shared" si="0"/>
        <v>10586.749999999998</v>
      </c>
      <c r="AA24" s="1035">
        <f t="shared" si="0"/>
        <v>5112565.0827859109</v>
      </c>
      <c r="AB24" s="1035">
        <f t="shared" si="0"/>
        <v>346327</v>
      </c>
      <c r="AC24" s="1035">
        <f t="shared" si="0"/>
        <v>86148.61</v>
      </c>
      <c r="AD24" s="1035">
        <f t="shared" si="0"/>
        <v>0</v>
      </c>
      <c r="AE24" s="1035">
        <f t="shared" si="0"/>
        <v>1270468.849898</v>
      </c>
      <c r="AF24" s="1035">
        <f t="shared" si="0"/>
        <v>1256</v>
      </c>
      <c r="AG24" s="1035">
        <f t="shared" si="0"/>
        <v>123464.80000000002</v>
      </c>
      <c r="AH24" s="1035">
        <f t="shared" si="0"/>
        <v>29264.799999999996</v>
      </c>
      <c r="AI24" s="1035">
        <f t="shared" si="0"/>
        <v>11648.66</v>
      </c>
      <c r="AJ24" s="1035">
        <f t="shared" si="0"/>
        <v>164378.26</v>
      </c>
      <c r="AK24" s="1035">
        <f t="shared" si="0"/>
        <v>990722.83989800001</v>
      </c>
      <c r="AL24" s="1035">
        <f t="shared" si="0"/>
        <v>1434847.109898</v>
      </c>
      <c r="AM24" s="1035">
        <f t="shared" si="0"/>
        <v>668609.99999999988</v>
      </c>
      <c r="AN24" s="1035">
        <f t="shared" si="0"/>
        <v>-137754.4026203418</v>
      </c>
      <c r="AO24" s="1035">
        <f t="shared" si="0"/>
        <v>530855.59737965825</v>
      </c>
      <c r="AP24" s="1035">
        <f t="shared" si="0"/>
        <v>1965702</v>
      </c>
      <c r="AQ24" s="1035">
        <f t="shared" si="0"/>
        <v>56830.586894242915</v>
      </c>
      <c r="AR24" s="1035">
        <f t="shared" si="0"/>
        <v>0</v>
      </c>
      <c r="AS24" s="1035">
        <f t="shared" si="0"/>
        <v>1088520.1000000001</v>
      </c>
      <c r="AT24" s="1035">
        <f t="shared" si="0"/>
        <v>346327</v>
      </c>
      <c r="AU24" s="1035">
        <f t="shared" si="0"/>
        <v>0</v>
      </c>
      <c r="AV24" s="1035">
        <f t="shared" si="0"/>
        <v>530855.61</v>
      </c>
      <c r="AW24" s="1035">
        <f t="shared" si="0"/>
        <v>1965702</v>
      </c>
      <c r="AX24" s="1035">
        <f t="shared" si="0"/>
        <v>1619375</v>
      </c>
    </row>
    <row r="29" spans="1:50" ht="15">
      <c r="A29" s="2" t="s">
        <v>731</v>
      </c>
      <c r="P29" s="1002"/>
      <c r="Q29" s="37"/>
      <c r="R29" s="1005" t="s">
        <v>690</v>
      </c>
      <c r="S29" s="1491"/>
      <c r="T29" s="1491"/>
      <c r="U29" s="1491"/>
      <c r="V29" s="1491"/>
      <c r="W29" s="1491"/>
      <c r="X29" s="1491"/>
      <c r="Y29" s="1491"/>
      <c r="Z29" s="1491"/>
      <c r="AA29" s="1491"/>
      <c r="AB29" s="1491"/>
      <c r="AC29" s="1006"/>
      <c r="AD29" s="1700" t="s">
        <v>691</v>
      </c>
      <c r="AE29" s="1701"/>
      <c r="AF29" s="1701"/>
      <c r="AG29" s="1701"/>
      <c r="AH29" s="1702"/>
      <c r="AI29" s="1000"/>
      <c r="AJ29" s="1001"/>
      <c r="AK29" s="1703" t="s">
        <v>692</v>
      </c>
      <c r="AL29" s="1704"/>
      <c r="AM29" s="1705"/>
      <c r="AN29" s="1001"/>
      <c r="AR29"/>
    </row>
    <row r="30" spans="1:50" s="2" customFormat="1" ht="81" thickBot="1">
      <c r="C30" s="489"/>
      <c r="D30" s="489"/>
      <c r="E30" s="1007" t="s">
        <v>693</v>
      </c>
      <c r="F30" s="1007" t="s">
        <v>694</v>
      </c>
      <c r="G30" s="1007" t="s">
        <v>695</v>
      </c>
      <c r="H30" s="1007" t="s">
        <v>696</v>
      </c>
      <c r="I30" s="1007">
        <v>1</v>
      </c>
      <c r="J30" s="1007">
        <v>2</v>
      </c>
      <c r="K30" s="1007">
        <v>3</v>
      </c>
      <c r="L30" s="1007">
        <v>4</v>
      </c>
      <c r="M30" s="1007">
        <v>5</v>
      </c>
      <c r="N30" s="1007">
        <v>6</v>
      </c>
      <c r="O30" s="1007" t="s">
        <v>697</v>
      </c>
      <c r="P30" s="1007" t="s">
        <v>698</v>
      </c>
      <c r="Q30" s="1007" t="s">
        <v>699</v>
      </c>
      <c r="R30" s="1008" t="s">
        <v>700</v>
      </c>
      <c r="S30" s="1009" t="s">
        <v>701</v>
      </c>
      <c r="T30" s="1010" t="s">
        <v>702</v>
      </c>
      <c r="U30" s="1011" t="s">
        <v>703</v>
      </c>
      <c r="V30" s="1012" t="s">
        <v>704</v>
      </c>
      <c r="W30" s="1010" t="s">
        <v>705</v>
      </c>
      <c r="X30" s="1013" t="s">
        <v>706</v>
      </c>
      <c r="Y30" s="1010" t="s">
        <v>707</v>
      </c>
      <c r="Z30" s="1010" t="s">
        <v>708</v>
      </c>
      <c r="AA30" s="1014" t="s">
        <v>709</v>
      </c>
      <c r="AB30" s="1015" t="s">
        <v>710</v>
      </c>
      <c r="AC30" s="1015" t="s">
        <v>711</v>
      </c>
      <c r="AD30" s="1016" t="s">
        <v>712</v>
      </c>
      <c r="AE30" s="1017" t="s">
        <v>713</v>
      </c>
      <c r="AF30" s="1018" t="s">
        <v>714</v>
      </c>
      <c r="AG30" s="1019" t="s">
        <v>715</v>
      </c>
      <c r="AH30" s="1019" t="s">
        <v>716</v>
      </c>
      <c r="AI30" s="1019" t="s">
        <v>298</v>
      </c>
      <c r="AJ30" s="1020" t="s">
        <v>717</v>
      </c>
      <c r="AK30" s="1021" t="s">
        <v>718</v>
      </c>
      <c r="AL30" s="1022" t="s">
        <v>719</v>
      </c>
      <c r="AM30" s="1023" t="s">
        <v>720</v>
      </c>
      <c r="AN30" s="1024" t="s">
        <v>721</v>
      </c>
      <c r="AO30" s="1025" t="s">
        <v>722</v>
      </c>
      <c r="AP30" s="1022" t="s">
        <v>723</v>
      </c>
      <c r="AQ30" s="1027" t="s">
        <v>724</v>
      </c>
      <c r="AS30" s="1028" t="s">
        <v>732</v>
      </c>
      <c r="AT30" s="1028" t="s">
        <v>710</v>
      </c>
      <c r="AU30" s="1028" t="s">
        <v>726</v>
      </c>
      <c r="AV30" s="1028" t="s">
        <v>727</v>
      </c>
      <c r="AW30" s="1028" t="s">
        <v>728</v>
      </c>
      <c r="AX30" s="495" t="s">
        <v>729</v>
      </c>
    </row>
    <row r="31" spans="1:50" ht="15">
      <c r="C31">
        <v>261</v>
      </c>
      <c r="D31" t="s">
        <v>733</v>
      </c>
      <c r="E31">
        <v>0</v>
      </c>
      <c r="F31">
        <v>2</v>
      </c>
      <c r="G31">
        <v>0</v>
      </c>
      <c r="H31">
        <v>0</v>
      </c>
      <c r="I31">
        <v>1</v>
      </c>
      <c r="J31">
        <v>0</v>
      </c>
      <c r="K31">
        <v>1</v>
      </c>
      <c r="L31">
        <v>1</v>
      </c>
      <c r="M31">
        <v>0</v>
      </c>
      <c r="N31">
        <v>1</v>
      </c>
      <c r="O31">
        <v>6</v>
      </c>
      <c r="P31">
        <v>31</v>
      </c>
      <c r="Q31" t="s">
        <v>682</v>
      </c>
      <c r="R31" s="1029">
        <v>0.1615</v>
      </c>
      <c r="S31">
        <v>2</v>
      </c>
      <c r="T31" s="1030">
        <v>2290.48</v>
      </c>
      <c r="U31" s="37">
        <v>1191.2146740000001</v>
      </c>
      <c r="V31" s="88">
        <v>257.86</v>
      </c>
      <c r="W31" s="37">
        <v>0</v>
      </c>
      <c r="X31" s="989">
        <v>0</v>
      </c>
      <c r="Y31" s="37">
        <v>0</v>
      </c>
      <c r="Z31" s="37">
        <v>49.82</v>
      </c>
      <c r="AA31" s="1031">
        <v>9093.5397515722289</v>
      </c>
      <c r="AB31" s="34">
        <v>616</v>
      </c>
      <c r="AC31" s="34">
        <v>316.33</v>
      </c>
      <c r="AD31" s="26">
        <v>0</v>
      </c>
      <c r="AE31" s="1032">
        <v>4721.7046740000005</v>
      </c>
      <c r="AF31">
        <v>6</v>
      </c>
      <c r="AG31" s="37">
        <v>589.79999999999995</v>
      </c>
      <c r="AH31" s="37">
        <v>139.80000000000001</v>
      </c>
      <c r="AI31" s="37">
        <v>55.65</v>
      </c>
      <c r="AJ31" s="1032">
        <v>785.25</v>
      </c>
      <c r="AK31" s="1033">
        <v>4518.9746740000001</v>
      </c>
      <c r="AL31" s="1032">
        <v>5506.9546740000005</v>
      </c>
      <c r="AM31" s="37">
        <v>3146.4</v>
      </c>
      <c r="AN31" s="34">
        <v>-628.33784748256539</v>
      </c>
      <c r="AO31" s="1032">
        <v>2518.0621525174347</v>
      </c>
      <c r="AP31" s="88">
        <v>8025</v>
      </c>
      <c r="AQ31" s="34">
        <v>4012.5</v>
      </c>
      <c r="AR31"/>
      <c r="AS31" s="34">
        <v>4890.95</v>
      </c>
      <c r="AT31" s="34">
        <v>616</v>
      </c>
      <c r="AU31" s="34">
        <v>0</v>
      </c>
      <c r="AV31" s="88">
        <v>2518.06</v>
      </c>
      <c r="AW31" s="34">
        <v>8025</v>
      </c>
      <c r="AX31" s="34">
        <v>7409</v>
      </c>
    </row>
    <row r="32" spans="1:50" ht="15">
      <c r="C32">
        <v>267</v>
      </c>
      <c r="D32" t="s">
        <v>392</v>
      </c>
      <c r="E32">
        <v>0</v>
      </c>
      <c r="F32">
        <v>0</v>
      </c>
      <c r="G32">
        <v>0</v>
      </c>
      <c r="H32">
        <v>0</v>
      </c>
      <c r="I32">
        <v>0</v>
      </c>
      <c r="J32">
        <v>0</v>
      </c>
      <c r="K32">
        <v>0</v>
      </c>
      <c r="L32">
        <v>0</v>
      </c>
      <c r="M32">
        <v>0</v>
      </c>
      <c r="N32">
        <v>0</v>
      </c>
      <c r="O32">
        <v>0</v>
      </c>
      <c r="P32">
        <v>44</v>
      </c>
      <c r="Q32" t="s">
        <v>682</v>
      </c>
      <c r="R32" s="1029">
        <v>0</v>
      </c>
      <c r="S32">
        <v>0</v>
      </c>
      <c r="T32" s="1030">
        <v>0</v>
      </c>
      <c r="U32" s="37">
        <v>0</v>
      </c>
      <c r="V32" s="88">
        <v>0</v>
      </c>
      <c r="W32" s="37">
        <v>0</v>
      </c>
      <c r="X32" s="989">
        <v>0</v>
      </c>
      <c r="Y32" s="37">
        <v>0</v>
      </c>
      <c r="Z32" s="37">
        <v>0</v>
      </c>
      <c r="AA32" s="1031">
        <v>0</v>
      </c>
      <c r="AB32" s="34">
        <v>0</v>
      </c>
      <c r="AC32" s="34">
        <v>0</v>
      </c>
      <c r="AD32" s="26">
        <v>0</v>
      </c>
      <c r="AE32" s="1032">
        <v>0</v>
      </c>
      <c r="AF32">
        <v>0</v>
      </c>
      <c r="AG32" s="37">
        <v>0</v>
      </c>
      <c r="AH32" s="37">
        <v>0</v>
      </c>
      <c r="AI32" s="37">
        <v>0</v>
      </c>
      <c r="AJ32" s="1032">
        <v>0</v>
      </c>
      <c r="AK32" s="1033">
        <v>0</v>
      </c>
      <c r="AL32" s="1032">
        <v>0</v>
      </c>
      <c r="AM32" s="37">
        <v>0</v>
      </c>
      <c r="AN32" s="34">
        <v>0</v>
      </c>
      <c r="AO32" s="1032">
        <v>0</v>
      </c>
      <c r="AP32" s="88">
        <v>0</v>
      </c>
      <c r="AQ32" s="34">
        <v>0</v>
      </c>
      <c r="AR32"/>
      <c r="AS32" s="34">
        <v>0</v>
      </c>
      <c r="AT32" s="34">
        <v>0</v>
      </c>
      <c r="AU32" s="34">
        <v>0</v>
      </c>
      <c r="AV32" s="88">
        <v>0</v>
      </c>
      <c r="AW32" s="34">
        <v>0</v>
      </c>
      <c r="AX32" s="34">
        <v>0</v>
      </c>
    </row>
    <row r="33" spans="3:53" ht="15">
      <c r="C33">
        <v>271</v>
      </c>
      <c r="D33" t="s">
        <v>396</v>
      </c>
      <c r="E33">
        <v>0</v>
      </c>
      <c r="F33">
        <v>0</v>
      </c>
      <c r="G33">
        <v>0</v>
      </c>
      <c r="H33">
        <v>0</v>
      </c>
      <c r="I33">
        <v>0</v>
      </c>
      <c r="J33">
        <v>0</v>
      </c>
      <c r="K33">
        <v>0</v>
      </c>
      <c r="L33">
        <v>0</v>
      </c>
      <c r="M33">
        <v>0</v>
      </c>
      <c r="N33">
        <v>0</v>
      </c>
      <c r="O33">
        <v>0</v>
      </c>
      <c r="P33">
        <v>4</v>
      </c>
      <c r="Q33" t="s">
        <v>682</v>
      </c>
      <c r="R33" s="1029">
        <v>0</v>
      </c>
      <c r="S33">
        <v>0</v>
      </c>
      <c r="T33" s="1030">
        <v>0</v>
      </c>
      <c r="U33" s="37">
        <v>0</v>
      </c>
      <c r="V33" s="88">
        <v>0</v>
      </c>
      <c r="W33" s="37">
        <v>0</v>
      </c>
      <c r="X33" s="989">
        <v>0</v>
      </c>
      <c r="Y33" s="37">
        <v>0</v>
      </c>
      <c r="Z33" s="37">
        <v>0</v>
      </c>
      <c r="AA33" s="1031">
        <v>0</v>
      </c>
      <c r="AB33" s="34">
        <v>0</v>
      </c>
      <c r="AC33" s="34">
        <v>0</v>
      </c>
      <c r="AD33" s="26">
        <v>0</v>
      </c>
      <c r="AE33" s="1032">
        <v>0</v>
      </c>
      <c r="AF33">
        <v>0</v>
      </c>
      <c r="AG33" s="37">
        <v>0</v>
      </c>
      <c r="AH33" s="37">
        <v>0</v>
      </c>
      <c r="AI33" s="37">
        <v>0</v>
      </c>
      <c r="AJ33" s="1032">
        <v>0</v>
      </c>
      <c r="AK33" s="1033">
        <v>0</v>
      </c>
      <c r="AL33" s="1032">
        <v>0</v>
      </c>
      <c r="AM33" s="37">
        <v>0</v>
      </c>
      <c r="AN33" s="34">
        <v>0</v>
      </c>
      <c r="AO33" s="1032">
        <v>0</v>
      </c>
      <c r="AP33" s="88">
        <v>0</v>
      </c>
      <c r="AQ33" s="34">
        <v>0</v>
      </c>
      <c r="AR33"/>
      <c r="AS33" s="34">
        <v>0</v>
      </c>
      <c r="AT33" s="34">
        <v>0</v>
      </c>
      <c r="AU33" s="34">
        <v>0</v>
      </c>
      <c r="AV33" s="88">
        <v>0</v>
      </c>
      <c r="AW33" s="34">
        <v>0</v>
      </c>
      <c r="AX33" s="34">
        <v>0</v>
      </c>
    </row>
    <row r="34" spans="3:53" ht="15">
      <c r="C34">
        <v>272</v>
      </c>
      <c r="D34" t="s">
        <v>734</v>
      </c>
      <c r="E34">
        <v>0</v>
      </c>
      <c r="F34">
        <v>0</v>
      </c>
      <c r="G34">
        <v>0</v>
      </c>
      <c r="H34">
        <v>0</v>
      </c>
      <c r="I34">
        <v>0</v>
      </c>
      <c r="J34">
        <v>0</v>
      </c>
      <c r="K34">
        <v>0</v>
      </c>
      <c r="L34">
        <v>0</v>
      </c>
      <c r="M34">
        <v>0</v>
      </c>
      <c r="N34">
        <v>0</v>
      </c>
      <c r="O34">
        <v>0</v>
      </c>
      <c r="P34">
        <v>12</v>
      </c>
      <c r="Q34" t="s">
        <v>682</v>
      </c>
      <c r="R34" s="1029">
        <v>0</v>
      </c>
      <c r="S34">
        <v>0</v>
      </c>
      <c r="T34" s="1030">
        <v>0</v>
      </c>
      <c r="U34" s="37">
        <v>0</v>
      </c>
      <c r="V34" s="88">
        <v>0</v>
      </c>
      <c r="W34" s="37">
        <v>0</v>
      </c>
      <c r="X34" s="989">
        <v>0</v>
      </c>
      <c r="Y34" s="37">
        <v>0</v>
      </c>
      <c r="Z34" s="37">
        <v>0</v>
      </c>
      <c r="AA34" s="1031">
        <v>0</v>
      </c>
      <c r="AB34" s="34">
        <v>0</v>
      </c>
      <c r="AC34" s="34">
        <v>0</v>
      </c>
      <c r="AD34" s="26">
        <v>0</v>
      </c>
      <c r="AE34" s="1032">
        <v>0</v>
      </c>
      <c r="AF34">
        <v>0</v>
      </c>
      <c r="AG34" s="37">
        <v>0</v>
      </c>
      <c r="AH34" s="37">
        <v>0</v>
      </c>
      <c r="AI34" s="37">
        <v>0</v>
      </c>
      <c r="AJ34" s="1032">
        <v>0</v>
      </c>
      <c r="AK34" s="1033">
        <v>0</v>
      </c>
      <c r="AL34" s="1032">
        <v>0</v>
      </c>
      <c r="AM34" s="37">
        <v>0</v>
      </c>
      <c r="AN34" s="34">
        <v>0</v>
      </c>
      <c r="AO34" s="1032">
        <v>0</v>
      </c>
      <c r="AP34" s="88">
        <v>0</v>
      </c>
      <c r="AQ34" s="34">
        <v>0</v>
      </c>
      <c r="AR34"/>
      <c r="AS34" s="34">
        <v>0</v>
      </c>
      <c r="AT34" s="34">
        <v>0</v>
      </c>
      <c r="AU34" s="34">
        <v>0</v>
      </c>
      <c r="AV34" s="88">
        <v>0</v>
      </c>
      <c r="AW34" s="34">
        <v>0</v>
      </c>
      <c r="AX34" s="34">
        <v>0</v>
      </c>
    </row>
    <row r="35" spans="3:53" ht="15">
      <c r="C35">
        <v>273</v>
      </c>
      <c r="D35" t="s">
        <v>735</v>
      </c>
      <c r="E35">
        <v>0</v>
      </c>
      <c r="F35">
        <v>0</v>
      </c>
      <c r="G35">
        <v>0</v>
      </c>
      <c r="H35">
        <v>1</v>
      </c>
      <c r="I35">
        <v>1</v>
      </c>
      <c r="J35">
        <v>2</v>
      </c>
      <c r="K35">
        <v>1</v>
      </c>
      <c r="L35">
        <v>1</v>
      </c>
      <c r="M35">
        <v>1</v>
      </c>
      <c r="N35">
        <v>1</v>
      </c>
      <c r="O35">
        <v>8</v>
      </c>
      <c r="P35">
        <v>68</v>
      </c>
      <c r="Q35" t="s">
        <v>682</v>
      </c>
      <c r="R35" s="1029">
        <v>0.1615</v>
      </c>
      <c r="S35">
        <v>3</v>
      </c>
      <c r="T35" s="1030">
        <v>3435.7200000000003</v>
      </c>
      <c r="U35" s="37">
        <v>0</v>
      </c>
      <c r="V35" s="88">
        <v>386.79</v>
      </c>
      <c r="W35" s="37">
        <v>0</v>
      </c>
      <c r="X35" s="989">
        <v>0</v>
      </c>
      <c r="Y35" s="37">
        <v>0</v>
      </c>
      <c r="Z35" s="37">
        <v>74.73</v>
      </c>
      <c r="AA35" s="1031">
        <v>20968.151009657595</v>
      </c>
      <c r="AB35" s="34">
        <v>1420</v>
      </c>
      <c r="AC35" s="34">
        <v>376.04</v>
      </c>
      <c r="AD35" s="26">
        <v>0</v>
      </c>
      <c r="AE35" s="1032">
        <v>5693.2800000000007</v>
      </c>
      <c r="AF35">
        <v>8</v>
      </c>
      <c r="AG35" s="37">
        <v>786.4</v>
      </c>
      <c r="AH35" s="37">
        <v>186.4</v>
      </c>
      <c r="AI35" s="37">
        <v>74.2</v>
      </c>
      <c r="AJ35" s="1032">
        <v>1047</v>
      </c>
      <c r="AK35" s="1033">
        <v>4870.0399999999991</v>
      </c>
      <c r="AL35" s="1032">
        <v>6740.2800000000007</v>
      </c>
      <c r="AM35" s="37">
        <v>4719.6000000000004</v>
      </c>
      <c r="AN35" s="34">
        <v>-677.15149375807141</v>
      </c>
      <c r="AO35" s="1032">
        <v>4042.448506241929</v>
      </c>
      <c r="AP35" s="88">
        <v>10783</v>
      </c>
      <c r="AQ35" s="34">
        <v>3594.3333333333335</v>
      </c>
      <c r="AR35"/>
      <c r="AS35" s="34">
        <v>5320.28</v>
      </c>
      <c r="AT35" s="34">
        <v>1420</v>
      </c>
      <c r="AU35" s="34">
        <v>0</v>
      </c>
      <c r="AV35" s="88">
        <v>4042.45</v>
      </c>
      <c r="AW35" s="34">
        <v>10783</v>
      </c>
      <c r="AX35" s="34">
        <v>9363</v>
      </c>
    </row>
    <row r="36" spans="3:53" ht="15">
      <c r="C36">
        <v>275</v>
      </c>
      <c r="D36" t="s">
        <v>390</v>
      </c>
      <c r="E36">
        <v>0</v>
      </c>
      <c r="F36">
        <v>0</v>
      </c>
      <c r="G36">
        <v>0</v>
      </c>
      <c r="H36">
        <v>0</v>
      </c>
      <c r="I36">
        <v>0</v>
      </c>
      <c r="J36">
        <v>0</v>
      </c>
      <c r="K36">
        <v>0</v>
      </c>
      <c r="L36">
        <v>0</v>
      </c>
      <c r="M36">
        <v>0</v>
      </c>
      <c r="N36">
        <v>0</v>
      </c>
      <c r="O36">
        <v>0</v>
      </c>
      <c r="P36">
        <v>16</v>
      </c>
      <c r="Q36" t="s">
        <v>682</v>
      </c>
      <c r="R36" s="1029">
        <v>0</v>
      </c>
      <c r="S36">
        <v>0</v>
      </c>
      <c r="T36" s="1030">
        <v>0</v>
      </c>
      <c r="U36" s="37">
        <v>0</v>
      </c>
      <c r="V36" s="88">
        <v>0</v>
      </c>
      <c r="W36" s="37">
        <v>0</v>
      </c>
      <c r="X36" s="989">
        <v>0</v>
      </c>
      <c r="Y36" s="37">
        <v>0</v>
      </c>
      <c r="Z36" s="37">
        <v>0</v>
      </c>
      <c r="AA36" s="1031">
        <v>0</v>
      </c>
      <c r="AB36" s="34">
        <v>0</v>
      </c>
      <c r="AC36" s="34">
        <v>0</v>
      </c>
      <c r="AD36" s="26">
        <v>0</v>
      </c>
      <c r="AE36" s="1032">
        <v>0</v>
      </c>
      <c r="AF36">
        <v>0</v>
      </c>
      <c r="AG36" s="37">
        <v>0</v>
      </c>
      <c r="AH36" s="37">
        <v>0</v>
      </c>
      <c r="AI36" s="37">
        <v>0</v>
      </c>
      <c r="AJ36" s="1032">
        <v>0</v>
      </c>
      <c r="AK36" s="1033">
        <v>0</v>
      </c>
      <c r="AL36" s="1032">
        <v>0</v>
      </c>
      <c r="AM36" s="37">
        <v>0</v>
      </c>
      <c r="AN36" s="34">
        <v>0</v>
      </c>
      <c r="AO36" s="1032">
        <v>0</v>
      </c>
      <c r="AP36" s="88">
        <v>0</v>
      </c>
      <c r="AQ36" s="34">
        <v>0</v>
      </c>
      <c r="AR36"/>
      <c r="AS36" s="34">
        <v>0</v>
      </c>
      <c r="AT36" s="34">
        <v>0</v>
      </c>
      <c r="AU36" s="34">
        <v>0</v>
      </c>
      <c r="AV36" s="88">
        <v>0</v>
      </c>
      <c r="AW36" s="34">
        <v>0</v>
      </c>
      <c r="AX36" s="34">
        <v>0</v>
      </c>
    </row>
    <row r="37" spans="3:53" ht="15">
      <c r="C37">
        <v>286</v>
      </c>
      <c r="D37" t="s">
        <v>406</v>
      </c>
      <c r="E37">
        <v>0</v>
      </c>
      <c r="F37">
        <v>0</v>
      </c>
      <c r="G37">
        <v>0</v>
      </c>
      <c r="H37">
        <v>0</v>
      </c>
      <c r="I37">
        <v>0</v>
      </c>
      <c r="J37">
        <v>0</v>
      </c>
      <c r="K37">
        <v>0</v>
      </c>
      <c r="L37">
        <v>0</v>
      </c>
      <c r="M37">
        <v>0</v>
      </c>
      <c r="N37">
        <v>0</v>
      </c>
      <c r="O37">
        <v>0</v>
      </c>
      <c r="P37">
        <v>41</v>
      </c>
      <c r="Q37" t="s">
        <v>682</v>
      </c>
      <c r="R37" s="1029">
        <v>0</v>
      </c>
      <c r="S37">
        <v>0</v>
      </c>
      <c r="T37" s="1030">
        <v>0</v>
      </c>
      <c r="U37" s="37">
        <v>0</v>
      </c>
      <c r="V37" s="88">
        <v>0</v>
      </c>
      <c r="W37" s="37">
        <v>0</v>
      </c>
      <c r="X37" s="989">
        <v>0</v>
      </c>
      <c r="Y37" s="37">
        <v>0</v>
      </c>
      <c r="Z37" s="37">
        <v>0</v>
      </c>
      <c r="AA37" s="1031">
        <v>0</v>
      </c>
      <c r="AB37" s="34">
        <v>0</v>
      </c>
      <c r="AC37" s="34">
        <v>0</v>
      </c>
      <c r="AD37" s="26">
        <v>0</v>
      </c>
      <c r="AE37" s="1032">
        <v>0</v>
      </c>
      <c r="AF37">
        <v>0</v>
      </c>
      <c r="AG37" s="37">
        <v>0</v>
      </c>
      <c r="AH37" s="37">
        <v>0</v>
      </c>
      <c r="AI37" s="37">
        <v>0</v>
      </c>
      <c r="AJ37" s="1032">
        <v>0</v>
      </c>
      <c r="AK37" s="1033">
        <v>0</v>
      </c>
      <c r="AL37" s="1032">
        <v>0</v>
      </c>
      <c r="AM37" s="37">
        <v>0</v>
      </c>
      <c r="AN37" s="34">
        <v>0</v>
      </c>
      <c r="AO37" s="1032">
        <v>0</v>
      </c>
      <c r="AP37" s="88">
        <v>0</v>
      </c>
      <c r="AQ37" s="34">
        <v>0</v>
      </c>
      <c r="AR37"/>
      <c r="AS37" s="34">
        <v>0</v>
      </c>
      <c r="AT37" s="34">
        <v>0</v>
      </c>
      <c r="AU37" s="34">
        <v>0</v>
      </c>
      <c r="AV37" s="88">
        <v>0</v>
      </c>
      <c r="AW37" s="34">
        <v>0</v>
      </c>
      <c r="AX37" s="34">
        <v>0</v>
      </c>
    </row>
    <row r="38" spans="3:53" ht="15">
      <c r="C38">
        <v>288</v>
      </c>
      <c r="D38" t="s">
        <v>398</v>
      </c>
      <c r="E38">
        <v>0</v>
      </c>
      <c r="F38">
        <v>0</v>
      </c>
      <c r="G38">
        <v>0</v>
      </c>
      <c r="H38">
        <v>0</v>
      </c>
      <c r="I38">
        <v>0</v>
      </c>
      <c r="J38">
        <v>1</v>
      </c>
      <c r="K38">
        <v>0</v>
      </c>
      <c r="L38">
        <v>0</v>
      </c>
      <c r="M38">
        <v>0</v>
      </c>
      <c r="N38">
        <v>1</v>
      </c>
      <c r="O38">
        <v>2</v>
      </c>
      <c r="P38">
        <v>22</v>
      </c>
      <c r="Q38" t="s">
        <v>682</v>
      </c>
      <c r="R38" s="1029">
        <v>0.1615</v>
      </c>
      <c r="S38">
        <v>1</v>
      </c>
      <c r="T38" s="1030">
        <v>1145.24</v>
      </c>
      <c r="U38" s="37">
        <v>0</v>
      </c>
      <c r="V38" s="88">
        <v>128.93</v>
      </c>
      <c r="W38" s="37">
        <v>0</v>
      </c>
      <c r="X38" s="989">
        <v>0</v>
      </c>
      <c r="Y38" s="37">
        <v>0</v>
      </c>
      <c r="Z38" s="37">
        <v>24.91</v>
      </c>
      <c r="AA38" s="1031">
        <v>4476.2396258095459</v>
      </c>
      <c r="AB38" s="34">
        <v>303</v>
      </c>
      <c r="AC38" s="34">
        <v>112.36</v>
      </c>
      <c r="AD38" s="26">
        <v>0</v>
      </c>
      <c r="AE38" s="1032">
        <v>1714.44</v>
      </c>
      <c r="AF38">
        <v>2</v>
      </c>
      <c r="AG38" s="37">
        <v>196.6</v>
      </c>
      <c r="AH38" s="37">
        <v>46.6</v>
      </c>
      <c r="AI38" s="37">
        <v>18.55</v>
      </c>
      <c r="AJ38" s="1032">
        <v>261.75</v>
      </c>
      <c r="AK38" s="1033">
        <v>1542.28</v>
      </c>
      <c r="AL38" s="1032">
        <v>1976.19</v>
      </c>
      <c r="AM38" s="37">
        <v>1573.2</v>
      </c>
      <c r="AN38" s="34">
        <v>-214.44530348687044</v>
      </c>
      <c r="AO38" s="1032">
        <v>1358.7546965131296</v>
      </c>
      <c r="AP38" s="88">
        <v>3335</v>
      </c>
      <c r="AQ38" s="34">
        <v>3335</v>
      </c>
      <c r="AR38"/>
      <c r="AS38" s="34">
        <v>1673.19</v>
      </c>
      <c r="AT38" s="34">
        <v>303</v>
      </c>
      <c r="AU38" s="34">
        <v>0</v>
      </c>
      <c r="AV38" s="88">
        <v>1358.75</v>
      </c>
      <c r="AW38" s="34">
        <v>3335</v>
      </c>
      <c r="AX38" s="34">
        <v>3032</v>
      </c>
    </row>
    <row r="39" spans="3:53" ht="15">
      <c r="C39">
        <v>295</v>
      </c>
      <c r="D39" t="s">
        <v>320</v>
      </c>
      <c r="E39">
        <v>0</v>
      </c>
      <c r="F39">
        <v>0</v>
      </c>
      <c r="G39">
        <v>0</v>
      </c>
      <c r="H39">
        <v>4</v>
      </c>
      <c r="I39">
        <v>0</v>
      </c>
      <c r="J39">
        <v>3</v>
      </c>
      <c r="K39">
        <v>6</v>
      </c>
      <c r="L39">
        <v>3</v>
      </c>
      <c r="M39">
        <v>2</v>
      </c>
      <c r="N39">
        <v>2</v>
      </c>
      <c r="O39">
        <v>20</v>
      </c>
      <c r="P39">
        <v>46</v>
      </c>
      <c r="Q39" t="s">
        <v>682</v>
      </c>
      <c r="R39" s="1029">
        <v>0.1615</v>
      </c>
      <c r="S39">
        <v>7</v>
      </c>
      <c r="T39" s="1030">
        <v>8016.68</v>
      </c>
      <c r="U39" s="37">
        <v>0</v>
      </c>
      <c r="V39" s="88">
        <v>902.51</v>
      </c>
      <c r="W39" s="37">
        <v>0</v>
      </c>
      <c r="X39" s="989">
        <v>4098.93</v>
      </c>
      <c r="Y39" s="37">
        <v>28692.510000000002</v>
      </c>
      <c r="Z39" s="37">
        <v>174.37</v>
      </c>
      <c r="AA39" s="1031">
        <v>46137.666526701527</v>
      </c>
      <c r="AB39" s="34">
        <v>3125</v>
      </c>
      <c r="AC39" s="34">
        <v>3051.44</v>
      </c>
      <c r="AD39" s="26">
        <v>0</v>
      </c>
      <c r="AE39" s="1032">
        <v>43962.510000000009</v>
      </c>
      <c r="AF39">
        <v>20</v>
      </c>
      <c r="AG39" s="37">
        <v>1966</v>
      </c>
      <c r="AH39" s="37">
        <v>466</v>
      </c>
      <c r="AI39" s="37">
        <v>185.49</v>
      </c>
      <c r="AJ39" s="1032">
        <v>2617.4899999999998</v>
      </c>
      <c r="AK39" s="1033">
        <v>40218.070000000007</v>
      </c>
      <c r="AL39" s="1032">
        <v>46580.000000000007</v>
      </c>
      <c r="AM39" s="37">
        <v>11012.4</v>
      </c>
      <c r="AN39" s="34">
        <v>-5592.0949677141616</v>
      </c>
      <c r="AO39" s="1032">
        <v>5420.305032285838</v>
      </c>
      <c r="AP39" s="88">
        <v>52000</v>
      </c>
      <c r="AQ39" s="34">
        <v>7428.5714285714284</v>
      </c>
      <c r="AR39"/>
      <c r="AS39" s="34">
        <v>43455</v>
      </c>
      <c r="AT39" s="34">
        <v>3125</v>
      </c>
      <c r="AU39" s="34">
        <v>0</v>
      </c>
      <c r="AV39" s="88">
        <v>5420.31</v>
      </c>
      <c r="AW39" s="34">
        <v>52000</v>
      </c>
      <c r="AX39" s="34">
        <v>48875</v>
      </c>
      <c r="BA39" s="34">
        <f>AW24+AW42</f>
        <v>2044283</v>
      </c>
    </row>
    <row r="40" spans="3:53" ht="15">
      <c r="C40">
        <v>304</v>
      </c>
      <c r="D40" t="s">
        <v>641</v>
      </c>
      <c r="E40">
        <v>0</v>
      </c>
      <c r="F40">
        <v>0</v>
      </c>
      <c r="G40">
        <v>0</v>
      </c>
      <c r="H40">
        <v>0</v>
      </c>
      <c r="I40">
        <v>0</v>
      </c>
      <c r="J40">
        <v>0</v>
      </c>
      <c r="K40">
        <v>0</v>
      </c>
      <c r="L40">
        <v>0</v>
      </c>
      <c r="M40">
        <v>0</v>
      </c>
      <c r="N40">
        <v>0</v>
      </c>
      <c r="O40">
        <v>0</v>
      </c>
      <c r="P40">
        <v>24</v>
      </c>
      <c r="Q40" t="s">
        <v>682</v>
      </c>
      <c r="R40" s="1029">
        <v>0</v>
      </c>
      <c r="S40">
        <v>0</v>
      </c>
      <c r="T40" s="1030">
        <v>0</v>
      </c>
      <c r="U40" s="37">
        <v>0</v>
      </c>
      <c r="V40" s="88">
        <v>0</v>
      </c>
      <c r="W40" s="37">
        <v>0</v>
      </c>
      <c r="X40" s="989">
        <v>0</v>
      </c>
      <c r="Y40" s="37">
        <v>0</v>
      </c>
      <c r="Z40" s="37">
        <v>0</v>
      </c>
      <c r="AA40" s="1031">
        <v>0</v>
      </c>
      <c r="AB40" s="34">
        <v>0</v>
      </c>
      <c r="AC40" s="34">
        <v>0</v>
      </c>
      <c r="AD40" s="26">
        <v>0</v>
      </c>
      <c r="AE40" s="1032">
        <v>0</v>
      </c>
      <c r="AF40">
        <v>0</v>
      </c>
      <c r="AG40" s="37">
        <v>0</v>
      </c>
      <c r="AH40" s="37">
        <v>0</v>
      </c>
      <c r="AI40" s="37">
        <v>0</v>
      </c>
      <c r="AJ40" s="1032">
        <v>0</v>
      </c>
      <c r="AK40" s="1033">
        <v>0</v>
      </c>
      <c r="AL40" s="1032">
        <v>0</v>
      </c>
      <c r="AM40" s="37">
        <v>0</v>
      </c>
      <c r="AN40" s="34">
        <v>0</v>
      </c>
      <c r="AO40" s="1032">
        <v>0</v>
      </c>
      <c r="AP40" s="88">
        <v>0</v>
      </c>
      <c r="AQ40" s="34">
        <v>0</v>
      </c>
      <c r="AR40"/>
      <c r="AS40" s="34">
        <v>0</v>
      </c>
      <c r="AT40" s="34">
        <v>0</v>
      </c>
      <c r="AU40" s="34">
        <v>0</v>
      </c>
      <c r="AV40" s="88">
        <v>0</v>
      </c>
      <c r="AW40" s="34">
        <v>0</v>
      </c>
      <c r="AX40" s="34">
        <v>0</v>
      </c>
      <c r="BA40">
        <f>BA39*(7/12)</f>
        <v>1192498.4166666667</v>
      </c>
    </row>
    <row r="41" spans="3:53" ht="15">
      <c r="C41">
        <v>305</v>
      </c>
      <c r="D41" t="s">
        <v>404</v>
      </c>
      <c r="E41">
        <v>0</v>
      </c>
      <c r="F41">
        <v>1</v>
      </c>
      <c r="G41">
        <v>0</v>
      </c>
      <c r="H41">
        <v>0</v>
      </c>
      <c r="I41">
        <v>0</v>
      </c>
      <c r="J41">
        <v>0</v>
      </c>
      <c r="K41">
        <v>1</v>
      </c>
      <c r="L41">
        <v>1</v>
      </c>
      <c r="M41">
        <v>0</v>
      </c>
      <c r="N41">
        <v>1</v>
      </c>
      <c r="O41">
        <v>4</v>
      </c>
      <c r="P41">
        <v>18</v>
      </c>
      <c r="Q41" t="s">
        <v>682</v>
      </c>
      <c r="R41" s="1029">
        <v>0.1615</v>
      </c>
      <c r="S41">
        <v>1</v>
      </c>
      <c r="T41" s="1030">
        <v>1145.24</v>
      </c>
      <c r="U41" s="37">
        <v>595.60733700000003</v>
      </c>
      <c r="V41" s="88">
        <v>128.93</v>
      </c>
      <c r="W41" s="37">
        <v>0</v>
      </c>
      <c r="X41" s="989">
        <v>0</v>
      </c>
      <c r="Y41" s="37">
        <v>0</v>
      </c>
      <c r="Z41" s="37">
        <v>24.91</v>
      </c>
      <c r="AA41" s="1031">
        <v>8810.7526881720441</v>
      </c>
      <c r="AB41" s="34">
        <v>597</v>
      </c>
      <c r="AC41" s="34">
        <v>180.21</v>
      </c>
      <c r="AD41" s="26">
        <v>0</v>
      </c>
      <c r="AE41" s="1032">
        <v>2671.8973370000003</v>
      </c>
      <c r="AF41">
        <v>4</v>
      </c>
      <c r="AG41" s="37">
        <v>393.2</v>
      </c>
      <c r="AH41" s="37">
        <v>93.2</v>
      </c>
      <c r="AI41" s="37">
        <v>37.1</v>
      </c>
      <c r="AJ41" s="1032">
        <v>523.5</v>
      </c>
      <c r="AK41" s="1033">
        <v>2381.0873369999999</v>
      </c>
      <c r="AL41" s="1032">
        <v>3195.3973370000003</v>
      </c>
      <c r="AM41" s="37">
        <v>1573.2</v>
      </c>
      <c r="AN41" s="34">
        <v>-331.07671539001285</v>
      </c>
      <c r="AO41" s="1032">
        <v>1242.1232846099872</v>
      </c>
      <c r="AP41" s="88">
        <v>4438</v>
      </c>
      <c r="AQ41" s="34">
        <v>4438</v>
      </c>
      <c r="AR41"/>
      <c r="AS41" s="34">
        <v>2598.4</v>
      </c>
      <c r="AT41" s="34">
        <v>597</v>
      </c>
      <c r="AU41" s="34">
        <v>0</v>
      </c>
      <c r="AV41" s="88">
        <v>1242.1199999999999</v>
      </c>
      <c r="AW41" s="34">
        <v>4438</v>
      </c>
      <c r="AX41" s="34">
        <v>3841</v>
      </c>
    </row>
    <row r="42" spans="3:53">
      <c r="E42" s="1157">
        <f t="shared" ref="E42:AW42" si="1">SUM(E31:E41)</f>
        <v>0</v>
      </c>
      <c r="F42" s="1157">
        <f t="shared" si="1"/>
        <v>3</v>
      </c>
      <c r="G42" s="1157">
        <f t="shared" si="1"/>
        <v>0</v>
      </c>
      <c r="H42" s="1157">
        <f t="shared" si="1"/>
        <v>5</v>
      </c>
      <c r="I42" s="1157">
        <f t="shared" si="1"/>
        <v>2</v>
      </c>
      <c r="J42" s="1157">
        <f t="shared" si="1"/>
        <v>6</v>
      </c>
      <c r="K42" s="1157">
        <f t="shared" si="1"/>
        <v>9</v>
      </c>
      <c r="L42" s="1157">
        <f t="shared" si="1"/>
        <v>6</v>
      </c>
      <c r="M42" s="1157">
        <f t="shared" si="1"/>
        <v>3</v>
      </c>
      <c r="N42" s="1157">
        <f t="shared" si="1"/>
        <v>6</v>
      </c>
      <c r="O42" s="1157">
        <f t="shared" si="1"/>
        <v>40</v>
      </c>
      <c r="P42" s="1157">
        <f t="shared" si="1"/>
        <v>326</v>
      </c>
      <c r="Q42" s="1157">
        <f t="shared" si="1"/>
        <v>0</v>
      </c>
      <c r="R42" s="1157">
        <f t="shared" si="1"/>
        <v>0.8075</v>
      </c>
      <c r="S42" s="1157">
        <f t="shared" si="1"/>
        <v>14</v>
      </c>
      <c r="T42" s="1157">
        <f t="shared" si="1"/>
        <v>16033.36</v>
      </c>
      <c r="U42" s="1157">
        <f t="shared" si="1"/>
        <v>1786.8220110000002</v>
      </c>
      <c r="V42" s="1157">
        <f t="shared" si="1"/>
        <v>1805.0200000000002</v>
      </c>
      <c r="W42" s="1157">
        <f t="shared" si="1"/>
        <v>0</v>
      </c>
      <c r="X42" s="1157">
        <f t="shared" si="1"/>
        <v>4098.93</v>
      </c>
      <c r="Y42" s="1157">
        <f t="shared" si="1"/>
        <v>28692.510000000002</v>
      </c>
      <c r="Z42" s="1157">
        <f t="shared" si="1"/>
        <v>348.74000000000007</v>
      </c>
      <c r="AA42" s="1157">
        <f t="shared" si="1"/>
        <v>89486.349601912938</v>
      </c>
      <c r="AB42" s="1157">
        <f t="shared" si="1"/>
        <v>6061</v>
      </c>
      <c r="AC42" s="1157">
        <f t="shared" si="1"/>
        <v>4036.38</v>
      </c>
      <c r="AD42" s="1157">
        <f t="shared" si="1"/>
        <v>0</v>
      </c>
      <c r="AE42" s="1157">
        <f t="shared" si="1"/>
        <v>58763.832011000013</v>
      </c>
      <c r="AF42" s="1157">
        <f t="shared" si="1"/>
        <v>40</v>
      </c>
      <c r="AG42" s="1157">
        <f t="shared" si="1"/>
        <v>3931.9999999999995</v>
      </c>
      <c r="AH42" s="1157">
        <f t="shared" si="1"/>
        <v>932.00000000000011</v>
      </c>
      <c r="AI42" s="1157">
        <f t="shared" si="1"/>
        <v>370.99</v>
      </c>
      <c r="AJ42" s="1157">
        <f t="shared" si="1"/>
        <v>5234.99</v>
      </c>
      <c r="AK42" s="1157">
        <f t="shared" si="1"/>
        <v>53530.452011000001</v>
      </c>
      <c r="AL42" s="1157">
        <f t="shared" si="1"/>
        <v>63998.822011000011</v>
      </c>
      <c r="AM42" s="1157">
        <f t="shared" si="1"/>
        <v>22024.799999999999</v>
      </c>
      <c r="AN42" s="1157">
        <f t="shared" si="1"/>
        <v>-7443.1063278316815</v>
      </c>
      <c r="AO42" s="1157">
        <f t="shared" si="1"/>
        <v>14581.693672168318</v>
      </c>
      <c r="AP42" s="1157">
        <f t="shared" si="1"/>
        <v>78581</v>
      </c>
      <c r="AQ42" s="1157">
        <f t="shared" si="1"/>
        <v>22808.404761904763</v>
      </c>
      <c r="AR42" s="1157">
        <f t="shared" si="1"/>
        <v>0</v>
      </c>
      <c r="AS42" s="1157">
        <f t="shared" si="1"/>
        <v>57937.82</v>
      </c>
      <c r="AT42" s="1157">
        <f t="shared" si="1"/>
        <v>6061</v>
      </c>
      <c r="AU42" s="1157">
        <f t="shared" si="1"/>
        <v>0</v>
      </c>
      <c r="AV42" s="1157">
        <f t="shared" si="1"/>
        <v>14581.689999999999</v>
      </c>
      <c r="AW42" s="1157">
        <f t="shared" si="1"/>
        <v>78581</v>
      </c>
      <c r="AX42" s="1157">
        <f>SUM(AX31:AX41)</f>
        <v>72520</v>
      </c>
    </row>
    <row r="73" spans="3:21" ht="15">
      <c r="C73" s="1036"/>
      <c r="D73" s="1036"/>
      <c r="E73" s="1036"/>
      <c r="F73" s="1036"/>
      <c r="G73" s="1036"/>
      <c r="H73" s="1036"/>
      <c r="I73" s="1036"/>
      <c r="J73" s="1036"/>
      <c r="K73" s="1036"/>
      <c r="L73" s="1036"/>
      <c r="M73" s="1036"/>
      <c r="N73" s="1036"/>
      <c r="O73" s="1036"/>
      <c r="P73" s="1036"/>
      <c r="Q73" s="1036"/>
      <c r="R73" s="1036"/>
      <c r="S73" s="1036"/>
      <c r="T73" s="1036"/>
      <c r="U73" s="1037"/>
    </row>
    <row r="74" spans="3:21" ht="15">
      <c r="C74" s="1036"/>
      <c r="D74" s="1036"/>
      <c r="E74" s="1036"/>
      <c r="F74" s="1036"/>
      <c r="G74" s="1036"/>
      <c r="H74" s="1036"/>
      <c r="I74" s="1036"/>
      <c r="J74" s="1036"/>
      <c r="K74" s="1036"/>
      <c r="L74" s="1036"/>
      <c r="M74" s="1036"/>
      <c r="N74" s="1036"/>
      <c r="O74" s="1036"/>
      <c r="P74" s="1036"/>
      <c r="Q74" s="1036"/>
      <c r="R74" s="1036"/>
      <c r="S74" s="1036"/>
      <c r="T74" s="1036"/>
      <c r="U74" s="1037"/>
    </row>
  </sheetData>
  <mergeCells count="4">
    <mergeCell ref="AF10:AJ10"/>
    <mergeCell ref="AM10:AO10"/>
    <mergeCell ref="AD29:AH29"/>
    <mergeCell ref="AK29:AM29"/>
  </mergeCell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D0E4A5"/>
  </sheetPr>
  <dimension ref="A1:H25"/>
  <sheetViews>
    <sheetView workbookViewId="0"/>
  </sheetViews>
  <sheetFormatPr baseColWidth="10" defaultColWidth="9" defaultRowHeight="14"/>
  <cols>
    <col min="1" max="1" width="22.19921875" customWidth="1"/>
    <col min="2" max="2" width="26" customWidth="1"/>
    <col min="3" max="3" width="18.3984375" customWidth="1"/>
    <col min="4" max="4" width="14.19921875" customWidth="1"/>
    <col min="5" max="5" width="17.796875" customWidth="1"/>
    <col min="6" max="6" width="14.19921875" customWidth="1"/>
    <col min="7" max="7" width="14" bestFit="1" customWidth="1"/>
    <col min="8" max="8" width="15.3984375" bestFit="1" customWidth="1"/>
  </cols>
  <sheetData>
    <row r="1" spans="1:8" ht="16">
      <c r="A1" s="495" t="s">
        <v>736</v>
      </c>
      <c r="B1" s="72"/>
      <c r="C1" s="72"/>
    </row>
    <row r="2" spans="1:8">
      <c r="A2" s="72"/>
      <c r="B2" s="72"/>
      <c r="C2" s="1070">
        <v>1</v>
      </c>
      <c r="D2" t="s">
        <v>737</v>
      </c>
    </row>
    <row r="3" spans="1:8">
      <c r="A3" s="72"/>
      <c r="B3" s="72"/>
      <c r="C3" s="1071">
        <v>1.4999999999999999E-2</v>
      </c>
      <c r="D3" t="s">
        <v>738</v>
      </c>
    </row>
    <row r="4" spans="1:8" ht="15">
      <c r="A4" s="72"/>
      <c r="B4" s="72"/>
      <c r="C4" s="1072"/>
      <c r="E4" s="1073"/>
      <c r="F4" s="1073"/>
      <c r="G4" s="1073"/>
      <c r="H4" s="1073"/>
    </row>
    <row r="5" spans="1:8" ht="101.75" customHeight="1">
      <c r="A5" s="1074" t="s">
        <v>739</v>
      </c>
      <c r="B5" s="1074" t="s">
        <v>286</v>
      </c>
      <c r="C5" s="1075" t="s">
        <v>740</v>
      </c>
      <c r="D5" s="1075" t="s">
        <v>741</v>
      </c>
      <c r="E5" s="1075" t="s">
        <v>742</v>
      </c>
      <c r="F5" s="1075" t="s">
        <v>743</v>
      </c>
      <c r="G5" s="1075" t="s">
        <v>744</v>
      </c>
      <c r="H5" s="1075" t="s">
        <v>745</v>
      </c>
    </row>
    <row r="6" spans="1:8">
      <c r="A6">
        <v>261</v>
      </c>
      <c r="B6" t="s">
        <v>733</v>
      </c>
      <c r="D6" s="1077">
        <f t="shared" ref="D6:D17" ca="1" si="0">E6-((E6*$C$2)*$C$3)</f>
        <v>3178397.0150000001</v>
      </c>
      <c r="E6" s="1076">
        <f ca="1">INDEX('FNSS Summary Breakdown'!$AZ$11:$AZ$21,MATCH(A6,Table31[Band '#],0))+INDEX('FNSS Summary Breakdown'!$BA$11:$BA$21,MATCH(A6,Table31[Band '#],0))</f>
        <v>3226799</v>
      </c>
      <c r="F6" s="1077"/>
      <c r="G6" s="1077" t="e">
        <f>ROUND(IF(#REF!=0,0,IF(#REF!&lt;D6,D6-#REF!,0)),0)</f>
        <v>#REF!</v>
      </c>
      <c r="H6" s="1077" t="e">
        <f>G6+#REF!</f>
        <v>#REF!</v>
      </c>
    </row>
    <row r="7" spans="1:8">
      <c r="A7">
        <v>267</v>
      </c>
      <c r="B7" t="s">
        <v>392</v>
      </c>
      <c r="D7" s="1077">
        <f t="shared" ca="1" si="0"/>
        <v>4277668.835</v>
      </c>
      <c r="E7" s="1076">
        <f ca="1">INDEX('FNSS Summary Breakdown'!$AZ$11:$AZ$21,MATCH(A7,Table31[Band '#],0))+INDEX('FNSS Summary Breakdown'!$BA$11:$BA$21,MATCH(A7,Table31[Band '#],0))</f>
        <v>4342811</v>
      </c>
      <c r="F7" s="1077"/>
      <c r="G7" s="1077" t="e">
        <f>ROUND(IF(#REF!=0,0,IF(#REF!&lt;D7,D7-#REF!,0)),0)</f>
        <v>#REF!</v>
      </c>
      <c r="H7" s="1077" t="e">
        <f>G7+#REF!</f>
        <v>#REF!</v>
      </c>
    </row>
    <row r="8" spans="1:8">
      <c r="A8">
        <v>271</v>
      </c>
      <c r="B8" t="s">
        <v>396</v>
      </c>
      <c r="D8" s="1077">
        <f t="shared" ca="1" si="0"/>
        <v>6103555.4550000001</v>
      </c>
      <c r="E8" s="1076">
        <f ca="1">INDEX('FNSS Summary Breakdown'!$AZ$11:$AZ$21,MATCH(A8,Table31[Band '#],0))+INDEX('FNSS Summary Breakdown'!$BA$11:$BA$21,MATCH(A8,Table31[Band '#],0))</f>
        <v>6196503</v>
      </c>
      <c r="F8" s="1077"/>
      <c r="G8" s="1077" t="e">
        <f>ROUND(IF(#REF!=0,0,IF(#REF!&lt;D8,D8-#REF!,0)),0)</f>
        <v>#REF!</v>
      </c>
      <c r="H8" s="1077" t="e">
        <f>G8+#REF!</f>
        <v>#REF!</v>
      </c>
    </row>
    <row r="9" spans="1:8">
      <c r="A9">
        <v>272</v>
      </c>
      <c r="B9" t="s">
        <v>734</v>
      </c>
      <c r="D9" s="1077">
        <f t="shared" ca="1" si="0"/>
        <v>8068402.9199999999</v>
      </c>
      <c r="E9" s="1076">
        <f ca="1">INDEX('FNSS Summary Breakdown'!$AZ$11:$AZ$21,MATCH(A9,Table31[Band '#],0))+INDEX('FNSS Summary Breakdown'!$BA$11:$BA$21,MATCH(A9,Table31[Band '#],0))</f>
        <v>8191272</v>
      </c>
      <c r="F9" s="1077"/>
      <c r="G9" s="1077" t="e">
        <f>ROUND(IF(#REF!=0,0,IF(#REF!&lt;D9,D9-#REF!,0)),0)</f>
        <v>#REF!</v>
      </c>
      <c r="H9" s="1077" t="e">
        <f>G9+#REF!</f>
        <v>#REF!</v>
      </c>
    </row>
    <row r="10" spans="1:8">
      <c r="A10">
        <v>273</v>
      </c>
      <c r="B10" t="s">
        <v>735</v>
      </c>
      <c r="D10" s="1077">
        <f t="shared" ca="1" si="0"/>
        <v>2973006.7850000001</v>
      </c>
      <c r="E10" s="1076">
        <f ca="1">INDEX('FNSS Summary Breakdown'!$AZ$11:$AZ$21,MATCH(A10,Table31[Band '#],0))+INDEX('FNSS Summary Breakdown'!$BA$11:$BA$21,MATCH(A10,Table31[Band '#],0))</f>
        <v>3018281</v>
      </c>
      <c r="F10" s="1077"/>
      <c r="G10" s="1077" t="e">
        <f>ROUND(IF(#REF!=0,0,IF(#REF!&lt;D10,D10-#REF!,0)),0)</f>
        <v>#REF!</v>
      </c>
      <c r="H10" s="1077" t="e">
        <f>G10+#REF!</f>
        <v>#REF!</v>
      </c>
    </row>
    <row r="11" spans="1:8">
      <c r="A11">
        <v>275</v>
      </c>
      <c r="B11" t="s">
        <v>390</v>
      </c>
      <c r="D11" s="1077">
        <f t="shared" ca="1" si="0"/>
        <v>7954114.3550000004</v>
      </c>
      <c r="E11" s="1076">
        <f ca="1">INDEX('FNSS Summary Breakdown'!$AZ$11:$AZ$21,MATCH(A11,Table31[Band '#],0))+INDEX('FNSS Summary Breakdown'!$BA$11:$BA$21,MATCH(A11,Table31[Band '#],0))</f>
        <v>8075243</v>
      </c>
      <c r="F11" s="1077"/>
      <c r="G11" s="1077" t="e">
        <f>ROUND(IF(#REF!=0,0,IF(#REF!&lt;D11,D11-#REF!,0)),0)</f>
        <v>#REF!</v>
      </c>
      <c r="H11" s="1077" t="e">
        <f>G11+#REF!</f>
        <v>#REF!</v>
      </c>
    </row>
    <row r="12" spans="1:8" ht="13.25" customHeight="1">
      <c r="A12">
        <v>286</v>
      </c>
      <c r="B12" t="s">
        <v>406</v>
      </c>
      <c r="D12" s="1077">
        <f t="shared" ca="1" si="0"/>
        <v>1908102.6</v>
      </c>
      <c r="E12" s="1076">
        <f ca="1">INDEX('FNSS Summary Breakdown'!$AZ$11:$AZ$21,MATCH(A12,Table31[Band '#],0))+INDEX('FNSS Summary Breakdown'!$BA$11:$BA$21,MATCH(A12,Table31[Band '#],0))</f>
        <v>1937160</v>
      </c>
      <c r="F12" s="1077"/>
      <c r="G12" s="1077" t="e">
        <f>ROUND(IF(#REF!=0,0,IF(#REF!&lt;D12,D12-#REF!,0)),0)</f>
        <v>#REF!</v>
      </c>
      <c r="H12" s="1077" t="e">
        <f>G12+#REF!</f>
        <v>#REF!</v>
      </c>
    </row>
    <row r="13" spans="1:8">
      <c r="A13">
        <v>288</v>
      </c>
      <c r="B13" t="s">
        <v>398</v>
      </c>
      <c r="D13" s="1077">
        <f t="shared" ca="1" si="0"/>
        <v>1746911.29</v>
      </c>
      <c r="E13" s="1076">
        <f ca="1">INDEX('FNSS Summary Breakdown'!$AZ$11:$AZ$21,MATCH(A13,Table31[Band '#],0))+INDEX('FNSS Summary Breakdown'!$BA$11:$BA$21,MATCH(A13,Table31[Band '#],0))</f>
        <v>1773514</v>
      </c>
      <c r="F13" s="1077"/>
      <c r="G13" s="1077" t="e">
        <f>ROUND(IF(#REF!=0,0,IF(#REF!&lt;D13,D13-#REF!,0)),0)</f>
        <v>#REF!</v>
      </c>
      <c r="H13" s="1077" t="e">
        <f>G13+#REF!</f>
        <v>#REF!</v>
      </c>
    </row>
    <row r="14" spans="1:8">
      <c r="A14">
        <v>295</v>
      </c>
      <c r="B14" t="s">
        <v>320</v>
      </c>
      <c r="D14" s="1077">
        <f t="shared" ca="1" si="0"/>
        <v>922479.09499999997</v>
      </c>
      <c r="E14" s="1076">
        <f ca="1">INDEX('FNSS Summary Breakdown'!$AZ$11:$AZ$21,MATCH(A14,Table31[Band '#],0))+INDEX('FNSS Summary Breakdown'!$BA$11:$BA$21,MATCH(A14,Table31[Band '#],0))</f>
        <v>936527</v>
      </c>
      <c r="F14" s="1077"/>
      <c r="G14" s="1077" t="e">
        <f>ROUND(IF(#REF!=0,0,IF(#REF!&lt;D14,D14-#REF!,0)),0)</f>
        <v>#REF!</v>
      </c>
      <c r="H14" s="1077" t="e">
        <f>G14+#REF!</f>
        <v>#REF!</v>
      </c>
    </row>
    <row r="15" spans="1:8">
      <c r="A15">
        <v>304</v>
      </c>
      <c r="B15" t="s">
        <v>641</v>
      </c>
      <c r="D15" s="1077">
        <f t="shared" ca="1" si="0"/>
        <v>3132871.3</v>
      </c>
      <c r="E15" s="1076">
        <f ca="1">INDEX('FNSS Summary Breakdown'!$AZ$11:$AZ$21,MATCH(A15,Table31[Band '#],0))+INDEX('FNSS Summary Breakdown'!$BA$11:$BA$21,MATCH(A15,Table31[Band '#],0))</f>
        <v>3180580</v>
      </c>
      <c r="F15" s="1077"/>
      <c r="G15" s="1077" t="e">
        <f>ROUND(IF(#REF!=0,0,IF(#REF!&lt;D15,D15-#REF!,0)),0)</f>
        <v>#REF!</v>
      </c>
      <c r="H15" s="1077" t="e">
        <f>G15+#REF!</f>
        <v>#REF!</v>
      </c>
    </row>
    <row r="16" spans="1:8">
      <c r="A16">
        <v>305</v>
      </c>
      <c r="B16" t="s">
        <v>404</v>
      </c>
      <c r="D16" s="1077">
        <f t="shared" ca="1" si="0"/>
        <v>963789.01</v>
      </c>
      <c r="E16" s="1076">
        <f ca="1">INDEX('FNSS Summary Breakdown'!$AZ$11:$AZ$21,MATCH(A16,Table31[Band '#],0))+INDEX('FNSS Summary Breakdown'!$BA$11:$BA$21,MATCH(A16,Table31[Band '#],0))</f>
        <v>978466</v>
      </c>
      <c r="F16" s="1077"/>
      <c r="G16" s="1077" t="e">
        <f>ROUND(IF(#REF!=0,0,IF(#REF!&lt;D16,D16-#REF!,0)),0)</f>
        <v>#REF!</v>
      </c>
      <c r="H16" s="1077" t="e">
        <f>G16+#REF!</f>
        <v>#REF!</v>
      </c>
    </row>
    <row r="17" spans="1:8">
      <c r="A17">
        <v>3548</v>
      </c>
      <c r="B17" t="s">
        <v>746</v>
      </c>
      <c r="D17" s="1077">
        <f t="shared" ca="1" si="0"/>
        <v>41762437.789999999</v>
      </c>
      <c r="E17" s="1076">
        <f ca="1">SUM($E$6:$E$16)+'FNSS Summary Breakdown'!AZ22</f>
        <v>42398414</v>
      </c>
      <c r="F17" s="1077"/>
      <c r="G17" s="1077" t="e">
        <f>ROUND(IF(#REF!=0,0,IF(#REF!&lt;D17,D17-#REF!,0)),0)</f>
        <v>#REF!</v>
      </c>
      <c r="H17" s="1077" t="e">
        <f>G17+#REF!</f>
        <v>#REF!</v>
      </c>
    </row>
    <row r="21" spans="1:8">
      <c r="E21" s="1706" t="s">
        <v>747</v>
      </c>
      <c r="F21" s="1706"/>
      <c r="G21" s="1706"/>
      <c r="H21" s="1706"/>
    </row>
    <row r="22" spans="1:8">
      <c r="E22" s="1706"/>
      <c r="F22" s="1706"/>
      <c r="G22" s="1706"/>
      <c r="H22" s="1706"/>
    </row>
    <row r="23" spans="1:8">
      <c r="E23" s="1706"/>
      <c r="F23" s="1706"/>
      <c r="G23" s="1706"/>
      <c r="H23" s="1706"/>
    </row>
    <row r="24" spans="1:8">
      <c r="E24" s="1706"/>
      <c r="F24" s="1706"/>
      <c r="G24" s="1706"/>
      <c r="H24" s="1706"/>
    </row>
    <row r="25" spans="1:8">
      <c r="E25" s="1706"/>
      <c r="F25" s="1706"/>
      <c r="G25" s="1706"/>
      <c r="H25" s="1706"/>
    </row>
  </sheetData>
  <mergeCells count="1">
    <mergeCell ref="E21:H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3:G24"/>
  <sheetViews>
    <sheetView workbookViewId="0">
      <selection activeCell="A4" sqref="A4"/>
    </sheetView>
  </sheetViews>
  <sheetFormatPr baseColWidth="10" defaultColWidth="9" defaultRowHeight="14"/>
  <cols>
    <col min="2" max="2" width="18.3984375" customWidth="1"/>
    <col min="4" max="4" width="34.796875" customWidth="1"/>
    <col min="5" max="5" width="15.59765625" customWidth="1"/>
    <col min="6" max="6" width="18.19921875" customWidth="1"/>
  </cols>
  <sheetData>
    <row r="3" spans="1:7">
      <c r="A3" t="s">
        <v>325</v>
      </c>
    </row>
    <row r="4" spans="1:7" ht="19">
      <c r="A4" s="33" t="s">
        <v>241</v>
      </c>
    </row>
    <row r="5" spans="1:7">
      <c r="A5" s="1637" t="s">
        <v>748</v>
      </c>
      <c r="B5" s="1638"/>
      <c r="C5" s="1638"/>
      <c r="D5" s="1638"/>
      <c r="E5" s="1638"/>
      <c r="F5" s="1638"/>
      <c r="G5" s="1639"/>
    </row>
    <row r="6" spans="1:7">
      <c r="A6" s="1640" t="s">
        <v>327</v>
      </c>
      <c r="B6" s="1641"/>
      <c r="C6" s="1641"/>
      <c r="D6" s="1641"/>
      <c r="E6" s="1641"/>
      <c r="F6" s="1641"/>
      <c r="G6" s="1642"/>
    </row>
    <row r="8" spans="1:7">
      <c r="A8" s="1195" t="s">
        <v>328</v>
      </c>
      <c r="B8" s="1196">
        <v>2686.95</v>
      </c>
    </row>
    <row r="9" spans="1:7">
      <c r="A9" s="145"/>
    </row>
    <row r="10" spans="1:7" ht="15">
      <c r="A10" s="2"/>
      <c r="B10" s="2"/>
      <c r="C10" s="2"/>
      <c r="D10" s="2"/>
    </row>
    <row r="11" spans="1:7">
      <c r="A11" s="109" t="s">
        <v>285</v>
      </c>
      <c r="B11" s="109" t="s">
        <v>286</v>
      </c>
      <c r="C11" s="109" t="s">
        <v>330</v>
      </c>
      <c r="D11" s="109" t="s">
        <v>331</v>
      </c>
      <c r="E11" s="110" t="s">
        <v>332</v>
      </c>
      <c r="F11" s="744" t="s">
        <v>749</v>
      </c>
    </row>
    <row r="12" spans="1:7">
      <c r="A12">
        <f>'A. 20-21 FN Schools Data'!A7</f>
        <v>272</v>
      </c>
      <c r="B12" t="str">
        <f>'A. 20-21 FN Schools Data'!B7</f>
        <v>Pinaymootang</v>
      </c>
      <c r="C12">
        <f>'A. 20-21 FN Schools Data'!C7</f>
        <v>1140</v>
      </c>
      <c r="D12" t="str">
        <f>'A. 20-21 FN Schools Data'!D7</f>
        <v>Pinaymootang School</v>
      </c>
      <c r="E12" s="1">
        <f>INDEX(TableAFNSchools[Total Funded FTE],MATCH(Table151[[#This Row],[School '#]],TableAFNSchools[School No.],0))</f>
        <v>435</v>
      </c>
      <c r="F12" s="706">
        <f>ROUND(Table151[[#This Row],[Eligible FTE]]*$B$8,0)</f>
        <v>1168823</v>
      </c>
    </row>
    <row r="13" spans="1:7">
      <c r="A13">
        <f>'A. 20-21 FN Schools Data'!A8</f>
        <v>275</v>
      </c>
      <c r="B13" t="str">
        <f>'A. 20-21 FN Schools Data'!B8</f>
        <v>Lake St. Martin</v>
      </c>
      <c r="C13">
        <f>'A. 20-21 FN Schools Data'!C8</f>
        <v>1144</v>
      </c>
      <c r="D13" t="str">
        <f>'A. 20-21 FN Schools Data'!D8</f>
        <v>Lake St. Martin School</v>
      </c>
      <c r="E13" s="80">
        <f>INDEX(TableAFNSchools[Total Funded FTE],MATCH(Table151[[#This Row],[School '#]],TableAFNSchools[School No.],0))</f>
        <v>398</v>
      </c>
      <c r="F13" s="745">
        <f>ROUND(Table151[[#This Row],[Eligible FTE]]*$B$8,0)</f>
        <v>1069406</v>
      </c>
    </row>
    <row r="14" spans="1:7">
      <c r="A14">
        <f>'A. 20-21 FN Schools Data'!A9</f>
        <v>267</v>
      </c>
      <c r="B14" t="str">
        <f>'A. 20-21 FN Schools Data'!B9</f>
        <v>Bloodvein</v>
      </c>
      <c r="C14">
        <f>'A. 20-21 FN Schools Data'!C9</f>
        <v>1148</v>
      </c>
      <c r="D14" t="str">
        <f>'A. 20-21 FN Schools Data'!D9</f>
        <v>Miskooseepi School</v>
      </c>
      <c r="E14" s="1">
        <f>INDEX(TableAFNSchools[Total Funded FTE],MATCH(Table151[[#This Row],[School '#]],TableAFNSchools[School No.],0))</f>
        <v>194</v>
      </c>
      <c r="F14" s="706">
        <f>ROUND(Table151[[#This Row],[Eligible FTE]]*$B$8,0)</f>
        <v>521268</v>
      </c>
    </row>
    <row r="15" spans="1:7">
      <c r="A15">
        <f>'A. 20-21 FN Schools Data'!A10</f>
        <v>304</v>
      </c>
      <c r="B15" t="str">
        <f>'A. 20-21 FN Schools Data'!B10</f>
        <v>York Factory</v>
      </c>
      <c r="C15">
        <f>'A. 20-21 FN Schools Data'!C10</f>
        <v>1166</v>
      </c>
      <c r="D15" t="str">
        <f>'A. 20-21 FN Schools Data'!D10</f>
        <v>George Saunders Memorial School</v>
      </c>
      <c r="E15" s="1">
        <f>INDEX(TableAFNSchools[Total Funded FTE],MATCH(Table151[[#This Row],[School '#]],TableAFNSchools[School No.],0))</f>
        <v>142</v>
      </c>
      <c r="F15" s="706">
        <f>ROUND(Table151[[#This Row],[Eligible FTE]]*$B$8,0)</f>
        <v>381547</v>
      </c>
    </row>
    <row r="16" spans="1:7">
      <c r="A16">
        <f>'A. 20-21 FN Schools Data'!A11</f>
        <v>271</v>
      </c>
      <c r="B16" t="str">
        <f>'A. 20-21 FN Schools Data'!B11</f>
        <v>Lake Manitoba</v>
      </c>
      <c r="C16">
        <f>'A. 20-21 FN Schools Data'!C11</f>
        <v>1345</v>
      </c>
      <c r="D16" t="str">
        <f>'A. 20-21 FN Schools Data'!D11</f>
        <v>Lake Manitoba School</v>
      </c>
      <c r="E16" s="1">
        <f>INDEX(TableAFNSchools[Total Funded FTE],MATCH(Table151[[#This Row],[School '#]],TableAFNSchools[School No.],0))</f>
        <v>303</v>
      </c>
      <c r="F16" s="706">
        <f>ROUND(Table151[[#This Row],[Eligible FTE]]*$B$8,0)</f>
        <v>814146</v>
      </c>
    </row>
    <row r="17" spans="1:6">
      <c r="A17">
        <f>'A. 20-21 FN Schools Data'!A12</f>
        <v>295</v>
      </c>
      <c r="B17" t="str">
        <f>'A. 20-21 FN Schools Data'!B12</f>
        <v>Dakota Tipi</v>
      </c>
      <c r="C17">
        <f>'A. 20-21 FN Schools Data'!C12</f>
        <v>1350</v>
      </c>
      <c r="D17" t="str">
        <f>'A. 20-21 FN Schools Data'!D12</f>
        <v>Dakota Tipi School</v>
      </c>
      <c r="E17" s="1">
        <f>INDEX(TableAFNSchools[Total Funded FTE],MATCH(Table151[[#This Row],[School '#]],TableAFNSchools[School No.],0))</f>
        <v>41</v>
      </c>
      <c r="F17" s="706">
        <f>ROUND(Table151[[#This Row],[Eligible FTE]]*$B$8,0)</f>
        <v>110165</v>
      </c>
    </row>
    <row r="18" spans="1:6">
      <c r="A18">
        <f>'A. 20-21 FN Schools Data'!A13</f>
        <v>288</v>
      </c>
      <c r="B18" t="str">
        <f>'A. 20-21 FN Schools Data'!B13</f>
        <v>Dakota Plains</v>
      </c>
      <c r="C18">
        <f>'A. 20-21 FN Schools Data'!C13</f>
        <v>1486</v>
      </c>
      <c r="D18" t="str">
        <f>'A. 20-21 FN Schools Data'!D13</f>
        <v>Mahpiya Hdega School</v>
      </c>
      <c r="E18" s="1">
        <f>INDEX(TableAFNSchools[Total Funded FTE],MATCH(Table151[[#This Row],[School '#]],TableAFNSchools[School No.],0))</f>
        <v>86</v>
      </c>
      <c r="F18" s="706">
        <f>ROUND(Table151[[#This Row],[Eligible FTE]]*$B$8,0)</f>
        <v>231078</v>
      </c>
    </row>
    <row r="19" spans="1:6">
      <c r="A19">
        <f>'A. 20-21 FN Schools Data'!A14</f>
        <v>261</v>
      </c>
      <c r="B19" t="str">
        <f>'A. 20-21 FN Schools Data'!B14</f>
        <v>Brokenhead</v>
      </c>
      <c r="C19">
        <f>'A. 20-21 FN Schools Data'!C14</f>
        <v>1756</v>
      </c>
      <c r="D19" t="str">
        <f>'A. 20-21 FN Schools Data'!D14</f>
        <v>Sergeant Tommy Prince School</v>
      </c>
      <c r="E19" s="1">
        <f>INDEX(TableAFNSchools[Total Funded FTE],MATCH(Table151[[#This Row],[School '#]],TableAFNSchools[School No.],0))</f>
        <v>123</v>
      </c>
      <c r="F19" s="706">
        <f>ROUND(Table151[[#This Row],[Eligible FTE]]*$B$8,0)</f>
        <v>330495</v>
      </c>
    </row>
    <row r="20" spans="1:6">
      <c r="A20">
        <f>'A. 20-21 FN Schools Data'!A15</f>
        <v>273</v>
      </c>
      <c r="B20" t="str">
        <f>'A. 20-21 FN Schools Data'!B15</f>
        <v>Roseau River</v>
      </c>
      <c r="C20">
        <f>'A. 20-21 FN Schools Data'!C15</f>
        <v>5717</v>
      </c>
      <c r="D20" t="str">
        <f>'A. 20-21 FN Schools Data'!D15</f>
        <v>Ginew School</v>
      </c>
      <c r="E20" s="1">
        <f>INDEX(TableAFNSchools[Total Funded FTE],MATCH(Table151[[#This Row],[School '#]],TableAFNSchools[School No.],0))</f>
        <v>153</v>
      </c>
      <c r="F20" s="706">
        <f>ROUND(Table151[[#This Row],[Eligible FTE]]*$B$8,0)</f>
        <v>411103</v>
      </c>
    </row>
    <row r="21" spans="1:6">
      <c r="A21">
        <f>'A. 20-21 FN Schools Data'!A16</f>
        <v>305</v>
      </c>
      <c r="B21" t="str">
        <f>'A. 20-21 FN Schools Data'!B16</f>
        <v>Fox Lake</v>
      </c>
      <c r="C21">
        <f>'A. 20-21 FN Schools Data'!C16</f>
        <v>6413</v>
      </c>
      <c r="D21" t="str">
        <f>'A. 20-21 FN Schools Data'!D16</f>
        <v>Fox Lake School</v>
      </c>
      <c r="E21" s="1">
        <f>INDEX(TableAFNSchools[Total Funded FTE],MATCH(Table151[[#This Row],[School '#]],TableAFNSchools[School No.],0))</f>
        <v>27</v>
      </c>
      <c r="F21" s="745">
        <f>ROUND(Table151[[#This Row],[Eligible FTE]]*$B$8,0)</f>
        <v>72548</v>
      </c>
    </row>
    <row r="22" spans="1:6">
      <c r="A22">
        <f>'A. 20-21 FN Schools Data'!A17</f>
        <v>286</v>
      </c>
      <c r="B22" t="str">
        <f>'A. 20-21 FN Schools Data'!B17</f>
        <v>Keeseekoowenin</v>
      </c>
      <c r="C22">
        <f>'A. 20-21 FN Schools Data'!C17</f>
        <v>8990</v>
      </c>
      <c r="D22" t="str">
        <f>'A. 20-21 FN Schools Data'!D17</f>
        <v>Keeseekoowenin School</v>
      </c>
      <c r="E22" s="1">
        <f>INDEX(TableAFNSchools[Total Funded FTE],MATCH(Table151[[#This Row],[School '#]],TableAFNSchools[School No.],0))</f>
        <v>99</v>
      </c>
      <c r="F22" s="706">
        <f>ROUND(Table151[[#This Row],[Eligible FTE]]*$B$8,0)</f>
        <v>266008</v>
      </c>
    </row>
    <row r="23" spans="1:6">
      <c r="A23">
        <f>'A. 20-21 FN Schools Data'!A18</f>
        <v>261</v>
      </c>
      <c r="B23" t="str">
        <f>'A. 20-21 FN Schools Data'!B18</f>
        <v>Brokenhead</v>
      </c>
      <c r="C23">
        <f>'A. 20-21 FN Schools Data'!C18</f>
        <v>50250</v>
      </c>
      <c r="D23" t="str">
        <f>'A. 20-21 FN Schools Data'!D18</f>
        <v>Brokenhead Ojibway Nation Adult Learning Centre</v>
      </c>
      <c r="E23" s="1">
        <f>INDEX(TableAFNSchools[Total Funded FTE],MATCH(Table151[[#This Row],[School '#]],TableAFNSchools[School No.],0))</f>
        <v>25</v>
      </c>
      <c r="F23" s="706">
        <f>ROUND(Table151[[#This Row],[Eligible FTE]]*$B$8,0)</f>
        <v>67174</v>
      </c>
    </row>
    <row r="24" spans="1:6">
      <c r="A24" s="76" t="s">
        <v>72</v>
      </c>
      <c r="C24" s="76"/>
      <c r="E24" s="1197">
        <f>SUBTOTAL(109,Table151[Eligible FTE])</f>
        <v>2026</v>
      </c>
      <c r="F24" s="1276">
        <f>SUBTOTAL(109,Table151[TOTAL TAX BASE])</f>
        <v>5443761</v>
      </c>
    </row>
  </sheetData>
  <mergeCells count="2">
    <mergeCell ref="A5:G5"/>
    <mergeCell ref="A6:G6"/>
  </mergeCells>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3:G24"/>
  <sheetViews>
    <sheetView workbookViewId="0"/>
  </sheetViews>
  <sheetFormatPr baseColWidth="10" defaultColWidth="9" defaultRowHeight="14"/>
  <cols>
    <col min="2" max="2" width="17.796875" customWidth="1"/>
    <col min="4" max="4" width="33.796875" customWidth="1"/>
    <col min="5" max="5" width="13.19921875" customWidth="1"/>
    <col min="6" max="6" width="20.3984375" customWidth="1"/>
  </cols>
  <sheetData>
    <row r="3" spans="1:7">
      <c r="A3" t="s">
        <v>325</v>
      </c>
    </row>
    <row r="4" spans="1:7" ht="19">
      <c r="A4" s="33" t="s">
        <v>243</v>
      </c>
    </row>
    <row r="5" spans="1:7">
      <c r="A5" s="1707" t="s">
        <v>750</v>
      </c>
      <c r="B5" s="1708"/>
      <c r="C5" s="1708"/>
      <c r="D5" s="1708"/>
      <c r="E5" s="1708"/>
      <c r="F5" s="1708"/>
      <c r="G5" s="1709"/>
    </row>
    <row r="6" spans="1:7">
      <c r="A6" s="1710" t="s">
        <v>327</v>
      </c>
      <c r="B6" s="1711"/>
      <c r="C6" s="1711"/>
      <c r="D6" s="1711"/>
      <c r="E6" s="1711"/>
      <c r="F6" s="1711"/>
      <c r="G6" s="1712"/>
    </row>
    <row r="8" spans="1:7">
      <c r="A8" s="1195" t="s">
        <v>328</v>
      </c>
      <c r="B8" s="1196">
        <v>520</v>
      </c>
    </row>
    <row r="9" spans="1:7">
      <c r="A9" s="145"/>
    </row>
    <row r="10" spans="1:7" ht="15">
      <c r="A10" s="2"/>
      <c r="B10" s="2"/>
      <c r="C10" s="2"/>
      <c r="D10" s="2"/>
    </row>
    <row r="11" spans="1:7">
      <c r="A11" s="109" t="s">
        <v>285</v>
      </c>
      <c r="B11" s="109" t="s">
        <v>286</v>
      </c>
      <c r="C11" s="109" t="s">
        <v>330</v>
      </c>
      <c r="D11" s="109" t="s">
        <v>331</v>
      </c>
      <c r="E11" s="110" t="s">
        <v>332</v>
      </c>
      <c r="F11" s="744" t="s">
        <v>749</v>
      </c>
    </row>
    <row r="12" spans="1:7">
      <c r="A12">
        <f>'A. 20-21 FN Schools Data'!A7</f>
        <v>272</v>
      </c>
      <c r="B12" t="str">
        <f>'A. 20-21 FN Schools Data'!B7</f>
        <v>Pinaymootang</v>
      </c>
      <c r="C12">
        <f>'A. 20-21 FN Schools Data'!C7</f>
        <v>1140</v>
      </c>
      <c r="D12" t="str">
        <f>'A. 20-21 FN Schools Data'!D7</f>
        <v>Pinaymootang School</v>
      </c>
      <c r="E12" s="1">
        <f>INDEX(TableAFNSchools[Total Funded FTE],MATCH(Table15152[[#This Row],[School '#]],TableAFNSchools[School No.],0))</f>
        <v>435</v>
      </c>
      <c r="F12" s="706">
        <f>Table15152[[#This Row],[Eligible FTE]]*$B$8</f>
        <v>226200</v>
      </c>
    </row>
    <row r="13" spans="1:7">
      <c r="A13">
        <f>'A. 20-21 FN Schools Data'!A8</f>
        <v>275</v>
      </c>
      <c r="B13" t="str">
        <f>'A. 20-21 FN Schools Data'!B8</f>
        <v>Lake St. Martin</v>
      </c>
      <c r="C13">
        <f>'A. 20-21 FN Schools Data'!C8</f>
        <v>1144</v>
      </c>
      <c r="D13" t="str">
        <f>'A. 20-21 FN Schools Data'!D8</f>
        <v>Lake St. Martin School</v>
      </c>
      <c r="E13" s="80">
        <f>INDEX(TableAFNSchools[Total Funded FTE],MATCH(Table15152[[#This Row],[School '#]],TableAFNSchools[School No.],0))</f>
        <v>398</v>
      </c>
      <c r="F13" s="745">
        <f>Table15152[[#This Row],[Eligible FTE]]*$B$8</f>
        <v>206960</v>
      </c>
    </row>
    <row r="14" spans="1:7">
      <c r="A14">
        <f>'A. 20-21 FN Schools Data'!A9</f>
        <v>267</v>
      </c>
      <c r="B14" t="str">
        <f>'A. 20-21 FN Schools Data'!B9</f>
        <v>Bloodvein</v>
      </c>
      <c r="C14">
        <f>'A. 20-21 FN Schools Data'!C9</f>
        <v>1148</v>
      </c>
      <c r="D14" t="str">
        <f>'A. 20-21 FN Schools Data'!D9</f>
        <v>Miskooseepi School</v>
      </c>
      <c r="E14" s="1">
        <f>INDEX(TableAFNSchools[Total Funded FTE],MATCH(Table15152[[#This Row],[School '#]],TableAFNSchools[School No.],0))</f>
        <v>194</v>
      </c>
      <c r="F14" s="706">
        <f>Table15152[[#This Row],[Eligible FTE]]*$B$8</f>
        <v>100880</v>
      </c>
    </row>
    <row r="15" spans="1:7">
      <c r="A15">
        <f>'A. 20-21 FN Schools Data'!A10</f>
        <v>304</v>
      </c>
      <c r="B15" t="str">
        <f>'A. 20-21 FN Schools Data'!B10</f>
        <v>York Factory</v>
      </c>
      <c r="C15">
        <f>'A. 20-21 FN Schools Data'!C10</f>
        <v>1166</v>
      </c>
      <c r="D15" t="str">
        <f>'A. 20-21 FN Schools Data'!D10</f>
        <v>George Saunders Memorial School</v>
      </c>
      <c r="E15" s="1">
        <f>INDEX(TableAFNSchools[Total Funded FTE],MATCH(Table15152[[#This Row],[School '#]],TableAFNSchools[School No.],0))</f>
        <v>142</v>
      </c>
      <c r="F15" s="706">
        <f>Table15152[[#This Row],[Eligible FTE]]*$B$8</f>
        <v>73840</v>
      </c>
    </row>
    <row r="16" spans="1:7">
      <c r="A16">
        <f>'A. 20-21 FN Schools Data'!A11</f>
        <v>271</v>
      </c>
      <c r="B16" t="str">
        <f>'A. 20-21 FN Schools Data'!B11</f>
        <v>Lake Manitoba</v>
      </c>
      <c r="C16">
        <f>'A. 20-21 FN Schools Data'!C11</f>
        <v>1345</v>
      </c>
      <c r="D16" t="str">
        <f>'A. 20-21 FN Schools Data'!D11</f>
        <v>Lake Manitoba School</v>
      </c>
      <c r="E16" s="1">
        <f>INDEX(TableAFNSchools[Total Funded FTE],MATCH(Table15152[[#This Row],[School '#]],TableAFNSchools[School No.],0))</f>
        <v>303</v>
      </c>
      <c r="F16" s="706">
        <f>Table15152[[#This Row],[Eligible FTE]]*$B$8</f>
        <v>157560</v>
      </c>
    </row>
    <row r="17" spans="1:6">
      <c r="A17">
        <f>'A. 20-21 FN Schools Data'!A12</f>
        <v>295</v>
      </c>
      <c r="B17" t="str">
        <f>'A. 20-21 FN Schools Data'!B12</f>
        <v>Dakota Tipi</v>
      </c>
      <c r="C17">
        <f>'A. 20-21 FN Schools Data'!C12</f>
        <v>1350</v>
      </c>
      <c r="D17" t="str">
        <f>'A. 20-21 FN Schools Data'!D12</f>
        <v>Dakota Tipi School</v>
      </c>
      <c r="E17" s="1">
        <f>INDEX(TableAFNSchools[Total Funded FTE],MATCH(Table15152[[#This Row],[School '#]],TableAFNSchools[School No.],0))</f>
        <v>41</v>
      </c>
      <c r="F17" s="745">
        <f>Table15152[[#This Row],[Eligible FTE]]*$B$8</f>
        <v>21320</v>
      </c>
    </row>
    <row r="18" spans="1:6">
      <c r="A18">
        <f>'A. 20-21 FN Schools Data'!A13</f>
        <v>288</v>
      </c>
      <c r="B18" t="str">
        <f>'A. 20-21 FN Schools Data'!B13</f>
        <v>Dakota Plains</v>
      </c>
      <c r="C18">
        <f>'A. 20-21 FN Schools Data'!C13</f>
        <v>1486</v>
      </c>
      <c r="D18" t="str">
        <f>'A. 20-21 FN Schools Data'!D13</f>
        <v>Mahpiya Hdega School</v>
      </c>
      <c r="E18" s="1">
        <f>INDEX(TableAFNSchools[Total Funded FTE],MATCH(Table15152[[#This Row],[School '#]],TableAFNSchools[School No.],0))</f>
        <v>86</v>
      </c>
      <c r="F18" s="706">
        <f>Table15152[[#This Row],[Eligible FTE]]*$B$8</f>
        <v>44720</v>
      </c>
    </row>
    <row r="19" spans="1:6">
      <c r="A19">
        <f>'A. 20-21 FN Schools Data'!A14</f>
        <v>261</v>
      </c>
      <c r="B19" t="str">
        <f>'A. 20-21 FN Schools Data'!B14</f>
        <v>Brokenhead</v>
      </c>
      <c r="C19">
        <f>'A. 20-21 FN Schools Data'!C14</f>
        <v>1756</v>
      </c>
      <c r="D19" t="str">
        <f>'A. 20-21 FN Schools Data'!D14</f>
        <v>Sergeant Tommy Prince School</v>
      </c>
      <c r="E19" s="1">
        <f>INDEX(TableAFNSchools[Total Funded FTE],MATCH(Table15152[[#This Row],[School '#]],TableAFNSchools[School No.],0))</f>
        <v>123</v>
      </c>
      <c r="F19" s="706">
        <f>Table15152[[#This Row],[Eligible FTE]]*$B$8</f>
        <v>63960</v>
      </c>
    </row>
    <row r="20" spans="1:6">
      <c r="A20">
        <f>'A. 20-21 FN Schools Data'!A15</f>
        <v>273</v>
      </c>
      <c r="B20" t="str">
        <f>'A. 20-21 FN Schools Data'!B15</f>
        <v>Roseau River</v>
      </c>
      <c r="C20">
        <f>'A. 20-21 FN Schools Data'!C15</f>
        <v>5717</v>
      </c>
      <c r="D20" t="str">
        <f>'A. 20-21 FN Schools Data'!D15</f>
        <v>Ginew School</v>
      </c>
      <c r="E20" s="1">
        <f>INDEX(TableAFNSchools[Total Funded FTE],MATCH(Table15152[[#This Row],[School '#]],TableAFNSchools[School No.],0))</f>
        <v>153</v>
      </c>
      <c r="F20" s="706">
        <f>Table15152[[#This Row],[Eligible FTE]]*$B$8</f>
        <v>79560</v>
      </c>
    </row>
    <row r="21" spans="1:6">
      <c r="A21">
        <f>'A. 20-21 FN Schools Data'!A16</f>
        <v>305</v>
      </c>
      <c r="B21" t="str">
        <f>'A. 20-21 FN Schools Data'!B16</f>
        <v>Fox Lake</v>
      </c>
      <c r="C21">
        <f>'A. 20-21 FN Schools Data'!C16</f>
        <v>6413</v>
      </c>
      <c r="D21" t="str">
        <f>'A. 20-21 FN Schools Data'!D16</f>
        <v>Fox Lake School</v>
      </c>
      <c r="E21" s="1">
        <f>INDEX(TableAFNSchools[Total Funded FTE],MATCH(Table15152[[#This Row],[School '#]],TableAFNSchools[School No.],0))</f>
        <v>27</v>
      </c>
      <c r="F21" s="706">
        <f>Table15152[[#This Row],[Eligible FTE]]*$B$8</f>
        <v>14040</v>
      </c>
    </row>
    <row r="22" spans="1:6">
      <c r="A22">
        <f>'A. 20-21 FN Schools Data'!A17</f>
        <v>286</v>
      </c>
      <c r="B22" t="str">
        <f>'A. 20-21 FN Schools Data'!B17</f>
        <v>Keeseekoowenin</v>
      </c>
      <c r="C22">
        <f>'A. 20-21 FN Schools Data'!C17</f>
        <v>8990</v>
      </c>
      <c r="D22" t="str">
        <f>'A. 20-21 FN Schools Data'!D17</f>
        <v>Keeseekoowenin School</v>
      </c>
      <c r="E22" s="1">
        <f>INDEX(TableAFNSchools[Total Funded FTE],MATCH(Table15152[[#This Row],[School '#]],TableAFNSchools[School No.],0))</f>
        <v>99</v>
      </c>
      <c r="F22" s="706">
        <f>Table15152[[#This Row],[Eligible FTE]]*$B$8</f>
        <v>51480</v>
      </c>
    </row>
    <row r="23" spans="1:6">
      <c r="A23">
        <f>'A. 20-21 FN Schools Data'!A18</f>
        <v>261</v>
      </c>
      <c r="B23" t="str">
        <f>'A. 20-21 FN Schools Data'!B18</f>
        <v>Brokenhead</v>
      </c>
      <c r="C23">
        <f>'A. 20-21 FN Schools Data'!C18</f>
        <v>50250</v>
      </c>
      <c r="D23" t="str">
        <f>'A. 20-21 FN Schools Data'!D18</f>
        <v>Brokenhead Ojibway Nation Adult Learning Centre</v>
      </c>
      <c r="E23" s="1">
        <f>INDEX(TableAFNSchools[Total Funded FTE],MATCH(Table15152[[#This Row],[School '#]],TableAFNSchools[School No.],0))</f>
        <v>25</v>
      </c>
      <c r="F23" s="706">
        <f>Table15152[[#This Row],[Eligible FTE]]*$B$8</f>
        <v>13000</v>
      </c>
    </row>
    <row r="24" spans="1:6">
      <c r="A24" s="76" t="s">
        <v>72</v>
      </c>
      <c r="C24" s="76"/>
      <c r="E24" s="1197">
        <f>SUBTOTAL(109,Table15152[Eligible FTE])</f>
        <v>2026</v>
      </c>
      <c r="F24" s="1276">
        <f>SUBTOTAL(109,Table15152[TOTAL TAX BASE])</f>
        <v>1053520</v>
      </c>
    </row>
  </sheetData>
  <mergeCells count="2">
    <mergeCell ref="A5:G5"/>
    <mergeCell ref="A6:G6"/>
  </mergeCell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29"/>
  <dimension ref="A3:K23"/>
  <sheetViews>
    <sheetView topLeftCell="A6" workbookViewId="0"/>
  </sheetViews>
  <sheetFormatPr baseColWidth="10" defaultColWidth="9.19921875" defaultRowHeight="14"/>
  <cols>
    <col min="2" max="2" width="19.796875" customWidth="1"/>
    <col min="3" max="3" width="9.19921875" customWidth="1"/>
    <col min="4" max="4" width="31" customWidth="1"/>
    <col min="5" max="5" width="11.3984375" customWidth="1"/>
    <col min="6" max="6" width="17" customWidth="1"/>
    <col min="7" max="7" width="19.19921875" customWidth="1"/>
    <col min="8" max="8" width="16.59765625" customWidth="1"/>
    <col min="9" max="10" width="15" customWidth="1"/>
    <col min="11" max="11" width="15.19921875" customWidth="1"/>
  </cols>
  <sheetData>
    <row r="3" spans="1:11" ht="19">
      <c r="A3" s="33" t="s">
        <v>235</v>
      </c>
    </row>
    <row r="4" spans="1:11" ht="40.5" customHeight="1">
      <c r="A4" s="1714" t="s">
        <v>751</v>
      </c>
      <c r="B4" s="1714"/>
      <c r="C4" s="1714"/>
      <c r="D4" s="1714"/>
      <c r="E4" s="1714"/>
      <c r="F4" s="1230" t="s">
        <v>752</v>
      </c>
      <c r="G4" s="1247">
        <f>ROUND(D6/('E.3. Prov Data'!Y53/'-B11-'!G9),2)</f>
        <v>2.17</v>
      </c>
    </row>
    <row r="5" spans="1:11" ht="30">
      <c r="B5" s="1715" t="s">
        <v>753</v>
      </c>
      <c r="C5" s="1715"/>
      <c r="D5" s="146" t="s">
        <v>754</v>
      </c>
      <c r="F5" s="1230" t="s">
        <v>755</v>
      </c>
      <c r="G5" s="1247">
        <f>ROUND(D7/'E.3. Prov Data'!BT14,2)</f>
        <v>44.42</v>
      </c>
    </row>
    <row r="6" spans="1:11" ht="30">
      <c r="B6" s="1713" t="s">
        <v>756</v>
      </c>
      <c r="C6" s="1713"/>
      <c r="D6" s="216">
        <v>6000000</v>
      </c>
      <c r="F6" s="1230" t="s">
        <v>757</v>
      </c>
      <c r="G6" s="1247">
        <f>ROUND(D8/'E.3. Prov Data'!BU14,2)</f>
        <v>18.03</v>
      </c>
      <c r="H6" s="52"/>
      <c r="I6" s="52"/>
    </row>
    <row r="7" spans="1:11" ht="30.75" customHeight="1">
      <c r="B7" s="1713" t="s">
        <v>758</v>
      </c>
      <c r="C7" s="1713"/>
      <c r="D7" s="216">
        <v>2500000</v>
      </c>
    </row>
    <row r="8" spans="1:11">
      <c r="B8" s="1713" t="s">
        <v>759</v>
      </c>
      <c r="C8" s="1713"/>
      <c r="D8" s="216">
        <v>1500000</v>
      </c>
    </row>
    <row r="9" spans="1:11" ht="15">
      <c r="A9" s="585" t="s">
        <v>760</v>
      </c>
    </row>
    <row r="10" spans="1:11" ht="44.25" customHeight="1">
      <c r="A10" s="114" t="s">
        <v>285</v>
      </c>
      <c r="B10" s="114" t="s">
        <v>286</v>
      </c>
      <c r="C10" s="114" t="s">
        <v>330</v>
      </c>
      <c r="D10" s="114" t="s">
        <v>331</v>
      </c>
      <c r="E10" s="114" t="s">
        <v>761</v>
      </c>
      <c r="F10" s="114" t="s">
        <v>762</v>
      </c>
      <c r="G10" s="114" t="s">
        <v>763</v>
      </c>
      <c r="H10" s="114" t="s">
        <v>764</v>
      </c>
      <c r="I10" s="114" t="s">
        <v>765</v>
      </c>
      <c r="J10" s="114" t="s">
        <v>766</v>
      </c>
      <c r="K10" s="739" t="s">
        <v>322</v>
      </c>
    </row>
    <row r="11" spans="1:11">
      <c r="A11">
        <f>'A. 20-21 FN Schools Data'!A7</f>
        <v>272</v>
      </c>
      <c r="B11" t="str">
        <f>'A. 20-21 FN Schools Data'!B7</f>
        <v>Pinaymootang</v>
      </c>
      <c r="C11">
        <f>'A. 20-21 FN Schools Data'!C7</f>
        <v>1140</v>
      </c>
      <c r="D11" t="str">
        <f>'A. 20-21 FN Schools Data'!D7</f>
        <v>Pinaymootang School</v>
      </c>
      <c r="E11" s="79">
        <f>INDEX(TableAFNSchools[School size],MATCH(Table27[[#This Row],[School '#]],TableAFNSchools[School No.],0))</f>
        <v>4753.7</v>
      </c>
      <c r="F11">
        <f>INDEX(TableAFNSchools[Gr. 9-12 HC and Ungradeable ],MATCH(Table27[[#This Row],[School '#]],TableAFNSchools[School No.],0))</f>
        <v>149</v>
      </c>
      <c r="G11">
        <f>INDEX(TableAFNSchools[Gr. 7-12 HC and Ungradeable],MATCH(Table27[[#This Row],[School '#]],TableAFNSchools[School No.],0))</f>
        <v>211</v>
      </c>
      <c r="H11" s="19">
        <f>ROUND(Table27[[#This Row],[School Size in Sq. M.]]*FundingRate_MinCapSqM,0)</f>
        <v>10316</v>
      </c>
      <c r="I11" s="19">
        <f>ROUND(Table27[[#This Row],[Grade 9-12 Headcount &amp; Ungradable Second.]]*FundingRate_MinCapTEER,0)</f>
        <v>6619</v>
      </c>
      <c r="J11" s="19">
        <f>ROUND(Table27[[#This Row],[Grade 7-12 &amp; Ungradable Second. Headcount]]*FundingRate_MinCapSSEEF,0)</f>
        <v>3804</v>
      </c>
      <c r="K11" s="740">
        <f>ROUND(SUM(Table27[[#This Row],[School Building Support Total]:[SSEEF Total]]),0)</f>
        <v>20739</v>
      </c>
    </row>
    <row r="12" spans="1:11">
      <c r="A12">
        <f>'A. 20-21 FN Schools Data'!A8</f>
        <v>275</v>
      </c>
      <c r="B12" t="str">
        <f>'A. 20-21 FN Schools Data'!B8</f>
        <v>Lake St. Martin</v>
      </c>
      <c r="C12">
        <f>'A. 20-21 FN Schools Data'!C8</f>
        <v>1144</v>
      </c>
      <c r="D12" t="str">
        <f>'A. 20-21 FN Schools Data'!D8</f>
        <v>Lake St. Martin School</v>
      </c>
      <c r="E12" s="79">
        <f>INDEX(TableAFNSchools[School size],MATCH(Table27[[#This Row],[School '#]],TableAFNSchools[School No.],0))</f>
        <v>4032</v>
      </c>
      <c r="F12">
        <f>INDEX(TableAFNSchools[Gr. 9-12 HC and Ungradeable ],MATCH(Table27[[#This Row],[School '#]],TableAFNSchools[School No.],0))</f>
        <v>97</v>
      </c>
      <c r="G12">
        <f>INDEX(TableAFNSchools[Gr. 7-12 HC and Ungradeable],MATCH(Table27[[#This Row],[School '#]],TableAFNSchools[School No.],0))</f>
        <v>156</v>
      </c>
      <c r="H12" s="19">
        <f>ROUND(Table27[[#This Row],[School Size in Sq. M.]]*FundingRate_MinCapSqM,0)</f>
        <v>8749</v>
      </c>
      <c r="I12" s="19">
        <f>ROUND(Table27[[#This Row],[Grade 9-12 Headcount &amp; Ungradable Second.]]*FundingRate_MinCapTEER,0)</f>
        <v>4309</v>
      </c>
      <c r="J12" s="19">
        <f>ROUND(Table27[[#This Row],[Grade 7-12 &amp; Ungradable Second. Headcount]]*FundingRate_MinCapSSEEF,0)</f>
        <v>2813</v>
      </c>
      <c r="K12" s="740">
        <f>ROUND(SUM(Table27[[#This Row],[School Building Support Total]:[SSEEF Total]]),0)</f>
        <v>15871</v>
      </c>
    </row>
    <row r="13" spans="1:11">
      <c r="A13">
        <f>'A. 20-21 FN Schools Data'!A9</f>
        <v>267</v>
      </c>
      <c r="B13" t="str">
        <f>'A. 20-21 FN Schools Data'!B9</f>
        <v>Bloodvein</v>
      </c>
      <c r="C13">
        <f>'A. 20-21 FN Schools Data'!C9</f>
        <v>1148</v>
      </c>
      <c r="D13" t="str">
        <f>'A. 20-21 FN Schools Data'!D9</f>
        <v>Miskooseepi School</v>
      </c>
      <c r="E13" s="79">
        <f>INDEX(TableAFNSchools[School size],MATCH(Table27[[#This Row],[School '#]],TableAFNSchools[School No.],0))</f>
        <v>2865.2</v>
      </c>
      <c r="F13">
        <f>INDEX(TableAFNSchools[Gr. 9-12 HC and Ungradeable ],MATCH(Table27[[#This Row],[School '#]],TableAFNSchools[School No.],0))</f>
        <v>18</v>
      </c>
      <c r="G13">
        <f>INDEX(TableAFNSchools[Gr. 7-12 HC and Ungradeable],MATCH(Table27[[#This Row],[School '#]],TableAFNSchools[School No.],0))</f>
        <v>54</v>
      </c>
      <c r="H13" s="19">
        <f>ROUND(Table27[[#This Row],[School Size in Sq. M.]]*FundingRate_MinCapSqM,0)</f>
        <v>6217</v>
      </c>
      <c r="I13" s="19">
        <f>ROUND(Table27[[#This Row],[Grade 9-12 Headcount &amp; Ungradable Second.]]*FundingRate_MinCapTEER,0)</f>
        <v>800</v>
      </c>
      <c r="J13" s="19">
        <f>ROUND(Table27[[#This Row],[Grade 7-12 &amp; Ungradable Second. Headcount]]*FundingRate_MinCapSSEEF,0)</f>
        <v>974</v>
      </c>
      <c r="K13" s="740">
        <f>ROUND(SUM(Table27[[#This Row],[School Building Support Total]:[SSEEF Total]]),0)</f>
        <v>7991</v>
      </c>
    </row>
    <row r="14" spans="1:11">
      <c r="A14">
        <f>'A. 20-21 FN Schools Data'!A10</f>
        <v>304</v>
      </c>
      <c r="B14" t="str">
        <f>'A. 20-21 FN Schools Data'!B10</f>
        <v>York Factory</v>
      </c>
      <c r="C14">
        <f>'A. 20-21 FN Schools Data'!C10</f>
        <v>1166</v>
      </c>
      <c r="D14" t="str">
        <f>'A. 20-21 FN Schools Data'!D10</f>
        <v>George Saunders Memorial School</v>
      </c>
      <c r="E14" s="79">
        <f>INDEX(TableAFNSchools[School size],MATCH(Table27[[#This Row],[School '#]],TableAFNSchools[School No.],0))</f>
        <v>1994</v>
      </c>
      <c r="F14">
        <f>INDEX(TableAFNSchools[Gr. 9-12 HC and Ungradeable ],MATCH(Table27[[#This Row],[School '#]],TableAFNSchools[School No.],0))</f>
        <v>31</v>
      </c>
      <c r="G14">
        <f>INDEX(TableAFNSchools[Gr. 7-12 HC and Ungradeable],MATCH(Table27[[#This Row],[School '#]],TableAFNSchools[School No.],0))</f>
        <v>53</v>
      </c>
      <c r="H14" s="19">
        <f>ROUND(Table27[[#This Row],[School Size in Sq. M.]]*FundingRate_MinCapSqM,0)</f>
        <v>4327</v>
      </c>
      <c r="I14" s="19">
        <f>ROUND(Table27[[#This Row],[Grade 9-12 Headcount &amp; Ungradable Second.]]*FundingRate_MinCapTEER,0)</f>
        <v>1377</v>
      </c>
      <c r="J14" s="19">
        <f>ROUND(Table27[[#This Row],[Grade 7-12 &amp; Ungradable Second. Headcount]]*FundingRate_MinCapSSEEF,0)</f>
        <v>956</v>
      </c>
      <c r="K14" s="740">
        <f>ROUND(SUM(Table27[[#This Row],[School Building Support Total]:[SSEEF Total]]),0)</f>
        <v>6660</v>
      </c>
    </row>
    <row r="15" spans="1:11">
      <c r="A15">
        <f>'A. 20-21 FN Schools Data'!A11</f>
        <v>271</v>
      </c>
      <c r="B15" t="str">
        <f>'A. 20-21 FN Schools Data'!B11</f>
        <v>Lake Manitoba</v>
      </c>
      <c r="C15">
        <f>'A. 20-21 FN Schools Data'!C11</f>
        <v>1345</v>
      </c>
      <c r="D15" t="str">
        <f>'A. 20-21 FN Schools Data'!D11</f>
        <v>Lake Manitoba School</v>
      </c>
      <c r="E15" s="79">
        <f>INDEX(TableAFNSchools[School size],MATCH(Table27[[#This Row],[School '#]],TableAFNSchools[School No.],0))</f>
        <v>2892.3</v>
      </c>
      <c r="F15">
        <f>INDEX(TableAFNSchools[Gr. 9-12 HC and Ungradeable ],MATCH(Table27[[#This Row],[School '#]],TableAFNSchools[School No.],0))</f>
        <v>93</v>
      </c>
      <c r="G15">
        <f>INDEX(TableAFNSchools[Gr. 7-12 HC and Ungradeable],MATCH(Table27[[#This Row],[School '#]],TableAFNSchools[School No.],0))</f>
        <v>142</v>
      </c>
      <c r="H15" s="19">
        <f>ROUND(Table27[[#This Row],[School Size in Sq. M.]]*FundingRate_MinCapSqM,0)</f>
        <v>6276</v>
      </c>
      <c r="I15" s="19">
        <f>ROUND(Table27[[#This Row],[Grade 9-12 Headcount &amp; Ungradable Second.]]*FundingRate_MinCapTEER,0)</f>
        <v>4131</v>
      </c>
      <c r="J15" s="19">
        <f>ROUND(Table27[[#This Row],[Grade 7-12 &amp; Ungradable Second. Headcount]]*FundingRate_MinCapSSEEF,0)</f>
        <v>2560</v>
      </c>
      <c r="K15" s="740">
        <f>ROUND(SUM(Table27[[#This Row],[School Building Support Total]:[SSEEF Total]]),0)</f>
        <v>12967</v>
      </c>
    </row>
    <row r="16" spans="1:11">
      <c r="A16">
        <f>'A. 20-21 FN Schools Data'!A12</f>
        <v>295</v>
      </c>
      <c r="B16" t="str">
        <f>'A. 20-21 FN Schools Data'!B12</f>
        <v>Dakota Tipi</v>
      </c>
      <c r="C16">
        <f>'A. 20-21 FN Schools Data'!C12</f>
        <v>1350</v>
      </c>
      <c r="D16" t="str">
        <f>'A. 20-21 FN Schools Data'!D12</f>
        <v>Dakota Tipi School</v>
      </c>
      <c r="E16" s="79">
        <f>INDEX(TableAFNSchools[School size],MATCH(Table27[[#This Row],[School '#]],TableAFNSchools[School No.],0))</f>
        <v>80</v>
      </c>
      <c r="F16">
        <f>INDEX(TableAFNSchools[Gr. 9-12 HC and Ungradeable ],MATCH(Table27[[#This Row],[School '#]],TableAFNSchools[School No.],0))</f>
        <v>10</v>
      </c>
      <c r="G16">
        <f>INDEX(TableAFNSchools[Gr. 7-12 HC and Ungradeable],MATCH(Table27[[#This Row],[School '#]],TableAFNSchools[School No.],0))</f>
        <v>14</v>
      </c>
      <c r="H16" s="19">
        <f>ROUND(Table27[[#This Row],[School Size in Sq. M.]]*FundingRate_MinCapSqM,0)</f>
        <v>174</v>
      </c>
      <c r="I16" s="19">
        <f>ROUND(Table27[[#This Row],[Grade 9-12 Headcount &amp; Ungradable Second.]]*FundingRate_MinCapTEER,0)</f>
        <v>444</v>
      </c>
      <c r="J16" s="19">
        <f>ROUND(Table27[[#This Row],[Grade 7-12 &amp; Ungradable Second. Headcount]]*FundingRate_MinCapSSEEF,0)</f>
        <v>252</v>
      </c>
      <c r="K16" s="740">
        <f>ROUND(SUM(Table27[[#This Row],[School Building Support Total]:[SSEEF Total]]),0)</f>
        <v>870</v>
      </c>
    </row>
    <row r="17" spans="1:11">
      <c r="A17">
        <f>'A. 20-21 FN Schools Data'!A13</f>
        <v>288</v>
      </c>
      <c r="B17" t="str">
        <f>'A. 20-21 FN Schools Data'!B13</f>
        <v>Dakota Plains</v>
      </c>
      <c r="C17">
        <f>'A. 20-21 FN Schools Data'!C13</f>
        <v>1486</v>
      </c>
      <c r="D17" t="str">
        <f>'A. 20-21 FN Schools Data'!D13</f>
        <v>Mahpiya Hdega School</v>
      </c>
      <c r="E17" s="79">
        <f>INDEX(TableAFNSchools[School size],MATCH(Table27[[#This Row],[School '#]],TableAFNSchools[School No.],0))</f>
        <v>1589.3899999999999</v>
      </c>
      <c r="F17">
        <f>INDEX(TableAFNSchools[Gr. 9-12 HC and Ungradeable ],MATCH(Table27[[#This Row],[School '#]],TableAFNSchools[School No.],0))</f>
        <v>0</v>
      </c>
      <c r="G17">
        <f>INDEX(TableAFNSchools[Gr. 7-12 HC and Ungradeable],MATCH(Table27[[#This Row],[School '#]],TableAFNSchools[School No.],0))</f>
        <v>20</v>
      </c>
      <c r="H17" s="19">
        <f>ROUND(Table27[[#This Row],[School Size in Sq. M.]]*FundingRate_MinCapSqM,0)</f>
        <v>3449</v>
      </c>
      <c r="I17" s="19">
        <f>ROUND(Table27[[#This Row],[Grade 9-12 Headcount &amp; Ungradable Second.]]*FundingRate_MinCapTEER,0)</f>
        <v>0</v>
      </c>
      <c r="J17" s="19">
        <f>ROUND(Table27[[#This Row],[Grade 7-12 &amp; Ungradable Second. Headcount]]*FundingRate_MinCapSSEEF,0)</f>
        <v>361</v>
      </c>
      <c r="K17" s="740">
        <f>ROUND(SUM(Table27[[#This Row],[School Building Support Total]:[SSEEF Total]]),0)</f>
        <v>3810</v>
      </c>
    </row>
    <row r="18" spans="1:11">
      <c r="A18">
        <f>'A. 20-21 FN Schools Data'!A14</f>
        <v>261</v>
      </c>
      <c r="B18" t="str">
        <f>'A. 20-21 FN Schools Data'!B14</f>
        <v>Brokenhead</v>
      </c>
      <c r="C18">
        <f>'A. 20-21 FN Schools Data'!C14</f>
        <v>1756</v>
      </c>
      <c r="D18" t="str">
        <f>'A. 20-21 FN Schools Data'!D14</f>
        <v>Sergeant Tommy Prince School</v>
      </c>
      <c r="E18" s="79">
        <f>INDEX(TableAFNSchools[School size],MATCH(Table27[[#This Row],[School '#]],TableAFNSchools[School No.],0))</f>
        <v>1312</v>
      </c>
      <c r="F18">
        <f>INDEX(TableAFNSchools[Gr. 9-12 HC and Ungradeable ],MATCH(Table27[[#This Row],[School '#]],TableAFNSchools[School No.],0))</f>
        <v>24</v>
      </c>
      <c r="G18">
        <f>INDEX(TableAFNSchools[Gr. 7-12 HC and Ungradeable],MATCH(Table27[[#This Row],[School '#]],TableAFNSchools[School No.],0))</f>
        <v>48</v>
      </c>
      <c r="H18" s="19">
        <f>ROUND(Table27[[#This Row],[School Size in Sq. M.]]*FundingRate_MinCapSqM,0)</f>
        <v>2847</v>
      </c>
      <c r="I18" s="19">
        <f>ROUND(Table27[[#This Row],[Grade 9-12 Headcount &amp; Ungradable Second.]]*FundingRate_MinCapTEER,0)</f>
        <v>1066</v>
      </c>
      <c r="J18" s="19">
        <f>ROUND(Table27[[#This Row],[Grade 7-12 &amp; Ungradable Second. Headcount]]*FundingRate_MinCapSSEEF,0)</f>
        <v>865</v>
      </c>
      <c r="K18" s="740">
        <f>ROUND(SUM(Table27[[#This Row],[School Building Support Total]:[SSEEF Total]]),0)</f>
        <v>4778</v>
      </c>
    </row>
    <row r="19" spans="1:11">
      <c r="A19">
        <f>'A. 20-21 FN Schools Data'!A15</f>
        <v>273</v>
      </c>
      <c r="B19" t="str">
        <f>'A. 20-21 FN Schools Data'!B15</f>
        <v>Roseau River</v>
      </c>
      <c r="C19">
        <f>'A. 20-21 FN Schools Data'!C15</f>
        <v>5717</v>
      </c>
      <c r="D19" t="str">
        <f>'A. 20-21 FN Schools Data'!D15</f>
        <v>Ginew School</v>
      </c>
      <c r="E19" s="79">
        <f>INDEX(TableAFNSchools[School size],MATCH(Table27[[#This Row],[School '#]],TableAFNSchools[School No.],0))</f>
        <v>2380</v>
      </c>
      <c r="F19">
        <f>INDEX(TableAFNSchools[Gr. 9-12 HC and Ungradeable ],MATCH(Table27[[#This Row],[School '#]],TableAFNSchools[School No.],0))</f>
        <v>0</v>
      </c>
      <c r="G19">
        <f>INDEX(TableAFNSchools[Gr. 7-12 HC and Ungradeable],MATCH(Table27[[#This Row],[School '#]],TableAFNSchools[School No.],0))</f>
        <v>27</v>
      </c>
      <c r="H19" s="19">
        <f>ROUND(Table27[[#This Row],[School Size in Sq. M.]]*FundingRate_MinCapSqM,0)</f>
        <v>5165</v>
      </c>
      <c r="I19" s="19">
        <f>ROUND(Table27[[#This Row],[Grade 9-12 Headcount &amp; Ungradable Second.]]*FundingRate_MinCapTEER,0)</f>
        <v>0</v>
      </c>
      <c r="J19" s="19">
        <f>ROUND(Table27[[#This Row],[Grade 7-12 &amp; Ungradable Second. Headcount]]*FundingRate_MinCapSSEEF,0)</f>
        <v>487</v>
      </c>
      <c r="K19" s="740">
        <f>ROUND(SUM(Table27[[#This Row],[School Building Support Total]:[SSEEF Total]]),0)</f>
        <v>5652</v>
      </c>
    </row>
    <row r="20" spans="1:11">
      <c r="A20">
        <f>'A. 20-21 FN Schools Data'!A16</f>
        <v>305</v>
      </c>
      <c r="B20" t="str">
        <f>'A. 20-21 FN Schools Data'!B16</f>
        <v>Fox Lake</v>
      </c>
      <c r="C20">
        <f>'A. 20-21 FN Schools Data'!C16</f>
        <v>6413</v>
      </c>
      <c r="D20" t="str">
        <f>'A. 20-21 FN Schools Data'!D16</f>
        <v>Fox Lake School</v>
      </c>
      <c r="E20" s="79">
        <f>INDEX(TableAFNSchools[School size],MATCH(Table27[[#This Row],[School '#]],TableAFNSchools[School No.],0))</f>
        <v>1416</v>
      </c>
      <c r="F20">
        <f>INDEX(TableAFNSchools[Gr. 9-12 HC and Ungradeable ],MATCH(Table27[[#This Row],[School '#]],TableAFNSchools[School No.],0))</f>
        <v>0</v>
      </c>
      <c r="G20">
        <f>INDEX(TableAFNSchools[Gr. 7-12 HC and Ungradeable],MATCH(Table27[[#This Row],[School '#]],TableAFNSchools[School No.],0))</f>
        <v>3</v>
      </c>
      <c r="H20" s="19">
        <f>ROUND(Table27[[#This Row],[School Size in Sq. M.]]*FundingRate_MinCapSqM,0)</f>
        <v>3073</v>
      </c>
      <c r="I20" s="19">
        <f>ROUND(Table27[[#This Row],[Grade 9-12 Headcount &amp; Ungradable Second.]]*FundingRate_MinCapTEER,0)</f>
        <v>0</v>
      </c>
      <c r="J20" s="19">
        <f>ROUND(Table27[[#This Row],[Grade 7-12 &amp; Ungradable Second. Headcount]]*FundingRate_MinCapSSEEF,0)</f>
        <v>54</v>
      </c>
      <c r="K20" s="740">
        <f>ROUND(SUM(Table27[[#This Row],[School Building Support Total]:[SSEEF Total]]),0)</f>
        <v>3127</v>
      </c>
    </row>
    <row r="21" spans="1:11">
      <c r="A21">
        <f>'A. 20-21 FN Schools Data'!A17</f>
        <v>286</v>
      </c>
      <c r="B21" t="str">
        <f>'A. 20-21 FN Schools Data'!B17</f>
        <v>Keeseekoowenin</v>
      </c>
      <c r="C21">
        <f>'A. 20-21 FN Schools Data'!C17</f>
        <v>8990</v>
      </c>
      <c r="D21" t="str">
        <f>'A. 20-21 FN Schools Data'!D17</f>
        <v>Keeseekoowenin School</v>
      </c>
      <c r="E21" s="79">
        <f>INDEX(TableAFNSchools[School size],MATCH(Table27[[#This Row],[School '#]],TableAFNSchools[School No.],0))</f>
        <v>1585</v>
      </c>
      <c r="F21">
        <f>INDEX(TableAFNSchools[Gr. 9-12 HC and Ungradeable ],MATCH(Table27[[#This Row],[School '#]],TableAFNSchools[School No.],0))</f>
        <v>0</v>
      </c>
      <c r="G21">
        <f>INDEX(TableAFNSchools[Gr. 7-12 HC and Ungradeable],MATCH(Table27[[#This Row],[School '#]],TableAFNSchools[School No.],0))</f>
        <v>17</v>
      </c>
      <c r="H21" s="19">
        <f>ROUND(Table27[[#This Row],[School Size in Sq. M.]]*FundingRate_MinCapSqM,0)</f>
        <v>3439</v>
      </c>
      <c r="I21" s="19">
        <f>ROUND(Table27[[#This Row],[Grade 9-12 Headcount &amp; Ungradable Second.]]*FundingRate_MinCapTEER,0)</f>
        <v>0</v>
      </c>
      <c r="J21" s="19">
        <f>ROUND(Table27[[#This Row],[Grade 7-12 &amp; Ungradable Second. Headcount]]*FundingRate_MinCapSSEEF,0)</f>
        <v>307</v>
      </c>
      <c r="K21" s="740">
        <f>ROUND(SUM(Table27[[#This Row],[School Building Support Total]:[SSEEF Total]]),0)</f>
        <v>3746</v>
      </c>
    </row>
    <row r="22" spans="1:11">
      <c r="A22">
        <f>'A. 20-21 FN Schools Data'!A18</f>
        <v>261</v>
      </c>
      <c r="B22" t="str">
        <f>'A. 20-21 FN Schools Data'!B18</f>
        <v>Brokenhead</v>
      </c>
      <c r="C22">
        <f>'A. 20-21 FN Schools Data'!C18</f>
        <v>50250</v>
      </c>
      <c r="D22" t="str">
        <f>'A. 20-21 FN Schools Data'!D18</f>
        <v>Brokenhead Ojibway Nation Adult Learning Centre</v>
      </c>
      <c r="E22" s="79">
        <f>INDEX(TableAFNSchools[School size],MATCH(Table27[[#This Row],[School '#]],TableAFNSchools[School No.],0))</f>
        <v>0</v>
      </c>
      <c r="F22">
        <f>INDEX(TableAFNSchools[Gr. 9-12 HC and Ungradeable ],MATCH(Table27[[#This Row],[School '#]],TableAFNSchools[School No.],0))</f>
        <v>25</v>
      </c>
      <c r="G22">
        <f>INDEX(TableAFNSchools[Gr. 7-12 HC and Ungradeable],MATCH(Table27[[#This Row],[School '#]],TableAFNSchools[School No.],0))</f>
        <v>25</v>
      </c>
      <c r="H22" s="19">
        <f>ROUND(Table27[[#This Row],[School Size in Sq. M.]]*FundingRate_MinCapSqM,0)</f>
        <v>0</v>
      </c>
      <c r="I22" s="19">
        <f>ROUND(Table27[[#This Row],[Grade 9-12 Headcount &amp; Ungradable Second.]]*FundingRate_MinCapTEER,0)</f>
        <v>1111</v>
      </c>
      <c r="J22" s="19">
        <f>ROUND(Table27[[#This Row],[Grade 7-12 &amp; Ungradable Second. Headcount]]*FundingRate_MinCapSSEEF,0)</f>
        <v>451</v>
      </c>
      <c r="K22" s="740">
        <f>ROUND(SUM(Table27[[#This Row],[School Building Support Total]:[SSEEF Total]]),0)</f>
        <v>1562</v>
      </c>
    </row>
    <row r="23" spans="1:11">
      <c r="A23" t="s">
        <v>72</v>
      </c>
      <c r="F23">
        <f>SUBTOTAL(109,Table27[Grade 9-12 Headcount &amp; Ungradable Second.])</f>
        <v>447</v>
      </c>
      <c r="G23">
        <f>SUBTOTAL(109,Table27[Grade 7-12 &amp; Ungradable Second. Headcount])</f>
        <v>770</v>
      </c>
      <c r="H23" s="19">
        <f>SUBTOTAL(109,Table27[School Building Support Total])</f>
        <v>54032</v>
      </c>
      <c r="I23" s="19">
        <f>SUBTOTAL(109,Table27[TEER Total])</f>
        <v>19857</v>
      </c>
      <c r="J23" s="19">
        <f>SUBTOTAL(109,Table27[SSEEF Total])</f>
        <v>13884</v>
      </c>
      <c r="K23" s="740">
        <f>SUBTOTAL(109,Table27[TOTAL])</f>
        <v>87773</v>
      </c>
    </row>
  </sheetData>
  <mergeCells count="5">
    <mergeCell ref="B6:C6"/>
    <mergeCell ref="B7:C7"/>
    <mergeCell ref="B8:C8"/>
    <mergeCell ref="A4:E4"/>
    <mergeCell ref="B5:C5"/>
  </mergeCells>
  <hyperlinks>
    <hyperlink ref="A9" r:id="rId1" display="Source: Manitoba Education, Funding of Schools 2018-19 Guide, p25" xr:uid="{00000000-0004-0000-2800-000000000000}"/>
  </hyperlinks>
  <pageMargins left="0.7" right="0.7" top="0.75" bottom="0.75" header="0.3" footer="0.3"/>
  <pageSetup paperSize="5" orientation="landscape" r:id="rId2"/>
  <headerFooter>
    <oddHeader>&amp;LMFNERC First Nations School System 2017-18&amp;RE&amp;&amp;OE</oddHeader>
  </headerFooter>
  <legacyDrawing r:id="rId3"/>
  <tableParts count="1">
    <tablePart r:id="rId4"/>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0">
    <tabColor theme="0" tint="-0.249977111117893"/>
  </sheetPr>
  <dimension ref="A1:U27"/>
  <sheetViews>
    <sheetView topLeftCell="E3" workbookViewId="0"/>
  </sheetViews>
  <sheetFormatPr baseColWidth="10" defaultColWidth="9.19921875" defaultRowHeight="14"/>
  <cols>
    <col min="2" max="2" width="18.796875" customWidth="1"/>
    <col min="3" max="3" width="8" customWidth="1"/>
    <col min="4" max="4" width="30.796875" customWidth="1"/>
    <col min="5" max="7" width="13.19921875" customWidth="1"/>
    <col min="8" max="8" width="6" customWidth="1"/>
    <col min="9" max="9" width="14.19921875" hidden="1" customWidth="1"/>
    <col min="10" max="10" width="6" customWidth="1"/>
    <col min="11" max="11" width="28.796875" bestFit="1" customWidth="1"/>
    <col min="12" max="16" width="13.19921875" customWidth="1"/>
    <col min="17" max="17" width="20.59765625" bestFit="1" customWidth="1"/>
    <col min="18" max="18" width="18" bestFit="1" customWidth="1"/>
    <col min="19" max="19" width="17.796875" bestFit="1" customWidth="1"/>
    <col min="21" max="21" width="10.3984375" customWidth="1"/>
  </cols>
  <sheetData>
    <row r="1" spans="1:21">
      <c r="A1" t="s">
        <v>767</v>
      </c>
    </row>
    <row r="3" spans="1:21" ht="19">
      <c r="A3" s="33" t="s">
        <v>768</v>
      </c>
    </row>
    <row r="4" spans="1:21" ht="58.5" customHeight="1">
      <c r="A4" s="1646" t="s">
        <v>769</v>
      </c>
      <c r="B4" s="1646"/>
      <c r="C4" s="1646"/>
      <c r="D4" s="1646"/>
      <c r="E4" s="1646"/>
      <c r="F4" s="1646"/>
      <c r="G4" s="1646"/>
      <c r="K4" s="817" t="s">
        <v>770</v>
      </c>
      <c r="L4" s="1466" t="s">
        <v>771</v>
      </c>
      <c r="M4" s="1466" t="s">
        <v>772</v>
      </c>
      <c r="N4" s="1466" t="s">
        <v>773</v>
      </c>
      <c r="O4" s="1466" t="s">
        <v>774</v>
      </c>
      <c r="P4" s="1466" t="s">
        <v>775</v>
      </c>
      <c r="Q4" s="1466" t="s">
        <v>776</v>
      </c>
      <c r="R4" s="1466" t="s">
        <v>777</v>
      </c>
      <c r="S4" s="818" t="s">
        <v>778</v>
      </c>
      <c r="U4" s="917" t="s">
        <v>779</v>
      </c>
    </row>
    <row r="5" spans="1:21">
      <c r="A5" s="1646"/>
      <c r="B5" s="1646"/>
      <c r="C5" s="1646"/>
      <c r="D5" s="1646"/>
      <c r="E5" s="1646"/>
      <c r="F5" s="1646"/>
      <c r="G5" s="1646"/>
      <c r="H5" s="35"/>
      <c r="I5" s="35"/>
      <c r="J5" s="35"/>
      <c r="K5" s="809" t="s">
        <v>438</v>
      </c>
      <c r="L5" s="810">
        <v>3456916</v>
      </c>
      <c r="M5" s="810">
        <v>1575</v>
      </c>
      <c r="N5" s="810">
        <v>2442780</v>
      </c>
      <c r="O5" s="810">
        <v>2917180</v>
      </c>
      <c r="P5" s="810">
        <v>13538919.5</v>
      </c>
      <c r="Q5" s="810">
        <v>22357370.5</v>
      </c>
      <c r="R5" s="810">
        <v>2171</v>
      </c>
      <c r="S5" s="1147">
        <v>10298</v>
      </c>
      <c r="U5">
        <f>ROUND(L5/R5,0)</f>
        <v>1592</v>
      </c>
    </row>
    <row r="6" spans="1:21">
      <c r="A6" s="1646"/>
      <c r="B6" s="1646"/>
      <c r="C6" s="1646"/>
      <c r="D6" s="1646"/>
      <c r="E6" s="1646"/>
      <c r="F6" s="1646"/>
      <c r="G6" s="1646"/>
      <c r="H6" s="52"/>
      <c r="I6" s="52"/>
      <c r="J6" s="52"/>
      <c r="K6" s="809" t="s">
        <v>440</v>
      </c>
      <c r="L6" s="810">
        <v>0</v>
      </c>
      <c r="M6" s="810">
        <v>791726.12138420471</v>
      </c>
      <c r="N6" s="810">
        <v>1409149</v>
      </c>
      <c r="O6" s="810">
        <v>662131</v>
      </c>
      <c r="P6" s="810">
        <v>8808790.0800000001</v>
      </c>
      <c r="Q6" s="810">
        <v>11671796.201384205</v>
      </c>
      <c r="R6" s="810">
        <v>1397</v>
      </c>
      <c r="S6" s="1147">
        <v>8355</v>
      </c>
      <c r="U6">
        <f t="shared" ref="U6:U15" si="0">ROUND(L6/R6,0)</f>
        <v>0</v>
      </c>
    </row>
    <row r="7" spans="1:21">
      <c r="H7" s="52"/>
      <c r="I7" s="52"/>
      <c r="J7" s="52"/>
      <c r="K7" s="809" t="s">
        <v>441</v>
      </c>
      <c r="L7" s="810">
        <v>16724687</v>
      </c>
      <c r="M7" s="810">
        <v>4758592</v>
      </c>
      <c r="N7" s="810">
        <v>557383</v>
      </c>
      <c r="O7" s="810">
        <v>193091</v>
      </c>
      <c r="P7" s="810">
        <v>3470324.6</v>
      </c>
      <c r="Q7" s="810">
        <v>25704077.600000001</v>
      </c>
      <c r="R7" s="810">
        <v>2212</v>
      </c>
      <c r="S7" s="1147">
        <v>11620</v>
      </c>
      <c r="U7">
        <f t="shared" si="0"/>
        <v>7561</v>
      </c>
    </row>
    <row r="8" spans="1:21">
      <c r="K8" s="809" t="s">
        <v>442</v>
      </c>
      <c r="L8" s="810">
        <v>2781484</v>
      </c>
      <c r="M8" s="810">
        <v>419953</v>
      </c>
      <c r="N8" s="810">
        <v>1138838</v>
      </c>
      <c r="O8" s="810">
        <v>523248</v>
      </c>
      <c r="P8" s="810">
        <v>4261747.3899999997</v>
      </c>
      <c r="Q8" s="810">
        <v>9125270.3900000006</v>
      </c>
      <c r="R8" s="810">
        <v>954</v>
      </c>
      <c r="S8" s="1147">
        <v>9565</v>
      </c>
      <c r="U8">
        <f t="shared" si="0"/>
        <v>2916</v>
      </c>
    </row>
    <row r="9" spans="1:21">
      <c r="K9" s="809" t="s">
        <v>443</v>
      </c>
      <c r="L9" s="810">
        <v>3259077</v>
      </c>
      <c r="M9" s="810">
        <v>444442.38605027768</v>
      </c>
      <c r="N9" s="810">
        <v>6076010</v>
      </c>
      <c r="O9" s="810">
        <v>3214986</v>
      </c>
      <c r="P9" s="810">
        <v>27311468.25</v>
      </c>
      <c r="Q9" s="810">
        <v>40305983.636050276</v>
      </c>
      <c r="R9" s="810">
        <v>3833</v>
      </c>
      <c r="S9" s="1147">
        <v>10516</v>
      </c>
      <c r="U9">
        <f t="shared" si="0"/>
        <v>850</v>
      </c>
    </row>
    <row r="10" spans="1:21" ht="49.5" customHeight="1">
      <c r="A10" s="114" t="s">
        <v>285</v>
      </c>
      <c r="B10" s="114" t="s">
        <v>286</v>
      </c>
      <c r="C10" s="114" t="s">
        <v>330</v>
      </c>
      <c r="D10" s="114" t="s">
        <v>331</v>
      </c>
      <c r="E10" s="114" t="s">
        <v>780</v>
      </c>
      <c r="F10" s="114" t="s">
        <v>781</v>
      </c>
      <c r="G10" s="1277" t="s">
        <v>782</v>
      </c>
      <c r="I10" t="s">
        <v>783</v>
      </c>
      <c r="K10" s="809" t="s">
        <v>444</v>
      </c>
      <c r="L10" s="810">
        <v>6727854</v>
      </c>
      <c r="M10" s="810">
        <v>719357</v>
      </c>
      <c r="N10" s="810">
        <v>3579073</v>
      </c>
      <c r="O10" s="810">
        <v>700164</v>
      </c>
      <c r="P10" s="810">
        <v>15023381.91</v>
      </c>
      <c r="Q10" s="810">
        <v>26749829.91</v>
      </c>
      <c r="R10" s="810">
        <v>3113</v>
      </c>
      <c r="S10" s="1147">
        <v>8593</v>
      </c>
      <c r="U10">
        <f t="shared" si="0"/>
        <v>2161</v>
      </c>
    </row>
    <row r="11" spans="1:21">
      <c r="A11">
        <f>'A. 20-21 FN Schools Data'!A7</f>
        <v>272</v>
      </c>
      <c r="B11" t="str">
        <f>'A. 20-21 FN Schools Data'!B7</f>
        <v>Pinaymootang</v>
      </c>
      <c r="C11">
        <f>'A. 20-21 FN Schools Data'!C7</f>
        <v>1140</v>
      </c>
      <c r="D11" t="str">
        <f>'A. 20-21 FN Schools Data'!D7</f>
        <v>Pinaymootang School</v>
      </c>
      <c r="E11" s="1">
        <f>INDEX(TableAFNSchools[Total Headcount],MATCH(Table28[[#This Row],[School '#]],TableAFNSchools[School No.],0))</f>
        <v>435</v>
      </c>
      <c r="F11" s="1" t="str">
        <f>INDEX(TableAFNSchools[Proximate Provincial School Division],MATCH(Table28[[#This Row],[School '#]],TableAFNSchools[School No.],0))</f>
        <v>LAKESHORE</v>
      </c>
      <c r="G11" s="26">
        <f>ROUND(Table28[[#This Row],[Total Eligible Headcount]]*(INDEX($S$5:$S$16,MATCH(Table28[[#This Row],[Proximate School Divison ]],$K$5:$K$16,0))),0)</f>
        <v>4160775</v>
      </c>
      <c r="I11" s="26">
        <f>ROUND(Table28[[#This Row],[Total Eligible Headcount]]*(INDEX($U$5:$U$15,MATCH(Table28[[#This Row],[Proximate School Divison ]],$K$5:$K$15,0))),0)</f>
        <v>1268460</v>
      </c>
      <c r="K11" s="809" t="s">
        <v>445</v>
      </c>
      <c r="L11" s="810">
        <v>0</v>
      </c>
      <c r="M11" s="810">
        <v>566002.68100995058</v>
      </c>
      <c r="N11" s="810">
        <v>1883713</v>
      </c>
      <c r="O11" s="810">
        <v>1053953</v>
      </c>
      <c r="P11" s="810">
        <v>12531839.16</v>
      </c>
      <c r="Q11" s="810">
        <v>16035507.84100995</v>
      </c>
      <c r="R11" s="810">
        <v>2116</v>
      </c>
      <c r="S11" s="1147">
        <v>7578</v>
      </c>
      <c r="U11">
        <f t="shared" si="0"/>
        <v>0</v>
      </c>
    </row>
    <row r="12" spans="1:21">
      <c r="A12">
        <f>'A. 20-21 FN Schools Data'!A8</f>
        <v>275</v>
      </c>
      <c r="B12" t="str">
        <f>'A. 20-21 FN Schools Data'!B8</f>
        <v>Lake St. Martin</v>
      </c>
      <c r="C12">
        <f>'A. 20-21 FN Schools Data'!C8</f>
        <v>1144</v>
      </c>
      <c r="D12" t="str">
        <f>'A. 20-21 FN Schools Data'!D8</f>
        <v>Lake St. Martin School</v>
      </c>
      <c r="E12" s="1">
        <f>INDEX(TableAFNSchools[Total Headcount],MATCH(Table28[[#This Row],[School '#]],TableAFNSchools[School No.],0))</f>
        <v>398</v>
      </c>
      <c r="F12" s="1" t="str">
        <f>INDEX(TableAFNSchools[Proximate Provincial School Division],MATCH(Table28[[#This Row],[School '#]],TableAFNSchools[School No.],0))</f>
        <v>FRONTIER</v>
      </c>
      <c r="G12" s="26">
        <f>ROUND(Table28[[#This Row],[Total Eligible Headcount]]*(INDEX($S$5:$S$16,MATCH(Table28[[#This Row],[Proximate School Divison ]],$K$5:$K$16,0))),0)</f>
        <v>4624760</v>
      </c>
      <c r="I12" s="26">
        <f>ROUND(Table28[[#This Row],[Total Eligible Headcount]]*(INDEX($U$5:$U$15,MATCH(Table28[[#This Row],[Proximate School Divison ]],$K$5:$K$15,0))),0)</f>
        <v>3009278</v>
      </c>
      <c r="K12" s="809" t="s">
        <v>446</v>
      </c>
      <c r="L12" s="810">
        <v>234088</v>
      </c>
      <c r="M12" s="810">
        <v>493091.00598324428</v>
      </c>
      <c r="N12" s="810">
        <v>2307331</v>
      </c>
      <c r="O12" s="810">
        <v>978564</v>
      </c>
      <c r="P12" s="810">
        <v>10842206.57</v>
      </c>
      <c r="Q12" s="810">
        <v>14855280.575983245</v>
      </c>
      <c r="R12" s="810">
        <v>1699</v>
      </c>
      <c r="S12" s="1147">
        <v>8744</v>
      </c>
      <c r="U12">
        <f t="shared" si="0"/>
        <v>138</v>
      </c>
    </row>
    <row r="13" spans="1:21">
      <c r="A13">
        <f>'A. 20-21 FN Schools Data'!A9</f>
        <v>267</v>
      </c>
      <c r="B13" t="str">
        <f>'A. 20-21 FN Schools Data'!B9</f>
        <v>Bloodvein</v>
      </c>
      <c r="C13">
        <f>'A. 20-21 FN Schools Data'!C9</f>
        <v>1148</v>
      </c>
      <c r="D13" t="str">
        <f>'A. 20-21 FN Schools Data'!D9</f>
        <v>Miskooseepi School</v>
      </c>
      <c r="E13" s="1">
        <f>INDEX(TableAFNSchools[Total Headcount],MATCH(Table28[[#This Row],[School '#]],TableAFNSchools[School No.],0))</f>
        <v>194</v>
      </c>
      <c r="F13" s="1" t="str">
        <f>INDEX(TableAFNSchools[Proximate Provincial School Division],MATCH(Table28[[#This Row],[School '#]],TableAFNSchools[School No.],0))</f>
        <v>FRONTIER</v>
      </c>
      <c r="G13" s="26">
        <f>ROUND(Table28[[#This Row],[Total Eligible Headcount]]*(INDEX($S$5:$S$16,MATCH(Table28[[#This Row],[Proximate School Divison ]],$K$5:$K$16,0))),0)</f>
        <v>2254280</v>
      </c>
      <c r="I13" s="26">
        <f>ROUND(Table28[[#This Row],[Total Eligible Headcount]]*(INDEX($U$5:$U$15,MATCH(Table28[[#This Row],[Proximate School Divison ]],$K$5:$K$15,0))),0)</f>
        <v>1466834</v>
      </c>
      <c r="K13" s="809" t="s">
        <v>447</v>
      </c>
      <c r="L13" s="810">
        <v>3466099</v>
      </c>
      <c r="M13" s="810">
        <v>447544.1796688317</v>
      </c>
      <c r="N13" s="810">
        <v>7518501</v>
      </c>
      <c r="O13" s="810">
        <v>2253618</v>
      </c>
      <c r="P13" s="810">
        <v>32756678.719999999</v>
      </c>
      <c r="Q13" s="810">
        <v>46442440.899668828</v>
      </c>
      <c r="R13" s="810">
        <v>4677</v>
      </c>
      <c r="S13" s="1147">
        <v>9930</v>
      </c>
      <c r="U13">
        <f t="shared" si="0"/>
        <v>741</v>
      </c>
    </row>
    <row r="14" spans="1:21" ht="12.75" customHeight="1">
      <c r="A14">
        <f>'A. 20-21 FN Schools Data'!A10</f>
        <v>304</v>
      </c>
      <c r="B14" t="str">
        <f>'A. 20-21 FN Schools Data'!B10</f>
        <v>York Factory</v>
      </c>
      <c r="C14">
        <f>'A. 20-21 FN Schools Data'!C10</f>
        <v>1166</v>
      </c>
      <c r="D14" t="str">
        <f>'A. 20-21 FN Schools Data'!D10</f>
        <v>George Saunders Memorial School</v>
      </c>
      <c r="E14" s="1">
        <f>INDEX(TableAFNSchools[Total Headcount],MATCH(Table28[[#This Row],[School '#]],TableAFNSchools[School No.],0))</f>
        <v>142</v>
      </c>
      <c r="F14" s="1" t="str">
        <f>INDEX(TableAFNSchools[Proximate Provincial School Division],MATCH(Table28[[#This Row],[School '#]],TableAFNSchools[School No.],0))</f>
        <v>FRONTIER</v>
      </c>
      <c r="G14" s="26">
        <f>ROUND(Table28[[#This Row],[Total Eligible Headcount]]*(INDEX($S$5:$S$16,MATCH(Table28[[#This Row],[Proximate School Divison ]],$K$5:$K$16,0))),0)</f>
        <v>1650040</v>
      </c>
      <c r="I14" s="26">
        <f>ROUND(Table28[[#This Row],[Total Eligible Headcount]]*(INDEX($U$5:$U$15,MATCH(Table28[[#This Row],[Proximate School Divison ]],$K$5:$K$15,0))),0)</f>
        <v>1073662</v>
      </c>
      <c r="K14" s="809" t="s">
        <v>448</v>
      </c>
      <c r="L14" s="810">
        <v>2180602</v>
      </c>
      <c r="M14" s="810">
        <v>434059</v>
      </c>
      <c r="N14" s="810">
        <v>707555</v>
      </c>
      <c r="O14" s="810">
        <v>395398</v>
      </c>
      <c r="P14" s="810">
        <v>3118255</v>
      </c>
      <c r="Q14" s="810">
        <v>6835869</v>
      </c>
      <c r="R14" s="810">
        <v>723</v>
      </c>
      <c r="S14" s="1147">
        <v>9455</v>
      </c>
      <c r="U14">
        <f t="shared" si="0"/>
        <v>3016</v>
      </c>
    </row>
    <row r="15" spans="1:21">
      <c r="A15">
        <f>'A. 20-21 FN Schools Data'!A11</f>
        <v>271</v>
      </c>
      <c r="B15" t="str">
        <f>'A. 20-21 FN Schools Data'!B11</f>
        <v>Lake Manitoba</v>
      </c>
      <c r="C15">
        <f>'A. 20-21 FN Schools Data'!C11</f>
        <v>1345</v>
      </c>
      <c r="D15" t="str">
        <f>'A. 20-21 FN Schools Data'!D11</f>
        <v>Lake Manitoba School</v>
      </c>
      <c r="E15" s="1">
        <f>INDEX(TableAFNSchools[Total Headcount],MATCH(Table28[[#This Row],[School '#]],TableAFNSchools[School No.],0))</f>
        <v>303</v>
      </c>
      <c r="F15" s="1" t="str">
        <f>INDEX(TableAFNSchools[Proximate Provincial School Division],MATCH(Table28[[#This Row],[School '#]],TableAFNSchools[School No.],0))</f>
        <v>LAKESHORE</v>
      </c>
      <c r="G15" s="26">
        <f>ROUND(Table28[[#This Row],[Total Eligible Headcount]]*(INDEX($S$5:$S$16,MATCH(Table28[[#This Row],[Proximate School Divison ]],$K$5:$K$16,0))),0)</f>
        <v>2898195</v>
      </c>
      <c r="I15" s="26">
        <f>ROUND(Table28[[#This Row],[Total Eligible Headcount]]*(INDEX($U$5:$U$15,MATCH(Table28[[#This Row],[Proximate School Divison ]],$K$5:$K$15,0))),0)</f>
        <v>883548</v>
      </c>
      <c r="K15" s="809" t="s">
        <v>450</v>
      </c>
      <c r="L15" s="810">
        <v>0</v>
      </c>
      <c r="M15" s="810">
        <v>514808.15542857809</v>
      </c>
      <c r="N15" s="810">
        <v>1687415</v>
      </c>
      <c r="O15" s="810">
        <v>962974</v>
      </c>
      <c r="P15" s="810">
        <v>8918654.6500000004</v>
      </c>
      <c r="Q15" s="810">
        <v>12083851.805428579</v>
      </c>
      <c r="R15" s="810">
        <v>1559</v>
      </c>
      <c r="S15" s="1147">
        <v>7751</v>
      </c>
      <c r="U15">
        <f t="shared" si="0"/>
        <v>0</v>
      </c>
    </row>
    <row r="16" spans="1:21">
      <c r="A16">
        <f>'A. 20-21 FN Schools Data'!A12</f>
        <v>295</v>
      </c>
      <c r="B16" t="str">
        <f>'A. 20-21 FN Schools Data'!B12</f>
        <v>Dakota Tipi</v>
      </c>
      <c r="C16">
        <f>'A. 20-21 FN Schools Data'!C12</f>
        <v>1350</v>
      </c>
      <c r="D16" t="str">
        <f>'A. 20-21 FN Schools Data'!D12</f>
        <v>Dakota Tipi School</v>
      </c>
      <c r="E16" s="1">
        <f>INDEX(TableAFNSchools[Total Headcount],MATCH(Table28[[#This Row],[School '#]],TableAFNSchools[School No.],0))</f>
        <v>41</v>
      </c>
      <c r="F16" s="1" t="str">
        <f>INDEX(TableAFNSchools[Proximate Provincial School Division],MATCH(Table28[[#This Row],[School '#]],TableAFNSchools[School No.],0))</f>
        <v>PORTAGE LA PRAIRIE</v>
      </c>
      <c r="G16" s="26">
        <f>ROUND(Table28[[#This Row],[Total Eligible Headcount]]*(INDEX($S$5:$S$16,MATCH(Table28[[#This Row],[Proximate School Divison ]],$K$5:$K$16,0))),0)</f>
        <v>328492</v>
      </c>
      <c r="I16" s="26" t="e">
        <f>ROUND(Table28[[#This Row],[Total Eligible Headcount]]*(INDEX($U$5:$U$15,MATCH(Table28[[#This Row],[Proximate School Divison ]],$K$5:$K$15,0))),0)</f>
        <v>#N/A</v>
      </c>
      <c r="K16" s="809" t="s">
        <v>451</v>
      </c>
      <c r="L16" s="810">
        <v>4405418</v>
      </c>
      <c r="M16" s="810">
        <v>375333.87293503969</v>
      </c>
      <c r="N16" s="810">
        <v>3384686</v>
      </c>
      <c r="O16" s="810">
        <v>644091</v>
      </c>
      <c r="P16" s="810">
        <v>16620709.1</v>
      </c>
      <c r="Q16" s="810">
        <v>25430237.97293504</v>
      </c>
      <c r="R16" s="810">
        <v>3174</v>
      </c>
      <c r="S16" s="1147">
        <v>8012</v>
      </c>
    </row>
    <row r="17" spans="1:19">
      <c r="A17">
        <f>'A. 20-21 FN Schools Data'!A13</f>
        <v>288</v>
      </c>
      <c r="B17" t="str">
        <f>'A. 20-21 FN Schools Data'!B13</f>
        <v>Dakota Plains</v>
      </c>
      <c r="C17">
        <f>'A. 20-21 FN Schools Data'!C13</f>
        <v>1486</v>
      </c>
      <c r="D17" t="str">
        <f>'A. 20-21 FN Schools Data'!D13</f>
        <v>Mahpiya Hdega School</v>
      </c>
      <c r="E17" s="1">
        <f>INDEX(TableAFNSchools[Total Headcount],MATCH(Table28[[#This Row],[School '#]],TableAFNSchools[School No.],0))</f>
        <v>86</v>
      </c>
      <c r="F17" s="1" t="str">
        <f>INDEX(TableAFNSchools[Proximate Provincial School Division],MATCH(Table28[[#This Row],[School '#]],TableAFNSchools[School No.],0))</f>
        <v>PORTAGE LA PRAIRIE</v>
      </c>
      <c r="G17" s="26">
        <f>ROUND(Table28[[#This Row],[Total Eligible Headcount]]*(INDEX($S$5:$S$16,MATCH(Table28[[#This Row],[Proximate School Divison ]],$K$5:$K$16,0))),0)</f>
        <v>689032</v>
      </c>
      <c r="I17" s="26" t="e">
        <f>ROUND(Table28[[#This Row],[Total Eligible Headcount]]*(INDEX($U$5:$U$15,MATCH(Table28[[#This Row],[Proximate School Divison ]],$K$5:$K$15,0))),0)</f>
        <v>#N/A</v>
      </c>
      <c r="K17" s="1148" t="s">
        <v>784</v>
      </c>
      <c r="L17" s="1492"/>
      <c r="M17" s="1492"/>
      <c r="N17" s="1492"/>
      <c r="O17" s="1492"/>
      <c r="P17" s="1492"/>
      <c r="Q17" s="1467">
        <v>220083426.55409652</v>
      </c>
      <c r="R17" s="1467">
        <v>22895</v>
      </c>
      <c r="S17" s="1149">
        <v>9612.7288296176685</v>
      </c>
    </row>
    <row r="18" spans="1:19" ht="15" customHeight="1">
      <c r="A18">
        <f>'A. 20-21 FN Schools Data'!A14</f>
        <v>261</v>
      </c>
      <c r="B18" t="str">
        <f>'A. 20-21 FN Schools Data'!B14</f>
        <v>Brokenhead</v>
      </c>
      <c r="C18">
        <f>'A. 20-21 FN Schools Data'!C14</f>
        <v>1756</v>
      </c>
      <c r="D18" t="str">
        <f>'A. 20-21 FN Schools Data'!D14</f>
        <v>Sergeant Tommy Prince School</v>
      </c>
      <c r="E18" s="1">
        <f>INDEX(TableAFNSchools[Total Headcount],MATCH(Table28[[#This Row],[School '#]],TableAFNSchools[School No.],0))</f>
        <v>123</v>
      </c>
      <c r="F18" s="1" t="str">
        <f>INDEX(TableAFNSchools[Proximate Provincial School Division],MATCH(Table28[[#This Row],[School '#]],TableAFNSchools[School No.],0))</f>
        <v>LORD SELKIRK</v>
      </c>
      <c r="G18" s="26">
        <f>ROUND(Table28[[#This Row],[Total Eligible Headcount]]*(INDEX($S$5:$S$16,MATCH(Table28[[#This Row],[Proximate School Divison ]],$K$5:$K$16,0))),0)</f>
        <v>1293468</v>
      </c>
      <c r="I18" s="26">
        <f>ROUND(Table28[[#This Row],[Total Eligible Headcount]]*(INDEX($U$5:$U$15,MATCH(Table28[[#This Row],[Proximate School Divison ]],$K$5:$K$15,0))),0)</f>
        <v>104550</v>
      </c>
    </row>
    <row r="19" spans="1:19" ht="15" customHeight="1">
      <c r="A19">
        <f>'A. 20-21 FN Schools Data'!A15</f>
        <v>273</v>
      </c>
      <c r="B19" t="str">
        <f>'A. 20-21 FN Schools Data'!B15</f>
        <v>Roseau River</v>
      </c>
      <c r="C19">
        <f>'A. 20-21 FN Schools Data'!C15</f>
        <v>5717</v>
      </c>
      <c r="D19" t="str">
        <f>'A. 20-21 FN Schools Data'!D15</f>
        <v>Ginew School</v>
      </c>
      <c r="E19" s="1">
        <f>INDEX(TableAFNSchools[Total Headcount],MATCH(Table28[[#This Row],[School '#]],TableAFNSchools[School No.],0))</f>
        <v>153</v>
      </c>
      <c r="F19" s="1" t="str">
        <f>INDEX(TableAFNSchools[Proximate Provincial School Division],MATCH(Table28[[#This Row],[School '#]],TableAFNSchools[School No.],0))</f>
        <v>BORDER LAND</v>
      </c>
      <c r="G19" s="26">
        <f>ROUND(Table28[[#This Row],[Total Eligible Headcount]]*(INDEX($S$5:$S$16,MATCH(Table28[[#This Row],[Proximate School Divison ]],$K$5:$K$16,0))),0)</f>
        <v>1575594</v>
      </c>
      <c r="I19" s="26">
        <f>ROUND(Table28[[#This Row],[Total Eligible Headcount]]*(INDEX($U$5:$U$15,MATCH(Table28[[#This Row],[Proximate School Divison ]],$K$5:$K$15,0))),0)</f>
        <v>243576</v>
      </c>
    </row>
    <row r="20" spans="1:19">
      <c r="A20">
        <f>'A. 20-21 FN Schools Data'!A16</f>
        <v>305</v>
      </c>
      <c r="B20" t="str">
        <f>'A. 20-21 FN Schools Data'!B16</f>
        <v>Fox Lake</v>
      </c>
      <c r="C20">
        <f>'A. 20-21 FN Schools Data'!C16</f>
        <v>6413</v>
      </c>
      <c r="D20" t="str">
        <f>'A. 20-21 FN Schools Data'!D16</f>
        <v>Fox Lake School</v>
      </c>
      <c r="E20" s="1">
        <f>INDEX(TableAFNSchools[Total Headcount],MATCH(Table28[[#This Row],[School '#]],TableAFNSchools[School No.],0))</f>
        <v>27</v>
      </c>
      <c r="F20" s="1" t="str">
        <f>INDEX(TableAFNSchools[Proximate Provincial School Division],MATCH(Table28[[#This Row],[School '#]],TableAFNSchools[School No.],0))</f>
        <v>FRONTIER</v>
      </c>
      <c r="G20" s="26">
        <f>ROUND(Table28[[#This Row],[Total Eligible Headcount]]*(INDEX($S$5:$S$16,MATCH(Table28[[#This Row],[Proximate School Divison ]],$K$5:$K$16,0))),0)</f>
        <v>313740</v>
      </c>
      <c r="I20" s="26">
        <f>ROUND(Table28[[#This Row],[Total Eligible Headcount]]*(INDEX($U$5:$U$15,MATCH(Table28[[#This Row],[Proximate School Divison ]],$K$5:$K$15,0))),0)</f>
        <v>204147</v>
      </c>
    </row>
    <row r="21" spans="1:19">
      <c r="A21">
        <f>'A. 20-21 FN Schools Data'!A17</f>
        <v>286</v>
      </c>
      <c r="B21" t="str">
        <f>'A. 20-21 FN Schools Data'!B17</f>
        <v>Keeseekoowenin</v>
      </c>
      <c r="C21">
        <f>'A. 20-21 FN Schools Data'!C17</f>
        <v>8990</v>
      </c>
      <c r="D21" t="str">
        <f>'A. 20-21 FN Schools Data'!D17</f>
        <v>Keeseekoowenin School</v>
      </c>
      <c r="E21" s="1">
        <f>INDEX(TableAFNSchools[Total Headcount],MATCH(Table28[[#This Row],[School '#]],TableAFNSchools[School No.],0))</f>
        <v>99</v>
      </c>
      <c r="F21" s="1" t="str">
        <f>INDEX(TableAFNSchools[Proximate Provincial School Division],MATCH(Table28[[#This Row],[School '#]],TableAFNSchools[School No.],0))</f>
        <v>ROLLING RIVER</v>
      </c>
      <c r="G21" s="26">
        <f>ROUND(Table28[[#This Row],[Total Eligible Headcount]]*(INDEX($S$5:$S$16,MATCH(Table28[[#This Row],[Proximate School Divison ]],$K$5:$K$16,0))),0)</f>
        <v>865656</v>
      </c>
      <c r="I21" s="26">
        <f>ROUND(Table28[[#This Row],[Total Eligible Headcount]]*(INDEX($U$5:$U$15,MATCH(Table28[[#This Row],[Proximate School Divison ]],$K$5:$K$15,0))),0)</f>
        <v>13662</v>
      </c>
    </row>
    <row r="22" spans="1:19">
      <c r="A22">
        <f>'A. 20-21 FN Schools Data'!A18</f>
        <v>261</v>
      </c>
      <c r="B22" t="str">
        <f>'A. 20-21 FN Schools Data'!B18</f>
        <v>Brokenhead</v>
      </c>
      <c r="C22">
        <f>'A. 20-21 FN Schools Data'!C18</f>
        <v>50250</v>
      </c>
      <c r="D22" t="str">
        <f>'A. 20-21 FN Schools Data'!D18</f>
        <v>Brokenhead Ojibway Nation Adult Learning Centre</v>
      </c>
      <c r="E22" s="1">
        <f>INDEX(TableAFNSchools[Total Headcount],MATCH(Table28[[#This Row],[School '#]],TableAFNSchools[School No.],0))</f>
        <v>25</v>
      </c>
      <c r="F22" s="1" t="str">
        <f>INDEX(TableAFNSchools[Proximate Provincial School Division],MATCH(Table28[[#This Row],[School '#]],TableAFNSchools[School No.],0))</f>
        <v>LORD SELKIRK</v>
      </c>
      <c r="G22" s="26">
        <f>ROUND(Table28[[#This Row],[Total Eligible Headcount]]*(INDEX($S$5:$S$16,MATCH(Table28[[#This Row],[Proximate School Divison ]],$K$5:$K$16,0))),0)</f>
        <v>262900</v>
      </c>
      <c r="I22" s="26">
        <f>ROUND(Table28[[#This Row],[Total Eligible Headcount]]*(INDEX($U$5:$U$15,MATCH(Table28[[#This Row],[Proximate School Divison ]],$K$5:$K$15,0))),0)</f>
        <v>21250</v>
      </c>
    </row>
    <row r="23" spans="1:19">
      <c r="A23" t="s">
        <v>72</v>
      </c>
      <c r="E23" s="1209">
        <f>SUBTOTAL(109,Table28[Total Eligible Headcount])</f>
        <v>2026</v>
      </c>
      <c r="F23" s="1209"/>
      <c r="G23" s="1209">
        <f>SUBTOTAL(109,Table28[Envelope Allocation])</f>
        <v>20916932</v>
      </c>
      <c r="I23" s="34" t="e">
        <f>SUM(I11:I22)</f>
        <v>#N/A</v>
      </c>
    </row>
    <row r="26" spans="1:19" ht="15">
      <c r="A26" s="1493" t="s">
        <v>785</v>
      </c>
      <c r="B26" s="1159"/>
      <c r="C26" s="1159"/>
      <c r="D26" s="1159"/>
      <c r="E26" s="1159"/>
      <c r="F26" s="1159"/>
      <c r="G26" s="1159"/>
    </row>
    <row r="27" spans="1:19">
      <c r="A27" s="323" t="s">
        <v>786</v>
      </c>
      <c r="B27" s="73"/>
      <c r="C27" s="73"/>
      <c r="D27" s="73"/>
      <c r="E27" s="73"/>
      <c r="F27" s="73"/>
      <c r="G27" s="73"/>
    </row>
  </sheetData>
  <mergeCells count="1">
    <mergeCell ref="A4:G6"/>
  </mergeCell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31">
    <tabColor theme="0" tint="-0.249977111117893"/>
  </sheetPr>
  <dimension ref="A1:K24"/>
  <sheetViews>
    <sheetView workbookViewId="0"/>
  </sheetViews>
  <sheetFormatPr baseColWidth="10" defaultColWidth="9.19921875" defaultRowHeight="14"/>
  <cols>
    <col min="2" max="2" width="18.796875" customWidth="1"/>
    <col min="3" max="3" width="9.19921875" customWidth="1"/>
    <col min="4" max="4" width="30" customWidth="1"/>
    <col min="5" max="5" width="16.19921875" customWidth="1"/>
    <col min="6" max="6" width="15.3984375" customWidth="1"/>
    <col min="7" max="7" width="4.3984375" customWidth="1"/>
    <col min="8" max="8" width="40.796875" customWidth="1"/>
    <col min="9" max="9" width="21.19921875" customWidth="1"/>
    <col min="10" max="10" width="15.19921875" customWidth="1"/>
    <col min="11" max="11" width="14.19921875" customWidth="1"/>
  </cols>
  <sheetData>
    <row r="1" spans="1:11">
      <c r="A1" t="s">
        <v>767</v>
      </c>
    </row>
    <row r="3" spans="1:11" ht="19">
      <c r="A3" s="33" t="s">
        <v>787</v>
      </c>
      <c r="H3" s="33" t="s">
        <v>787</v>
      </c>
    </row>
    <row r="4" spans="1:11" ht="15" customHeight="1">
      <c r="A4" s="1646" t="s">
        <v>788</v>
      </c>
      <c r="B4" s="1646"/>
      <c r="C4" s="1646"/>
      <c r="D4" s="1646"/>
      <c r="E4" s="1646"/>
      <c r="F4" s="1646"/>
    </row>
    <row r="5" spans="1:11" ht="39.75" customHeight="1">
      <c r="A5" s="1646"/>
      <c r="B5" s="1646"/>
      <c r="C5" s="1646"/>
      <c r="D5" s="1646"/>
      <c r="E5" s="1646"/>
      <c r="F5" s="1646"/>
    </row>
    <row r="6" spans="1:11" ht="33" customHeight="1">
      <c r="A6" s="1716" t="s">
        <v>789</v>
      </c>
      <c r="B6" s="1716"/>
      <c r="C6" s="1716"/>
      <c r="D6" s="1716"/>
      <c r="E6" s="1716"/>
      <c r="F6" s="1716"/>
      <c r="H6" s="1278" t="s">
        <v>787</v>
      </c>
      <c r="I6" s="1279" t="s">
        <v>790</v>
      </c>
    </row>
    <row r="7" spans="1:11">
      <c r="F7" s="52"/>
      <c r="H7" s="1280" t="s">
        <v>791</v>
      </c>
      <c r="I7" s="1281">
        <f>'E.3. Prov Data'!AG51</f>
        <v>368451867</v>
      </c>
    </row>
    <row r="8" spans="1:11">
      <c r="H8" s="874" t="s">
        <v>792</v>
      </c>
      <c r="I8" s="1282"/>
    </row>
    <row r="9" spans="1:11">
      <c r="H9" s="1280" t="s">
        <v>773</v>
      </c>
      <c r="I9" s="1281">
        <f>'E.3. Prov Data'!AH51</f>
        <v>209808876</v>
      </c>
      <c r="K9" s="74"/>
    </row>
    <row r="10" spans="1:11" ht="24" customHeight="1">
      <c r="A10" s="114" t="s">
        <v>285</v>
      </c>
      <c r="B10" s="114" t="s">
        <v>286</v>
      </c>
      <c r="C10" s="114" t="s">
        <v>330</v>
      </c>
      <c r="D10" s="114" t="s">
        <v>331</v>
      </c>
      <c r="E10" s="888" t="s">
        <v>566</v>
      </c>
      <c r="F10" s="140" t="s">
        <v>322</v>
      </c>
      <c r="H10" s="1150" t="s">
        <v>793</v>
      </c>
      <c r="I10" s="1151">
        <f>'E.3. Prov Data'!AI51</f>
        <v>37415317</v>
      </c>
    </row>
    <row r="11" spans="1:11">
      <c r="A11">
        <f>'A. 20-21 FN Schools Data'!A7</f>
        <v>272</v>
      </c>
      <c r="B11" t="str">
        <f>'A. 20-21 FN Schools Data'!B7</f>
        <v>Pinaymootang</v>
      </c>
      <c r="C11">
        <f>'A. 20-21 FN Schools Data'!C7</f>
        <v>1140</v>
      </c>
      <c r="D11" t="str">
        <f>'A. 20-21 FN Schools Data'!D7</f>
        <v>Pinaymootang School</v>
      </c>
      <c r="E11" s="1">
        <f>INDEX(TableAFNSchools[Total Funded FTE],MATCH(Table29[[#This Row],[School '#]],TableAFNSchools[School No.],0))</f>
        <v>435</v>
      </c>
      <c r="F11" s="138">
        <f>ROUND(Table29[[#This Row],[Total Eligible FTE]]*FundingRate_OtherRevProxy,0)</f>
        <v>245011</v>
      </c>
      <c r="H11" s="1150" t="s">
        <v>794</v>
      </c>
      <c r="I11" s="1151">
        <v>22787481</v>
      </c>
    </row>
    <row r="12" spans="1:11">
      <c r="A12">
        <f>'A. 20-21 FN Schools Data'!A8</f>
        <v>275</v>
      </c>
      <c r="B12" t="str">
        <f>'A. 20-21 FN Schools Data'!B8</f>
        <v>Lake St. Martin</v>
      </c>
      <c r="C12">
        <f>'A. 20-21 FN Schools Data'!C8</f>
        <v>1144</v>
      </c>
      <c r="D12" t="str">
        <f>'A. 20-21 FN Schools Data'!D8</f>
        <v>Lake St. Martin School</v>
      </c>
      <c r="E12" s="80">
        <f>INDEX(TableAFNSchools[Total Funded FTE],MATCH(Table29[[#This Row],[School '#]],TableAFNSchools[School No.],0))</f>
        <v>398</v>
      </c>
      <c r="F12" s="138">
        <f>ROUND(Table29[[#This Row],[Total Eligible FTE]]*FundingRate_OtherRevProxy,0)</f>
        <v>224171</v>
      </c>
      <c r="H12" s="1262" t="s">
        <v>72</v>
      </c>
      <c r="I12" s="1261">
        <f>I7-I9-I10-I11</f>
        <v>98440193</v>
      </c>
    </row>
    <row r="13" spans="1:11">
      <c r="A13">
        <f>'A. 20-21 FN Schools Data'!A9</f>
        <v>267</v>
      </c>
      <c r="B13" t="str">
        <f>'A. 20-21 FN Schools Data'!B9</f>
        <v>Bloodvein</v>
      </c>
      <c r="C13">
        <f>'A. 20-21 FN Schools Data'!C9</f>
        <v>1148</v>
      </c>
      <c r="D13" t="str">
        <f>'A. 20-21 FN Schools Data'!D9</f>
        <v>Miskooseepi School</v>
      </c>
      <c r="E13" s="1">
        <f>INDEX(TableAFNSchools[Total Funded FTE],MATCH(Table29[[#This Row],[School '#]],TableAFNSchools[School No.],0))</f>
        <v>194</v>
      </c>
      <c r="F13" s="138">
        <f>ROUND(Table29[[#This Row],[Total Eligible FTE]]*FundingRate_OtherRevProxy,0)</f>
        <v>109269</v>
      </c>
      <c r="H13" s="1283" t="s">
        <v>795</v>
      </c>
      <c r="I13" s="1284">
        <f>'E.3. Prov Data'!AZ51</f>
        <v>174773.6</v>
      </c>
      <c r="J13" t="s">
        <v>796</v>
      </c>
    </row>
    <row r="14" spans="1:11">
      <c r="A14">
        <f>'A. 20-21 FN Schools Data'!A10</f>
        <v>304</v>
      </c>
      <c r="B14" t="str">
        <f>'A. 20-21 FN Schools Data'!B10</f>
        <v>York Factory</v>
      </c>
      <c r="C14">
        <f>'A. 20-21 FN Schools Data'!C10</f>
        <v>1166</v>
      </c>
      <c r="D14" t="str">
        <f>'A. 20-21 FN Schools Data'!D10</f>
        <v>George Saunders Memorial School</v>
      </c>
      <c r="E14" s="1">
        <f>INDEX(TableAFNSchools[Total Funded FTE],MATCH(Table29[[#This Row],[School '#]],TableAFNSchools[School No.],0))</f>
        <v>142</v>
      </c>
      <c r="F14" s="138">
        <f>ROUND(Table29[[#This Row],[Total Eligible FTE]]*FundingRate_OtherRevProxy,0)</f>
        <v>79981</v>
      </c>
      <c r="H14" s="1262" t="s">
        <v>797</v>
      </c>
      <c r="I14" s="1223">
        <f>I12/I13</f>
        <v>563.24406546526473</v>
      </c>
    </row>
    <row r="15" spans="1:11">
      <c r="A15">
        <f>'A. 20-21 FN Schools Data'!A11</f>
        <v>271</v>
      </c>
      <c r="B15" t="str">
        <f>'A. 20-21 FN Schools Data'!B11</f>
        <v>Lake Manitoba</v>
      </c>
      <c r="C15">
        <f>'A. 20-21 FN Schools Data'!C11</f>
        <v>1345</v>
      </c>
      <c r="D15" t="str">
        <f>'A. 20-21 FN Schools Data'!D11</f>
        <v>Lake Manitoba School</v>
      </c>
      <c r="E15" s="1">
        <f>INDEX(TableAFNSchools[Total Funded FTE],MATCH(Table29[[#This Row],[School '#]],TableAFNSchools[School No.],0))</f>
        <v>303</v>
      </c>
      <c r="F15" s="138">
        <f>ROUND(Table29[[#This Row],[Total Eligible FTE]]*FundingRate_OtherRevProxy,0)</f>
        <v>170663</v>
      </c>
      <c r="H15" s="1717" t="s">
        <v>798</v>
      </c>
      <c r="I15" s="1717"/>
    </row>
    <row r="16" spans="1:11" ht="15" customHeight="1">
      <c r="A16">
        <f>'A. 20-21 FN Schools Data'!A12</f>
        <v>295</v>
      </c>
      <c r="B16" t="str">
        <f>'A. 20-21 FN Schools Data'!B12</f>
        <v>Dakota Tipi</v>
      </c>
      <c r="C16">
        <f>'A. 20-21 FN Schools Data'!C12</f>
        <v>1350</v>
      </c>
      <c r="D16" t="str">
        <f>'A. 20-21 FN Schools Data'!D12</f>
        <v>Dakota Tipi School</v>
      </c>
      <c r="E16" s="1">
        <f>INDEX(TableAFNSchools[Total Funded FTE],MATCH(Table29[[#This Row],[School '#]],TableAFNSchools[School No.],0))</f>
        <v>41</v>
      </c>
      <c r="F16" s="138">
        <f>ROUND(Table29[[#This Row],[Total Eligible FTE]]*FundingRate_OtherRevProxy,0)</f>
        <v>23093</v>
      </c>
      <c r="H16" s="1646"/>
      <c r="I16" s="1646"/>
    </row>
    <row r="17" spans="1:9">
      <c r="A17">
        <f>'A. 20-21 FN Schools Data'!A13</f>
        <v>288</v>
      </c>
      <c r="B17" t="str">
        <f>'A. 20-21 FN Schools Data'!B13</f>
        <v>Dakota Plains</v>
      </c>
      <c r="C17">
        <f>'A. 20-21 FN Schools Data'!C13</f>
        <v>1486</v>
      </c>
      <c r="D17" t="str">
        <f>'A. 20-21 FN Schools Data'!D13</f>
        <v>Mahpiya Hdega School</v>
      </c>
      <c r="E17" s="1">
        <f>INDEX(TableAFNSchools[Total Funded FTE],MATCH(Table29[[#This Row],[School '#]],TableAFNSchools[School No.],0))</f>
        <v>86</v>
      </c>
      <c r="F17" s="138">
        <f>ROUND(Table29[[#This Row],[Total Eligible FTE]]*FundingRate_OtherRevProxy,0)</f>
        <v>48439</v>
      </c>
      <c r="H17" s="1646"/>
      <c r="I17" s="1646"/>
    </row>
    <row r="18" spans="1:9">
      <c r="A18">
        <f>'A. 20-21 FN Schools Data'!A14</f>
        <v>261</v>
      </c>
      <c r="B18" t="str">
        <f>'A. 20-21 FN Schools Data'!B14</f>
        <v>Brokenhead</v>
      </c>
      <c r="C18">
        <f>'A. 20-21 FN Schools Data'!C14</f>
        <v>1756</v>
      </c>
      <c r="D18" t="str">
        <f>'A. 20-21 FN Schools Data'!D14</f>
        <v>Sergeant Tommy Prince School</v>
      </c>
      <c r="E18" s="1">
        <f>INDEX(TableAFNSchools[Total Funded FTE],MATCH(Table29[[#This Row],[School '#]],TableAFNSchools[School No.],0))</f>
        <v>123</v>
      </c>
      <c r="F18" s="138">
        <f>ROUND(Table29[[#This Row],[Total Eligible FTE]]*FundingRate_OtherRevProxy,0)</f>
        <v>69279</v>
      </c>
      <c r="H18" s="35"/>
      <c r="I18" s="35"/>
    </row>
    <row r="19" spans="1:9">
      <c r="A19">
        <f>'A. 20-21 FN Schools Data'!A15</f>
        <v>273</v>
      </c>
      <c r="B19" t="str">
        <f>'A. 20-21 FN Schools Data'!B15</f>
        <v>Roseau River</v>
      </c>
      <c r="C19">
        <f>'A. 20-21 FN Schools Data'!C15</f>
        <v>5717</v>
      </c>
      <c r="D19" t="str">
        <f>'A. 20-21 FN Schools Data'!D15</f>
        <v>Ginew School</v>
      </c>
      <c r="E19" s="1">
        <f>INDEX(TableAFNSchools[Total Funded FTE],MATCH(Table29[[#This Row],[School '#]],TableAFNSchools[School No.],0))</f>
        <v>153</v>
      </c>
      <c r="F19" s="138">
        <f>ROUND(Table29[[#This Row],[Total Eligible FTE]]*FundingRate_OtherRevProxy,0)</f>
        <v>86176</v>
      </c>
    </row>
    <row r="20" spans="1:9">
      <c r="A20">
        <f>'A. 20-21 FN Schools Data'!A16</f>
        <v>305</v>
      </c>
      <c r="B20" t="str">
        <f>'A. 20-21 FN Schools Data'!B16</f>
        <v>Fox Lake</v>
      </c>
      <c r="C20">
        <f>'A. 20-21 FN Schools Data'!C16</f>
        <v>6413</v>
      </c>
      <c r="D20" t="str">
        <f>'A. 20-21 FN Schools Data'!D16</f>
        <v>Fox Lake School</v>
      </c>
      <c r="E20" s="1">
        <f>INDEX(TableAFNSchools[Total Funded FTE],MATCH(Table29[[#This Row],[School '#]],TableAFNSchools[School No.],0))</f>
        <v>27</v>
      </c>
      <c r="F20" s="138">
        <f>ROUND(Table29[[#This Row],[Total Eligible FTE]]*FundingRate_OtherRevProxy,0)</f>
        <v>15208</v>
      </c>
    </row>
    <row r="21" spans="1:9">
      <c r="A21">
        <f>'A. 20-21 FN Schools Data'!A17</f>
        <v>286</v>
      </c>
      <c r="B21" t="str">
        <f>'A. 20-21 FN Schools Data'!B17</f>
        <v>Keeseekoowenin</v>
      </c>
      <c r="C21">
        <f>'A. 20-21 FN Schools Data'!C17</f>
        <v>8990</v>
      </c>
      <c r="D21" t="str">
        <f>'A. 20-21 FN Schools Data'!D17</f>
        <v>Keeseekoowenin School</v>
      </c>
      <c r="E21" s="1">
        <f>INDEX(TableAFNSchools[Total Funded FTE],MATCH(Table29[[#This Row],[School '#]],TableAFNSchools[School No.],0))</f>
        <v>99</v>
      </c>
      <c r="F21" s="138">
        <f>ROUND(Table29[[#This Row],[Total Eligible FTE]]*FundingRate_OtherRevProxy,0)</f>
        <v>55761</v>
      </c>
    </row>
    <row r="22" spans="1:9">
      <c r="A22">
        <f>'A. 20-21 FN Schools Data'!A18</f>
        <v>261</v>
      </c>
      <c r="B22" t="str">
        <f>'A. 20-21 FN Schools Data'!B18</f>
        <v>Brokenhead</v>
      </c>
      <c r="C22">
        <f>'A. 20-21 FN Schools Data'!C18</f>
        <v>50250</v>
      </c>
      <c r="D22" t="str">
        <f>'A. 20-21 FN Schools Data'!D18</f>
        <v>Brokenhead Ojibway Nation Adult Learning Centre</v>
      </c>
      <c r="E22" s="1">
        <f>INDEX(TableAFNSchools[Total Funded FTE],MATCH(Table29[[#This Row],[School '#]],TableAFNSchools[School No.],0))</f>
        <v>25</v>
      </c>
      <c r="F22" s="138">
        <f>ROUND(Table29[[#This Row],[Total Eligible FTE]]*FundingRate_OtherRevProxy,0)</f>
        <v>14081</v>
      </c>
    </row>
    <row r="23" spans="1:9">
      <c r="A23" t="s">
        <v>72</v>
      </c>
      <c r="E23" s="1197">
        <f>SUBTOTAL(109,Table29[Total Eligible FTE])</f>
        <v>2026</v>
      </c>
      <c r="F23" s="138">
        <f>SUBTOTAL(109,Table29[TOTAL])</f>
        <v>1141132</v>
      </c>
    </row>
    <row r="24" spans="1:9">
      <c r="E24" s="1"/>
    </row>
  </sheetData>
  <mergeCells count="3">
    <mergeCell ref="A4:F5"/>
    <mergeCell ref="A6:F6"/>
    <mergeCell ref="H15:I17"/>
  </mergeCells>
  <pageMargins left="0.7" right="0.7" top="0.75" bottom="0.75" header="0.3" footer="0.3"/>
  <pageSetup orientation="portrait" r:id="rId1"/>
  <headerFooter>
    <oddHeader>&amp;LMFNERC First Nations School System 2017-18&amp;RE&amp;&amp;OE
&amp;P of &amp;N</oddHeader>
  </headerFooter>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25"/>
  <sheetViews>
    <sheetView topLeftCell="A12" workbookViewId="0"/>
  </sheetViews>
  <sheetFormatPr baseColWidth="10" defaultColWidth="9" defaultRowHeight="14"/>
  <cols>
    <col min="1" max="1" width="33.19921875" customWidth="1"/>
    <col min="2" max="2" width="17.796875" customWidth="1"/>
    <col min="3" max="3" width="18.3984375" customWidth="1"/>
    <col min="4" max="4" width="15.19921875" customWidth="1"/>
    <col min="5" max="5" width="15.796875" customWidth="1"/>
    <col min="6" max="6" width="17.796875" customWidth="1"/>
  </cols>
  <sheetData>
    <row r="1" spans="1:6">
      <c r="A1" t="s">
        <v>799</v>
      </c>
    </row>
    <row r="3" spans="1:6" ht="19">
      <c r="A3" s="33" t="s">
        <v>234</v>
      </c>
    </row>
    <row r="4" spans="1:6" ht="36.75" customHeight="1">
      <c r="A4" s="1714" t="s">
        <v>800</v>
      </c>
      <c r="B4" s="1714"/>
      <c r="C4" s="1714"/>
      <c r="D4" s="1714"/>
      <c r="E4" s="1714"/>
    </row>
    <row r="5" spans="1:6" ht="37.5" customHeight="1">
      <c r="A5" s="1714" t="s">
        <v>801</v>
      </c>
      <c r="B5" s="1714"/>
      <c r="C5" s="1714"/>
      <c r="D5" s="1714"/>
      <c r="E5" s="1714"/>
    </row>
    <row r="6" spans="1:6" ht="27" customHeight="1">
      <c r="A6" s="1718" t="s">
        <v>802</v>
      </c>
      <c r="B6" s="1718"/>
      <c r="C6" s="1718"/>
      <c r="D6" s="1718"/>
      <c r="E6" s="1718"/>
      <c r="F6" s="75"/>
    </row>
    <row r="7" spans="1:6">
      <c r="A7" t="s">
        <v>803</v>
      </c>
    </row>
    <row r="8" spans="1:6" ht="27.75" customHeight="1">
      <c r="A8" s="1718" t="s">
        <v>804</v>
      </c>
      <c r="B8" s="1718"/>
      <c r="C8" s="1718"/>
      <c r="D8" s="1718"/>
      <c r="E8" s="1718"/>
    </row>
    <row r="9" spans="1:6" ht="42" customHeight="1">
      <c r="A9" s="1718" t="s">
        <v>805</v>
      </c>
      <c r="B9" s="1718"/>
      <c r="C9" s="1718"/>
      <c r="D9" s="1718"/>
      <c r="E9" s="1718"/>
    </row>
    <row r="12" spans="1:6" ht="30">
      <c r="A12" s="1470"/>
      <c r="B12" s="1494" t="s">
        <v>806</v>
      </c>
      <c r="C12" s="1494" t="s">
        <v>807</v>
      </c>
      <c r="D12" s="1494" t="s">
        <v>808</v>
      </c>
      <c r="E12" s="1494" t="s">
        <v>322</v>
      </c>
    </row>
    <row r="13" spans="1:6" ht="21.75" customHeight="1">
      <c r="A13" s="174" t="s">
        <v>809</v>
      </c>
      <c r="B13" s="377">
        <f>$B$24*0.98</f>
        <v>12587630.58</v>
      </c>
      <c r="C13" s="381">
        <v>0</v>
      </c>
      <c r="D13" s="382" t="e">
        <f>C24</f>
        <v>#N/A</v>
      </c>
      <c r="E13" s="380" t="e">
        <f>IF((B13-C13-D13)&lt;0,0,B13-C13-D13)</f>
        <v>#N/A</v>
      </c>
    </row>
    <row r="14" spans="1:6">
      <c r="D14" s="379"/>
    </row>
    <row r="15" spans="1:6">
      <c r="D15" s="379"/>
    </row>
    <row r="18" spans="1:3">
      <c r="A18" s="1495"/>
      <c r="B18" s="1496" t="s">
        <v>810</v>
      </c>
      <c r="C18" s="1497" t="s">
        <v>811</v>
      </c>
    </row>
    <row r="19" spans="1:3">
      <c r="A19" s="383" t="s">
        <v>812</v>
      </c>
      <c r="B19" s="914">
        <v>4555669</v>
      </c>
      <c r="C19" s="918">
        <f>Table31[[#Totals],[BASE SUPPORT SUBTOTAL]]</f>
        <v>8203693</v>
      </c>
    </row>
    <row r="20" spans="1:3">
      <c r="A20" s="383" t="s">
        <v>813</v>
      </c>
      <c r="B20" s="914">
        <v>6124748</v>
      </c>
      <c r="C20" s="918">
        <f>Table31[[#Totals],[CATEGORICAL SUPPORT SUBTOTAL]]+Table31[[#Totals],[3. TRANSPORTATION]]</f>
        <v>10175747</v>
      </c>
    </row>
    <row r="21" spans="1:3">
      <c r="A21" s="383" t="s">
        <v>814</v>
      </c>
      <c r="B21" s="914">
        <v>2116009</v>
      </c>
      <c r="C21" s="918" t="e">
        <f>'Property Tax'!I23</f>
        <v>#N/A</v>
      </c>
    </row>
    <row r="22" spans="1:3">
      <c r="A22" s="383" t="s">
        <v>815</v>
      </c>
      <c r="B22" s="914">
        <v>48095</v>
      </c>
      <c r="C22" s="918">
        <f>Table31[[#Totals],[Minor Capital]]</f>
        <v>87773</v>
      </c>
    </row>
    <row r="23" spans="1:3">
      <c r="A23" s="915" t="s">
        <v>234</v>
      </c>
      <c r="B23" s="916">
        <v>0</v>
      </c>
      <c r="C23" s="19"/>
    </row>
    <row r="24" spans="1:3">
      <c r="A24" s="1495" t="s">
        <v>72</v>
      </c>
      <c r="B24" s="1498">
        <f>SUM(B19:B23)</f>
        <v>12844521</v>
      </c>
      <c r="C24" s="1499" t="e">
        <f>SUM(C19:C23)</f>
        <v>#N/A</v>
      </c>
    </row>
    <row r="25" spans="1:3">
      <c r="B25" s="379"/>
    </row>
  </sheetData>
  <mergeCells count="5">
    <mergeCell ref="A5:E5"/>
    <mergeCell ref="A6:E6"/>
    <mergeCell ref="A8:E8"/>
    <mergeCell ref="A9:E9"/>
    <mergeCell ref="A4:E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32"/>
  <dimension ref="A2:G25"/>
  <sheetViews>
    <sheetView workbookViewId="0"/>
  </sheetViews>
  <sheetFormatPr baseColWidth="10" defaultColWidth="9.19921875" defaultRowHeight="14"/>
  <cols>
    <col min="2" max="2" width="18.59765625" customWidth="1"/>
    <col min="3" max="3" width="18.796875" customWidth="1"/>
    <col min="4" max="4" width="20.19921875" customWidth="1"/>
    <col min="5" max="5" width="22.59765625" customWidth="1"/>
    <col min="6" max="6" width="10.19921875" customWidth="1"/>
    <col min="7" max="7" width="17.59765625" customWidth="1"/>
    <col min="8" max="8" width="35.19921875" customWidth="1"/>
    <col min="9" max="9" width="24.59765625" customWidth="1"/>
  </cols>
  <sheetData>
    <row r="2" spans="1:7" ht="19">
      <c r="A2" s="33" t="s">
        <v>816</v>
      </c>
    </row>
    <row r="3" spans="1:7" ht="57" customHeight="1">
      <c r="A3" s="1722" t="s">
        <v>817</v>
      </c>
      <c r="B3" s="1722"/>
      <c r="C3" s="1722"/>
      <c r="D3" s="1722"/>
      <c r="E3" s="1722"/>
      <c r="F3" s="1722"/>
    </row>
    <row r="4" spans="1:7">
      <c r="A4" s="1228" t="s">
        <v>818</v>
      </c>
      <c r="B4" s="1228"/>
      <c r="C4" s="1228"/>
      <c r="D4" s="1285">
        <f>SUM('E.3. Prov Data'!AT13:AT48)</f>
        <v>3000</v>
      </c>
      <c r="E4" s="1692" t="s">
        <v>819</v>
      </c>
      <c r="F4" s="1723">
        <v>0.22850000000000001</v>
      </c>
    </row>
    <row r="5" spans="1:7" ht="50.25" customHeight="1">
      <c r="A5" s="1719" t="s">
        <v>820</v>
      </c>
      <c r="B5" s="1720"/>
      <c r="C5" s="1721"/>
      <c r="D5" s="1285">
        <f>'E.3. Prov Data'!V53</f>
        <v>128384000</v>
      </c>
      <c r="E5" s="1692"/>
      <c r="F5" s="1724"/>
      <c r="G5" s="35"/>
    </row>
    <row r="6" spans="1:7" ht="15">
      <c r="A6" s="556" t="s">
        <v>821</v>
      </c>
    </row>
    <row r="7" spans="1:7">
      <c r="A7" t="s">
        <v>822</v>
      </c>
    </row>
    <row r="10" spans="1:7" ht="39" customHeight="1">
      <c r="A10" s="111" t="s">
        <v>285</v>
      </c>
      <c r="B10" s="111" t="s">
        <v>286</v>
      </c>
      <c r="C10" s="114" t="s">
        <v>823</v>
      </c>
      <c r="D10" s="132" t="s">
        <v>824</v>
      </c>
    </row>
    <row r="11" spans="1:7">
      <c r="A11">
        <f>'D. 19-20 Enrolment by FN'!A7</f>
        <v>261</v>
      </c>
      <c r="B11" t="str">
        <f>'D. 19-20 Enrolment by FN'!B7</f>
        <v>Brokenhead Ojibway</v>
      </c>
      <c r="C11" s="20">
        <f>Table31[[#This Row],[BASE SUPPORT SUBTOTAL]]</f>
        <v>753063</v>
      </c>
      <c r="D11" s="138">
        <f>ROUND(Table30[[#This Row],[Total Base Support Funding]]*PensionContrPercent,0)</f>
        <v>172075</v>
      </c>
    </row>
    <row r="12" spans="1:7">
      <c r="A12">
        <f>'D. 19-20 Enrolment by FN'!A8</f>
        <v>267</v>
      </c>
      <c r="B12" t="str">
        <f>'D. 19-20 Enrolment by FN'!B8</f>
        <v>Bloodvein</v>
      </c>
      <c r="C12" s="20">
        <f>Table31[[#This Row],[BASE SUPPORT SUBTOTAL]]</f>
        <v>777646</v>
      </c>
      <c r="D12" s="138">
        <f>ROUND(Table30[[#This Row],[Total Base Support Funding]]*PensionContrPercent,0)</f>
        <v>177692</v>
      </c>
    </row>
    <row r="13" spans="1:7">
      <c r="A13">
        <f>'D. 19-20 Enrolment by FN'!A9</f>
        <v>271</v>
      </c>
      <c r="B13" t="str">
        <f>'D. 19-20 Enrolment by FN'!B9</f>
        <v>Lake Manitoba</v>
      </c>
      <c r="C13" s="20">
        <f>Table31[[#This Row],[BASE SUPPORT SUBTOTAL]]</f>
        <v>1237766</v>
      </c>
      <c r="D13" s="138">
        <f>ROUND(Table30[[#This Row],[Total Base Support Funding]]*PensionContrPercent,0)</f>
        <v>282830</v>
      </c>
    </row>
    <row r="14" spans="1:7">
      <c r="A14">
        <f>'D. 19-20 Enrolment by FN'!A10</f>
        <v>272</v>
      </c>
      <c r="B14" t="str">
        <f>'D. 19-20 Enrolment by FN'!B10</f>
        <v>Pinaymootang</v>
      </c>
      <c r="C14" s="20">
        <f>Table31[[#This Row],[BASE SUPPORT SUBTOTAL]]</f>
        <v>1652290</v>
      </c>
      <c r="D14" s="138">
        <f>ROUND(Table30[[#This Row],[Total Base Support Funding]]*PensionContrPercent,0)</f>
        <v>377548</v>
      </c>
    </row>
    <row r="15" spans="1:7">
      <c r="A15">
        <f>'D. 19-20 Enrolment by FN'!A11</f>
        <v>273</v>
      </c>
      <c r="B15" t="str">
        <f>'D. 19-20 Enrolment by FN'!B11</f>
        <v>Roseau River</v>
      </c>
      <c r="C15" s="20">
        <f>Table31[[#This Row],[BASE SUPPORT SUBTOTAL]]</f>
        <v>508145</v>
      </c>
      <c r="D15" s="138">
        <f>ROUND(Table30[[#This Row],[Total Base Support Funding]]*PensionContrPercent,0)</f>
        <v>116111</v>
      </c>
    </row>
    <row r="16" spans="1:7">
      <c r="A16">
        <f>'D. 19-20 Enrolment by FN'!A12</f>
        <v>275</v>
      </c>
      <c r="B16" t="str">
        <f>'D. 19-20 Enrolment by FN'!B12</f>
        <v>Lake St. Martin</v>
      </c>
      <c r="C16" s="20">
        <f>Table31[[#This Row],[BASE SUPPORT SUBTOTAL]]</f>
        <v>1469398</v>
      </c>
      <c r="D16" s="138">
        <f>ROUND(Table30[[#This Row],[Total Base Support Funding]]*PensionContrPercent,0)</f>
        <v>335757</v>
      </c>
    </row>
    <row r="17" spans="1:6">
      <c r="A17">
        <f>'D. 19-20 Enrolment by FN'!A13</f>
        <v>286</v>
      </c>
      <c r="B17" t="str">
        <f>'D. 19-20 Enrolment by FN'!B13</f>
        <v>Keeseekoowenin</v>
      </c>
      <c r="C17" s="20">
        <f>Table31[[#This Row],[BASE SUPPORT SUBTOTAL]]</f>
        <v>344660</v>
      </c>
      <c r="D17" s="138">
        <f>ROUND(Table30[[#This Row],[Total Base Support Funding]]*PensionContrPercent,0)</f>
        <v>78755</v>
      </c>
    </row>
    <row r="18" spans="1:6">
      <c r="A18">
        <f>'D. 19-20 Enrolment by FN'!A14</f>
        <v>288</v>
      </c>
      <c r="B18" t="str">
        <f>'D. 19-20 Enrolment by FN'!B14</f>
        <v>Dakota Plains</v>
      </c>
      <c r="C18" s="20">
        <f>Table31[[#This Row],[BASE SUPPORT SUBTOTAL]]</f>
        <v>358676</v>
      </c>
      <c r="D18" s="138">
        <f>ROUND(Table30[[#This Row],[Total Base Support Funding]]*PensionContrPercent,0)</f>
        <v>81957</v>
      </c>
    </row>
    <row r="19" spans="1:6">
      <c r="A19">
        <f>'D. 19-20 Enrolment by FN'!A15</f>
        <v>295</v>
      </c>
      <c r="B19" t="str">
        <f>'D. 19-20 Enrolment by FN'!B15</f>
        <v>Dakota Tipi</v>
      </c>
      <c r="C19" s="20">
        <f>Table31[[#This Row],[BASE SUPPORT SUBTOTAL]]</f>
        <v>255626</v>
      </c>
      <c r="D19" s="138">
        <f>ROUND(Table30[[#This Row],[Total Base Support Funding]]*PensionContrPercent,0)</f>
        <v>58411</v>
      </c>
    </row>
    <row r="20" spans="1:6">
      <c r="A20">
        <f>'D. 19-20 Enrolment by FN'!A16</f>
        <v>304</v>
      </c>
      <c r="B20" t="str">
        <f>'D. 19-20 Enrolment by FN'!B16</f>
        <v>York Factory</v>
      </c>
      <c r="C20" s="20">
        <f>Table31[[#This Row],[BASE SUPPORT SUBTOTAL]]</f>
        <v>535984</v>
      </c>
      <c r="D20" s="138">
        <f>ROUND(Table30[[#This Row],[Total Base Support Funding]]*PensionContrPercent,0)</f>
        <v>122472</v>
      </c>
    </row>
    <row r="21" spans="1:6">
      <c r="A21">
        <f>'D. 19-20 Enrolment by FN'!A17</f>
        <v>305</v>
      </c>
      <c r="B21" t="str">
        <f>'D. 19-20 Enrolment by FN'!B17</f>
        <v>Fox Lake</v>
      </c>
      <c r="C21" s="397">
        <f>Table31[[#This Row],[BASE SUPPORT SUBTOTAL]]</f>
        <v>310439</v>
      </c>
      <c r="D21" s="413">
        <f>ROUND(Table30[[#This Row],[Total Base Support Funding]]*PensionContrPercent,0)</f>
        <v>70935</v>
      </c>
    </row>
    <row r="22" spans="1:6">
      <c r="A22" t="s">
        <v>72</v>
      </c>
      <c r="C22" s="1231">
        <f>SUBTOTAL(109,Table30[Total Base Support Funding])</f>
        <v>8203693</v>
      </c>
      <c r="D22" s="138">
        <f>SUBTOTAL(109,Table30[TOTAL PENSIONS])</f>
        <v>1874543</v>
      </c>
    </row>
    <row r="25" spans="1:6" ht="15">
      <c r="F25" s="22"/>
    </row>
  </sheetData>
  <mergeCells count="4">
    <mergeCell ref="A5:C5"/>
    <mergeCell ref="E4:E5"/>
    <mergeCell ref="A3:F3"/>
    <mergeCell ref="F4:F5"/>
  </mergeCells>
  <hyperlinks>
    <hyperlink ref="A6" r:id="rId1" xr:uid="{00000000-0004-0000-2C00-000000000000}"/>
  </hyperlinks>
  <pageMargins left="0.7" right="0.7" top="0.75" bottom="0.75" header="0.3" footer="0.3"/>
  <pageSetup orientation="portrait" r:id="rId2"/>
  <headerFooter>
    <oddHeader>&amp;LMFNERC First Nations School System 2017-18&amp;RE&amp;&amp;OE</oddHeader>
  </headerFooter>
  <legacyDrawing r:id="rId3"/>
  <tableParts count="1">
    <tablePart r:id="rId4"/>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tint="0.39997558519241921"/>
  </sheetPr>
  <dimension ref="A3:O68"/>
  <sheetViews>
    <sheetView topLeftCell="A47" workbookViewId="0">
      <selection activeCell="M68" sqref="M68"/>
    </sheetView>
  </sheetViews>
  <sheetFormatPr baseColWidth="10" defaultColWidth="9" defaultRowHeight="14"/>
  <cols>
    <col min="1" max="1" width="8.59765625" customWidth="1"/>
    <col min="2" max="2" width="18.59765625" customWidth="1"/>
    <col min="3" max="3" width="9.59765625" customWidth="1"/>
    <col min="4" max="4" width="31.19921875" customWidth="1"/>
    <col min="5" max="5" width="18" customWidth="1"/>
    <col min="6" max="6" width="14.59765625" customWidth="1"/>
    <col min="7" max="7" width="33.796875" customWidth="1"/>
    <col min="8" max="8" width="20.19921875" customWidth="1"/>
    <col min="9" max="9" width="16" customWidth="1"/>
    <col min="10" max="10" width="20.19921875" customWidth="1"/>
    <col min="11" max="11" width="18.796875" customWidth="1"/>
    <col min="12" max="12" width="19" customWidth="1"/>
    <col min="13" max="13" width="20.796875" customWidth="1"/>
    <col min="14" max="14" width="13" customWidth="1"/>
  </cols>
  <sheetData>
    <row r="3" spans="1:15" ht="19">
      <c r="A3" s="33" t="s">
        <v>825</v>
      </c>
    </row>
    <row r="4" spans="1:15" ht="29.25" customHeight="1">
      <c r="A4" s="1714" t="s">
        <v>826</v>
      </c>
      <c r="B4" s="1714"/>
      <c r="C4" s="1714"/>
      <c r="D4" s="1714"/>
      <c r="E4" s="1714"/>
      <c r="F4" s="1714"/>
    </row>
    <row r="5" spans="1:15">
      <c r="B5" s="874" t="s">
        <v>827</v>
      </c>
      <c r="C5" s="1500"/>
      <c r="D5" s="875"/>
    </row>
    <row r="6" spans="1:15">
      <c r="A6" t="s">
        <v>828</v>
      </c>
    </row>
    <row r="7" spans="1:15">
      <c r="B7" s="1228" t="s">
        <v>829</v>
      </c>
      <c r="C7" s="1500"/>
      <c r="D7" s="1210">
        <f>ROUND(('G2. 20-21 Prov Tuition Rates'!K14+'G2. 20-21 Prov Tuition Rates'!L14)/'G2. 20-21 Prov Tuition Rates'!C14,2)</f>
        <v>750.06</v>
      </c>
    </row>
    <row r="8" spans="1:15">
      <c r="D8" s="819"/>
    </row>
    <row r="9" spans="1:15">
      <c r="A9" t="s">
        <v>830</v>
      </c>
      <c r="D9" s="1079">
        <v>540.97</v>
      </c>
    </row>
    <row r="10" spans="1:15">
      <c r="A10" t="s">
        <v>301</v>
      </c>
      <c r="D10" s="1080">
        <v>0.05</v>
      </c>
    </row>
    <row r="12" spans="1:15" ht="75">
      <c r="A12" s="117" t="s">
        <v>739</v>
      </c>
      <c r="B12" s="117" t="s">
        <v>481</v>
      </c>
      <c r="C12" s="117" t="s">
        <v>375</v>
      </c>
      <c r="D12" s="117" t="s">
        <v>331</v>
      </c>
      <c r="E12" s="117" t="s">
        <v>831</v>
      </c>
      <c r="F12" s="117" t="s">
        <v>832</v>
      </c>
      <c r="G12" s="117" t="s">
        <v>833</v>
      </c>
      <c r="H12" s="117" t="s">
        <v>834</v>
      </c>
      <c r="I12" s="117" t="s">
        <v>835</v>
      </c>
      <c r="J12" s="122" t="s">
        <v>836</v>
      </c>
      <c r="K12" s="122" t="s">
        <v>837</v>
      </c>
      <c r="L12" s="122" t="s">
        <v>838</v>
      </c>
      <c r="M12" s="122" t="s">
        <v>839</v>
      </c>
      <c r="N12" s="122" t="s">
        <v>840</v>
      </c>
      <c r="O12" s="122"/>
    </row>
    <row r="13" spans="1:15">
      <c r="A13">
        <f>'B. 20-21 Prov&amp;Priv Enrolment&lt;22'!A8</f>
        <v>261</v>
      </c>
      <c r="B13" t="str">
        <f>'B. 20-21 Prov&amp;Priv Enrolment&lt;22'!B8</f>
        <v>Brokenhead Ojibway Nation</v>
      </c>
      <c r="C13">
        <f>'B. 20-21 Prov&amp;Priv Enrolment&lt;22'!C8</f>
        <v>1624</v>
      </c>
      <c r="D13" t="str">
        <f>'B. 20-21 Prov&amp;Priv Enrolment&lt;22'!D8</f>
        <v>East Selkirk Middle School</v>
      </c>
      <c r="E13" s="1">
        <f>'B. 20-21 Prov&amp;Priv Enrolment&lt;22'!Y8</f>
        <v>2</v>
      </c>
      <c r="F13" s="398" t="str">
        <f>'B. 20-21 Prov&amp;Priv Enrolment&lt;22'!E8</f>
        <v>Lord Selkirk School Division</v>
      </c>
      <c r="G13" t="str">
        <f>'B. 20-21 Prov&amp;Priv Enrolment&lt;22'!AW8</f>
        <v>LORD SELKIRK</v>
      </c>
      <c r="H13" s="20">
        <f>IFERROR(INDEX('G2. 20-21 Prov Tuition Rates'!$N$7:$N$42,MATCH(Table35[[#This Row],[District of the School Attended]],'G2. 20-21 Prov Tuition Rates'!$B$7:$B$42,0)),0)</f>
        <v>15182.47</v>
      </c>
      <c r="I13" s="20">
        <f>IF(H13=0,INDEX('G2. 20-21 Prov Tuition Rates'!$N$7:$N$42,MATCH(Table35[[#This Row],[Proximate Public School District to First Nation of Residence]],'G2. 20-21 Prov Tuition Rates'!$A$7:$A$42,0)),0)</f>
        <v>0</v>
      </c>
      <c r="J13" s="20">
        <f>ROUND(IF(Table35[[#This Row],[Base Tuition Rate]]=0,Table35[[#This Row],[Total &lt;22 Prov&amp;Priv FTE]]*Table35[[#This Row],[Proximate Tuition Rate for Adult Centres, Private and Unaffiliated Schools]],Table35[[#This Row],[Total &lt;22 Prov&amp;Priv FTE]]*Table35[[#This Row],[Base Tuition Rate]]),0)</f>
        <v>30365</v>
      </c>
      <c r="K13" s="19">
        <f>ROUND(IF(Table35[[#This Row],[District of the School Attended]]="Adult",0,Table35[[#This Row],[Total &lt;22 Prov&amp;Priv FTE]]*$D$7),0)</f>
        <v>1500</v>
      </c>
      <c r="L13" s="138">
        <f t="shared" ref="L13:L44" si="0">SUM(J13:K13)</f>
        <v>31865</v>
      </c>
      <c r="M13" s="397">
        <f>ROUND($D$10*Table35[[#This Row],[TOTAL Tuition Funding]],0)</f>
        <v>1593</v>
      </c>
      <c r="N13" s="397">
        <f>$D$9*Table35[[#This Row],[Total &lt;22 Prov&amp;Priv FTE]]</f>
        <v>1081.94</v>
      </c>
    </row>
    <row r="14" spans="1:15">
      <c r="A14">
        <f>'B. 20-21 Prov&amp;Priv Enrolment&lt;22'!A9</f>
        <v>261</v>
      </c>
      <c r="B14" t="str">
        <f>'B. 20-21 Prov&amp;Priv Enrolment&lt;22'!B9</f>
        <v>Brokenhead Ojibway Nation</v>
      </c>
      <c r="C14">
        <f>'B. 20-21 Prov&amp;Priv Enrolment&lt;22'!C9</f>
        <v>1744</v>
      </c>
      <c r="D14" t="str">
        <f>'B. 20-21 Prov&amp;Priv Enrolment&lt;22'!D9</f>
        <v>Happy Thought School</v>
      </c>
      <c r="E14" s="1">
        <f>'B. 20-21 Prov&amp;Priv Enrolment&lt;22'!Y9</f>
        <v>2</v>
      </c>
      <c r="F14" s="398" t="str">
        <f>'B. 20-21 Prov&amp;Priv Enrolment&lt;22'!E9</f>
        <v>Lord Selkirk School Division</v>
      </c>
      <c r="G14" t="str">
        <f>'B. 20-21 Prov&amp;Priv Enrolment&lt;22'!AW9</f>
        <v>LORD SELKIRK</v>
      </c>
      <c r="H14" s="20">
        <f>IFERROR(INDEX('G2. 20-21 Prov Tuition Rates'!$N$7:$N$42,MATCH(Table35[[#This Row],[District of the School Attended]],'G2. 20-21 Prov Tuition Rates'!$B$7:$B$42,0)),0)</f>
        <v>15182.47</v>
      </c>
      <c r="I14" s="20">
        <f>IF(H14=0,INDEX('G2. 20-21 Prov Tuition Rates'!$N$7:$N$42,MATCH(Table35[[#This Row],[Proximate Public School District to First Nation of Residence]],'G2. 20-21 Prov Tuition Rates'!$A$7:$A$42,0)),0)</f>
        <v>0</v>
      </c>
      <c r="J14" s="20">
        <f>ROUND(IF(Table35[[#This Row],[Base Tuition Rate]]=0,Table35[[#This Row],[Total &lt;22 Prov&amp;Priv FTE]]*Table35[[#This Row],[Proximate Tuition Rate for Adult Centres, Private and Unaffiliated Schools]],Table35[[#This Row],[Total &lt;22 Prov&amp;Priv FTE]]*Table35[[#This Row],[Base Tuition Rate]]),0)</f>
        <v>30365</v>
      </c>
      <c r="K14" s="19">
        <f>ROUND(IF(Table35[[#This Row],[District of the School Attended]]="Adult",0,Table35[[#This Row],[Total &lt;22 Prov&amp;Priv FTE]]*$D$7),0)</f>
        <v>1500</v>
      </c>
      <c r="L14" s="138">
        <f t="shared" si="0"/>
        <v>31865</v>
      </c>
      <c r="M14" s="397">
        <f>ROUND($D$10*Table35[[#This Row],[TOTAL Tuition Funding]],0)</f>
        <v>1593</v>
      </c>
      <c r="N14" s="397">
        <f>$D$9*Table35[[#This Row],[Total &lt;22 Prov&amp;Priv FTE]]</f>
        <v>1081.94</v>
      </c>
    </row>
    <row r="15" spans="1:15">
      <c r="A15">
        <f>'B. 20-21 Prov&amp;Priv Enrolment&lt;22'!A10</f>
        <v>261</v>
      </c>
      <c r="B15" t="str">
        <f>'B. 20-21 Prov&amp;Priv Enrolment&lt;22'!B10</f>
        <v>Brokenhead Ojibway Nation</v>
      </c>
      <c r="C15">
        <f>'B. 20-21 Prov&amp;Priv Enrolment&lt;22'!C10</f>
        <v>3370</v>
      </c>
      <c r="D15" t="str">
        <f>'B. 20-21 Prov&amp;Priv Enrolment&lt;22'!D10</f>
        <v>Sisler High</v>
      </c>
      <c r="E15" s="1">
        <f>'B. 20-21 Prov&amp;Priv Enrolment&lt;22'!Y10</f>
        <v>1</v>
      </c>
      <c r="F15" s="398" t="str">
        <f>'B. 20-21 Prov&amp;Priv Enrolment&lt;22'!E10</f>
        <v>Winnipeg School Division</v>
      </c>
      <c r="G15" t="str">
        <f>'B. 20-21 Prov&amp;Priv Enrolment&lt;22'!AW10</f>
        <v>LORD SELKIRK</v>
      </c>
      <c r="H15" s="20">
        <f>IFERROR(INDEX('G2. 20-21 Prov Tuition Rates'!$N$7:$N$42,MATCH(Table35[[#This Row],[District of the School Attended]],'G2. 20-21 Prov Tuition Rates'!$B$7:$B$42,0)),0)</f>
        <v>13105.14</v>
      </c>
      <c r="I15" s="20">
        <f>IF(H15=0,INDEX('G2. 20-21 Prov Tuition Rates'!$N$7:$N$42,MATCH(Table35[[#This Row],[Proximate Public School District to First Nation of Residence]],'G2. 20-21 Prov Tuition Rates'!$A$7:$A$42,0)),0)</f>
        <v>0</v>
      </c>
      <c r="J15" s="20">
        <f>ROUND(IF(Table35[[#This Row],[Base Tuition Rate]]=0,Table35[[#This Row],[Total &lt;22 Prov&amp;Priv FTE]]*Table35[[#This Row],[Proximate Tuition Rate for Adult Centres, Private and Unaffiliated Schools]],Table35[[#This Row],[Total &lt;22 Prov&amp;Priv FTE]]*Table35[[#This Row],[Base Tuition Rate]]),0)</f>
        <v>13105</v>
      </c>
      <c r="K15" s="19">
        <f>ROUND(IF(Table35[[#This Row],[District of the School Attended]]="Adult",0,Table35[[#This Row],[Total &lt;22 Prov&amp;Priv FTE]]*$D$7),0)</f>
        <v>750</v>
      </c>
      <c r="L15" s="138">
        <f t="shared" si="0"/>
        <v>13855</v>
      </c>
      <c r="M15" s="397">
        <f>ROUND($D$10*Table35[[#This Row],[TOTAL Tuition Funding]],0)</f>
        <v>693</v>
      </c>
      <c r="N15" s="397">
        <f>$D$9*Table35[[#This Row],[Total &lt;22 Prov&amp;Priv FTE]]</f>
        <v>540.97</v>
      </c>
    </row>
    <row r="16" spans="1:15">
      <c r="A16">
        <f>'B. 20-21 Prov&amp;Priv Enrolment&lt;22'!A11</f>
        <v>261</v>
      </c>
      <c r="B16" t="str">
        <f>'B. 20-21 Prov&amp;Priv Enrolment&lt;22'!B11</f>
        <v>Brokenhead Ojibway Nation</v>
      </c>
      <c r="C16">
        <f>'B. 20-21 Prov&amp;Priv Enrolment&lt;22'!C11</f>
        <v>3449</v>
      </c>
      <c r="D16" t="str">
        <f>'B. 20-21 Prov&amp;Priv Enrolment&lt;22'!D11</f>
        <v>Lord Selkirk Regional Secondary</v>
      </c>
      <c r="E16" s="1">
        <f>'B. 20-21 Prov&amp;Priv Enrolment&lt;22'!Y11</f>
        <v>21</v>
      </c>
      <c r="F16" s="398" t="str">
        <f>'B. 20-21 Prov&amp;Priv Enrolment&lt;22'!E11</f>
        <v>Lord Selkirk School Division</v>
      </c>
      <c r="G16" t="str">
        <f>'B. 20-21 Prov&amp;Priv Enrolment&lt;22'!AW11</f>
        <v>LORD SELKIRK</v>
      </c>
      <c r="H16" s="20">
        <f>IFERROR(INDEX('G2. 20-21 Prov Tuition Rates'!$N$7:$N$42,MATCH(Table35[[#This Row],[District of the School Attended]],'G2. 20-21 Prov Tuition Rates'!$B$7:$B$42,0)),0)</f>
        <v>15182.47</v>
      </c>
      <c r="I16" s="20">
        <f>IF(H16=0,INDEX('G2. 20-21 Prov Tuition Rates'!$N$7:$N$42,MATCH(Table35[[#This Row],[Proximate Public School District to First Nation of Residence]],'G2. 20-21 Prov Tuition Rates'!$A$7:$A$42,0)),0)</f>
        <v>0</v>
      </c>
      <c r="J16" s="20">
        <f>ROUND(IF(Table35[[#This Row],[Base Tuition Rate]]=0,Table35[[#This Row],[Total &lt;22 Prov&amp;Priv FTE]]*Table35[[#This Row],[Proximate Tuition Rate for Adult Centres, Private and Unaffiliated Schools]],Table35[[#This Row],[Total &lt;22 Prov&amp;Priv FTE]]*Table35[[#This Row],[Base Tuition Rate]]),0)</f>
        <v>318832</v>
      </c>
      <c r="K16" s="19">
        <f>ROUND(IF(Table35[[#This Row],[District of the School Attended]]="Adult",0,Table35[[#This Row],[Total &lt;22 Prov&amp;Priv FTE]]*$D$7),0)</f>
        <v>15751</v>
      </c>
      <c r="L16" s="138">
        <f t="shared" si="0"/>
        <v>334583</v>
      </c>
      <c r="M16" s="397">
        <f>ROUND($D$10*Table35[[#This Row],[TOTAL Tuition Funding]],0)</f>
        <v>16729</v>
      </c>
      <c r="N16" s="397">
        <f>$D$9*Table35[[#This Row],[Total &lt;22 Prov&amp;Priv FTE]]</f>
        <v>11360.37</v>
      </c>
    </row>
    <row r="17" spans="1:14">
      <c r="A17">
        <f>'B. 20-21 Prov&amp;Priv Enrolment&lt;22'!A12</f>
        <v>261</v>
      </c>
      <c r="B17" t="str">
        <f>'B. 20-21 Prov&amp;Priv Enrolment&lt;22'!B12</f>
        <v>Brokenhead Ojibway Nation</v>
      </c>
      <c r="C17">
        <f>'B. 20-21 Prov&amp;Priv Enrolment&lt;22'!C12</f>
        <v>3483</v>
      </c>
      <c r="D17" t="str">
        <f>'B. 20-21 Prov&amp;Priv Enrolment&lt;22'!D12</f>
        <v>Walter Whyte</v>
      </c>
      <c r="E17" s="1">
        <f>'B. 20-21 Prov&amp;Priv Enrolment&lt;22'!Y12</f>
        <v>3</v>
      </c>
      <c r="F17" s="398" t="str">
        <f>'B. 20-21 Prov&amp;Priv Enrolment&lt;22'!E12</f>
        <v>Lord Selkirk School Division</v>
      </c>
      <c r="G17" t="str">
        <f>'B. 20-21 Prov&amp;Priv Enrolment&lt;22'!AW12</f>
        <v>LORD SELKIRK</v>
      </c>
      <c r="H17" s="20">
        <f>IFERROR(INDEX('G2. 20-21 Prov Tuition Rates'!$N$7:$N$42,MATCH(Table35[[#This Row],[District of the School Attended]],'G2. 20-21 Prov Tuition Rates'!$B$7:$B$42,0)),0)</f>
        <v>15182.47</v>
      </c>
      <c r="I17" s="20">
        <f>IF(H17=0,INDEX('G2. 20-21 Prov Tuition Rates'!$N$7:$N$42,MATCH(Table35[[#This Row],[Proximate Public School District to First Nation of Residence]],'G2. 20-21 Prov Tuition Rates'!$A$7:$A$42,0)),0)</f>
        <v>0</v>
      </c>
      <c r="J17" s="20">
        <f>ROUND(IF(Table35[[#This Row],[Base Tuition Rate]]=0,Table35[[#This Row],[Total &lt;22 Prov&amp;Priv FTE]]*Table35[[#This Row],[Proximate Tuition Rate for Adult Centres, Private and Unaffiliated Schools]],Table35[[#This Row],[Total &lt;22 Prov&amp;Priv FTE]]*Table35[[#This Row],[Base Tuition Rate]]),0)</f>
        <v>45547</v>
      </c>
      <c r="K17" s="19">
        <f>ROUND(IF(Table35[[#This Row],[District of the School Attended]]="Adult",0,Table35[[#This Row],[Total &lt;22 Prov&amp;Priv FTE]]*$D$7),0)</f>
        <v>2250</v>
      </c>
      <c r="L17" s="138">
        <f t="shared" si="0"/>
        <v>47797</v>
      </c>
      <c r="M17" s="397">
        <f>ROUND($D$10*Table35[[#This Row],[TOTAL Tuition Funding]],0)</f>
        <v>2390</v>
      </c>
      <c r="N17" s="397">
        <f>$D$9*Table35[[#This Row],[Total &lt;22 Prov&amp;Priv FTE]]</f>
        <v>1622.91</v>
      </c>
    </row>
    <row r="18" spans="1:14">
      <c r="A18">
        <f>'B. 20-21 Prov&amp;Priv Enrolment&lt;22'!A13</f>
        <v>261</v>
      </c>
      <c r="B18" t="str">
        <f>'B. 20-21 Prov&amp;Priv Enrolment&lt;22'!B13</f>
        <v>Brokenhead Ojibway Nation</v>
      </c>
      <c r="C18">
        <f>'B. 20-21 Prov&amp;Priv Enrolment&lt;22'!C13</f>
        <v>9447</v>
      </c>
      <c r="D18" t="str">
        <f>'B. 20-21 Prov&amp;Priv Enrolment&lt;22'!D13</f>
        <v>Balmoral Hall</v>
      </c>
      <c r="E18" s="1">
        <f>'B. 20-21 Prov&amp;Priv Enrolment&lt;22'!Y13</f>
        <v>2</v>
      </c>
      <c r="F18" s="398" t="str">
        <f>'B. 20-21 Prov&amp;Priv Enrolment&lt;22'!E13</f>
        <v>Balmoral Hall</v>
      </c>
      <c r="G18" t="str">
        <f>'B. 20-21 Prov&amp;Priv Enrolment&lt;22'!AW13</f>
        <v>LORD SELKIRK</v>
      </c>
      <c r="H18" s="20">
        <f>IFERROR(INDEX('G2. 20-21 Prov Tuition Rates'!$N$7:$N$42,MATCH(Table35[[#This Row],[District of the School Attended]],'G2. 20-21 Prov Tuition Rates'!$B$7:$B$42,0)),0)</f>
        <v>0</v>
      </c>
      <c r="I18" s="20">
        <f>IF(H18=0,INDEX('G2. 20-21 Prov Tuition Rates'!$N$7:$N$42,MATCH(Table35[[#This Row],[Proximate Public School District to First Nation of Residence]],'G2. 20-21 Prov Tuition Rates'!$A$7:$A$42,0)),0)</f>
        <v>15182.47</v>
      </c>
      <c r="J18" s="20">
        <f>ROUND(IF(Table35[[#This Row],[Base Tuition Rate]]=0,Table35[[#This Row],[Total &lt;22 Prov&amp;Priv FTE]]*Table35[[#This Row],[Proximate Tuition Rate for Adult Centres, Private and Unaffiliated Schools]],Table35[[#This Row],[Total &lt;22 Prov&amp;Priv FTE]]*Table35[[#This Row],[Base Tuition Rate]]),0)</f>
        <v>30365</v>
      </c>
      <c r="K18" s="19">
        <f>ROUND(IF(Table35[[#This Row],[District of the School Attended]]="Adult",0,Table35[[#This Row],[Total &lt;22 Prov&amp;Priv FTE]]*$D$7),0)</f>
        <v>1500</v>
      </c>
      <c r="L18" s="138">
        <f t="shared" si="0"/>
        <v>31865</v>
      </c>
      <c r="M18" s="397">
        <f>ROUND($D$10*Table35[[#This Row],[TOTAL Tuition Funding]],0)</f>
        <v>1593</v>
      </c>
      <c r="N18" s="397">
        <f>$D$9*Table35[[#This Row],[Total &lt;22 Prov&amp;Priv FTE]]</f>
        <v>1081.94</v>
      </c>
    </row>
    <row r="19" spans="1:14">
      <c r="A19">
        <f>'B. 20-21 Prov&amp;Priv Enrolment&lt;22'!A14</f>
        <v>267</v>
      </c>
      <c r="B19" t="str">
        <f>'B. 20-21 Prov&amp;Priv Enrolment&lt;22'!B14</f>
        <v>Bloodvein</v>
      </c>
      <c r="C19">
        <f>'B. 20-21 Prov&amp;Priv Enrolment&lt;22'!C14</f>
        <v>3282</v>
      </c>
      <c r="D19" t="str">
        <f>'B. 20-21 Prov&amp;Priv Enrolment&lt;22'!D14</f>
        <v>Children of the Earth High School</v>
      </c>
      <c r="E19" s="1">
        <f>'B. 20-21 Prov&amp;Priv Enrolment&lt;22'!Y14</f>
        <v>6</v>
      </c>
      <c r="F19" s="398" t="str">
        <f>'B. 20-21 Prov&amp;Priv Enrolment&lt;22'!E14</f>
        <v>Winnipeg School Division</v>
      </c>
      <c r="G19" t="str">
        <f>'B. 20-21 Prov&amp;Priv Enrolment&lt;22'!AW14</f>
        <v>FRONTIER</v>
      </c>
      <c r="H19" s="20">
        <f>IFERROR(INDEX('G2. 20-21 Prov Tuition Rates'!$N$7:$N$42,MATCH(Table35[[#This Row],[District of the School Attended]],'G2. 20-21 Prov Tuition Rates'!$B$7:$B$42,0)),0)</f>
        <v>13105.14</v>
      </c>
      <c r="I19" s="20">
        <f>IF(H19=0,INDEX('G2. 20-21 Prov Tuition Rates'!$N$7:$N$42,MATCH(Table35[[#This Row],[Proximate Public School District to First Nation of Residence]],'G2. 20-21 Prov Tuition Rates'!$A$7:$A$42,0)),0)</f>
        <v>0</v>
      </c>
      <c r="J19" s="20">
        <f>ROUND(IF(Table35[[#This Row],[Base Tuition Rate]]=0,Table35[[#This Row],[Total &lt;22 Prov&amp;Priv FTE]]*Table35[[#This Row],[Proximate Tuition Rate for Adult Centres, Private and Unaffiliated Schools]],Table35[[#This Row],[Total &lt;22 Prov&amp;Priv FTE]]*Table35[[#This Row],[Base Tuition Rate]]),0)</f>
        <v>78631</v>
      </c>
      <c r="K19" s="19">
        <f>ROUND(IF(Table35[[#This Row],[District of the School Attended]]="Adult",0,Table35[[#This Row],[Total &lt;22 Prov&amp;Priv FTE]]*$D$7),0)</f>
        <v>4500</v>
      </c>
      <c r="L19" s="138">
        <f t="shared" si="0"/>
        <v>83131</v>
      </c>
      <c r="M19" s="397">
        <f>ROUND($D$10*Table35[[#This Row],[TOTAL Tuition Funding]],0)</f>
        <v>4157</v>
      </c>
      <c r="N19" s="397">
        <f>$D$9*Table35[[#This Row],[Total &lt;22 Prov&amp;Priv FTE]]</f>
        <v>3245.82</v>
      </c>
    </row>
    <row r="20" spans="1:14">
      <c r="A20">
        <f>'B. 20-21 Prov&amp;Priv Enrolment&lt;22'!A15</f>
        <v>267</v>
      </c>
      <c r="B20" t="str">
        <f>'B. 20-21 Prov&amp;Priv Enrolment&lt;22'!B15</f>
        <v>Bloodvein</v>
      </c>
      <c r="C20">
        <f>'B. 20-21 Prov&amp;Priv Enrolment&lt;22'!C15</f>
        <v>3310</v>
      </c>
      <c r="D20" t="str">
        <f>'B. 20-21 Prov&amp;Priv Enrolment&lt;22'!D15</f>
        <v>Elmwood High</v>
      </c>
      <c r="E20" s="1">
        <f>'B. 20-21 Prov&amp;Priv Enrolment&lt;22'!Y15</f>
        <v>1</v>
      </c>
      <c r="F20" s="398" t="str">
        <f>'B. 20-21 Prov&amp;Priv Enrolment&lt;22'!E15</f>
        <v>Winnipeg School Division</v>
      </c>
      <c r="G20" t="str">
        <f>'B. 20-21 Prov&amp;Priv Enrolment&lt;22'!AW15</f>
        <v>FRONTIER</v>
      </c>
      <c r="H20" s="20">
        <f>IFERROR(INDEX('G2. 20-21 Prov Tuition Rates'!$N$7:$N$42,MATCH(Table35[[#This Row],[District of the School Attended]],'G2. 20-21 Prov Tuition Rates'!$B$7:$B$42,0)),0)</f>
        <v>13105.14</v>
      </c>
      <c r="I20" s="20">
        <f>IF(H20=0,INDEX('G2. 20-21 Prov Tuition Rates'!$N$7:$N$42,MATCH(Table35[[#This Row],[Proximate Public School District to First Nation of Residence]],'G2. 20-21 Prov Tuition Rates'!$A$7:$A$42,0)),0)</f>
        <v>0</v>
      </c>
      <c r="J20" s="20">
        <f>ROUND(IF(Table35[[#This Row],[Base Tuition Rate]]=0,Table35[[#This Row],[Total &lt;22 Prov&amp;Priv FTE]]*Table35[[#This Row],[Proximate Tuition Rate for Adult Centres, Private and Unaffiliated Schools]],Table35[[#This Row],[Total &lt;22 Prov&amp;Priv FTE]]*Table35[[#This Row],[Base Tuition Rate]]),0)</f>
        <v>13105</v>
      </c>
      <c r="K20" s="19">
        <f>ROUND(IF(Table35[[#This Row],[District of the School Attended]]="Adult",0,Table35[[#This Row],[Total &lt;22 Prov&amp;Priv FTE]]*$D$7),0)</f>
        <v>750</v>
      </c>
      <c r="L20" s="138">
        <f t="shared" si="0"/>
        <v>13855</v>
      </c>
      <c r="M20" s="397">
        <f>ROUND($D$10*Table35[[#This Row],[TOTAL Tuition Funding]],0)</f>
        <v>693</v>
      </c>
      <c r="N20" s="397">
        <f>$D$9*Table35[[#This Row],[Total &lt;22 Prov&amp;Priv FTE]]</f>
        <v>540.97</v>
      </c>
    </row>
    <row r="21" spans="1:14">
      <c r="A21">
        <f>'B. 20-21 Prov&amp;Priv Enrolment&lt;22'!A16</f>
        <v>267</v>
      </c>
      <c r="B21" t="str">
        <f>'B. 20-21 Prov&amp;Priv Enrolment&lt;22'!B16</f>
        <v>Bloodvein</v>
      </c>
      <c r="C21">
        <f>'B. 20-21 Prov&amp;Priv Enrolment&lt;22'!C16</f>
        <v>3362</v>
      </c>
      <c r="D21" t="str">
        <f>'B. 20-21 Prov&amp;Priv Enrolment&lt;22'!D16</f>
        <v>R. B. Russell Vocational</v>
      </c>
      <c r="E21" s="1">
        <f>'B. 20-21 Prov&amp;Priv Enrolment&lt;22'!Y16</f>
        <v>3</v>
      </c>
      <c r="F21" s="398" t="str">
        <f>'B. 20-21 Prov&amp;Priv Enrolment&lt;22'!E16</f>
        <v>Winnipeg School Division</v>
      </c>
      <c r="G21" t="str">
        <f>'B. 20-21 Prov&amp;Priv Enrolment&lt;22'!AW16</f>
        <v>FRONTIER</v>
      </c>
      <c r="H21" s="20">
        <f>IFERROR(INDEX('G2. 20-21 Prov Tuition Rates'!$N$7:$N$42,MATCH(Table35[[#This Row],[District of the School Attended]],'G2. 20-21 Prov Tuition Rates'!$B$7:$B$42,0)),0)</f>
        <v>13105.14</v>
      </c>
      <c r="I21" s="20">
        <f>IF(H21=0,INDEX('G2. 20-21 Prov Tuition Rates'!$N$7:$N$42,MATCH(Table35[[#This Row],[Proximate Public School District to First Nation of Residence]],'G2. 20-21 Prov Tuition Rates'!$A$7:$A$42,0)),0)</f>
        <v>0</v>
      </c>
      <c r="J21" s="20">
        <f>ROUND(IF(Table35[[#This Row],[Base Tuition Rate]]=0,Table35[[#This Row],[Total &lt;22 Prov&amp;Priv FTE]]*Table35[[#This Row],[Proximate Tuition Rate for Adult Centres, Private and Unaffiliated Schools]],Table35[[#This Row],[Total &lt;22 Prov&amp;Priv FTE]]*Table35[[#This Row],[Base Tuition Rate]]),0)</f>
        <v>39315</v>
      </c>
      <c r="K21" s="19">
        <f>ROUND(IF(Table35[[#This Row],[District of the School Attended]]="Adult",0,Table35[[#This Row],[Total &lt;22 Prov&amp;Priv FTE]]*$D$7),0)</f>
        <v>2250</v>
      </c>
      <c r="L21" s="138">
        <f t="shared" si="0"/>
        <v>41565</v>
      </c>
      <c r="M21" s="397">
        <f>ROUND($D$10*Table35[[#This Row],[TOTAL Tuition Funding]],0)</f>
        <v>2078</v>
      </c>
      <c r="N21" s="397">
        <f>$D$9*Table35[[#This Row],[Total &lt;22 Prov&amp;Priv FTE]]</f>
        <v>1622.91</v>
      </c>
    </row>
    <row r="22" spans="1:14">
      <c r="A22">
        <f>'B. 20-21 Prov&amp;Priv Enrolment&lt;22'!A17</f>
        <v>267</v>
      </c>
      <c r="B22" t="str">
        <f>'B. 20-21 Prov&amp;Priv Enrolment&lt;22'!B17</f>
        <v>Bloodvein</v>
      </c>
      <c r="C22">
        <f>'B. 20-21 Prov&amp;Priv Enrolment&lt;22'!C17</f>
        <v>3395</v>
      </c>
      <c r="D22" t="str">
        <f>'B. 20-21 Prov&amp;Priv Enrolment&lt;22'!D17</f>
        <v>Tech-Vocational High</v>
      </c>
      <c r="E22" s="1">
        <f>'B. 20-21 Prov&amp;Priv Enrolment&lt;22'!Y17</f>
        <v>3</v>
      </c>
      <c r="F22" s="398" t="str">
        <f>'B. 20-21 Prov&amp;Priv Enrolment&lt;22'!E17</f>
        <v>Winnipeg School Division</v>
      </c>
      <c r="G22" t="str">
        <f>'B. 20-21 Prov&amp;Priv Enrolment&lt;22'!AW17</f>
        <v>FRONTIER</v>
      </c>
      <c r="H22" s="20">
        <f>IFERROR(INDEX('G2. 20-21 Prov Tuition Rates'!$N$7:$N$42,MATCH(Table35[[#This Row],[District of the School Attended]],'G2. 20-21 Prov Tuition Rates'!$B$7:$B$42,0)),0)</f>
        <v>13105.14</v>
      </c>
      <c r="I22" s="20">
        <f>IF(H22=0,INDEX('G2. 20-21 Prov Tuition Rates'!$N$7:$N$42,MATCH(Table35[[#This Row],[Proximate Public School District to First Nation of Residence]],'G2. 20-21 Prov Tuition Rates'!$A$7:$A$42,0)),0)</f>
        <v>0</v>
      </c>
      <c r="J22" s="20">
        <f>ROUND(IF(Table35[[#This Row],[Base Tuition Rate]]=0,Table35[[#This Row],[Total &lt;22 Prov&amp;Priv FTE]]*Table35[[#This Row],[Proximate Tuition Rate for Adult Centres, Private and Unaffiliated Schools]],Table35[[#This Row],[Total &lt;22 Prov&amp;Priv FTE]]*Table35[[#This Row],[Base Tuition Rate]]),0)</f>
        <v>39315</v>
      </c>
      <c r="K22" s="19">
        <f>ROUND(IF(Table35[[#This Row],[District of the School Attended]]="Adult",0,Table35[[#This Row],[Total &lt;22 Prov&amp;Priv FTE]]*$D$7),0)</f>
        <v>2250</v>
      </c>
      <c r="L22" s="138">
        <f t="shared" si="0"/>
        <v>41565</v>
      </c>
      <c r="M22" s="397">
        <f>ROUND($D$10*Table35[[#This Row],[TOTAL Tuition Funding]],0)</f>
        <v>2078</v>
      </c>
      <c r="N22" s="397">
        <f>$D$9*Table35[[#This Row],[Total &lt;22 Prov&amp;Priv FTE]]</f>
        <v>1622.91</v>
      </c>
    </row>
    <row r="23" spans="1:14">
      <c r="A23">
        <f>'B. 20-21 Prov&amp;Priv Enrolment&lt;22'!A18</f>
        <v>267</v>
      </c>
      <c r="B23" t="str">
        <f>'B. 20-21 Prov&amp;Priv Enrolment&lt;22'!B18</f>
        <v>Bloodvein</v>
      </c>
      <c r="C23">
        <f>'B. 20-21 Prov&amp;Priv Enrolment&lt;22'!C18</f>
        <v>5725</v>
      </c>
      <c r="D23" t="str">
        <f>'B. 20-21 Prov&amp;Priv Enrolment&lt;22'!D18</f>
        <v>Maples Collegiate</v>
      </c>
      <c r="E23" s="1">
        <f>'B. 20-21 Prov&amp;Priv Enrolment&lt;22'!Y18</f>
        <v>2</v>
      </c>
      <c r="F23" s="398" t="str">
        <f>'B. 20-21 Prov&amp;Priv Enrolment&lt;22'!E18</f>
        <v>Seven Oaks School Division</v>
      </c>
      <c r="G23" t="str">
        <f>'B. 20-21 Prov&amp;Priv Enrolment&lt;22'!AW18</f>
        <v>FRONTIER</v>
      </c>
      <c r="H23" s="20">
        <f>IFERROR(INDEX('G2. 20-21 Prov Tuition Rates'!$N$7:$N$42,MATCH(Table35[[#This Row],[District of the School Attended]],'G2. 20-21 Prov Tuition Rates'!$B$7:$B$42,0)),0)</f>
        <v>12749.74</v>
      </c>
      <c r="I23" s="20">
        <f>IF(H23=0,INDEX('G2. 20-21 Prov Tuition Rates'!$N$7:$N$42,MATCH(Table35[[#This Row],[Proximate Public School District to First Nation of Residence]],'G2. 20-21 Prov Tuition Rates'!$A$7:$A$42,0)),0)</f>
        <v>0</v>
      </c>
      <c r="J23" s="20">
        <f>ROUND(IF(Table35[[#This Row],[Base Tuition Rate]]=0,Table35[[#This Row],[Total &lt;22 Prov&amp;Priv FTE]]*Table35[[#This Row],[Proximate Tuition Rate for Adult Centres, Private and Unaffiliated Schools]],Table35[[#This Row],[Total &lt;22 Prov&amp;Priv FTE]]*Table35[[#This Row],[Base Tuition Rate]]),0)</f>
        <v>25499</v>
      </c>
      <c r="K23" s="19">
        <f>ROUND(IF(Table35[[#This Row],[District of the School Attended]]="Adult",0,Table35[[#This Row],[Total &lt;22 Prov&amp;Priv FTE]]*$D$7),0)</f>
        <v>1500</v>
      </c>
      <c r="L23" s="138">
        <f t="shared" si="0"/>
        <v>26999</v>
      </c>
      <c r="M23" s="397">
        <f>ROUND($D$10*Table35[[#This Row],[TOTAL Tuition Funding]],0)</f>
        <v>1350</v>
      </c>
      <c r="N23" s="397">
        <f>$D$9*Table35[[#This Row],[Total &lt;22 Prov&amp;Priv FTE]]</f>
        <v>1081.94</v>
      </c>
    </row>
    <row r="24" spans="1:14">
      <c r="A24">
        <f>'B. 20-21 Prov&amp;Priv Enrolment&lt;22'!A19</f>
        <v>267</v>
      </c>
      <c r="B24" t="str">
        <f>'B. 20-21 Prov&amp;Priv Enrolment&lt;22'!B19</f>
        <v>Bloodvein</v>
      </c>
      <c r="C24">
        <f>'B. 20-21 Prov&amp;Priv Enrolment&lt;22'!C19</f>
        <v>7502</v>
      </c>
      <c r="D24" t="str">
        <f>'B. 20-21 Prov&amp;Priv Enrolment&lt;22'!D19</f>
        <v>Southeast Collegiate</v>
      </c>
      <c r="E24" s="1">
        <f>'B. 20-21 Prov&amp;Priv Enrolment&lt;22'!Y19</f>
        <v>7</v>
      </c>
      <c r="F24" s="398" t="str">
        <f>'B. 20-21 Prov&amp;Priv Enrolment&lt;22'!E19</f>
        <v>Southeast Collegiate</v>
      </c>
      <c r="G24" t="str">
        <f>'B. 20-21 Prov&amp;Priv Enrolment&lt;22'!AW19</f>
        <v>FRONTIER</v>
      </c>
      <c r="H24" s="20">
        <f>IFERROR(INDEX('G2. 20-21 Prov Tuition Rates'!$N$7:$N$42,MATCH(Table35[[#This Row],[District of the School Attended]],'G2. 20-21 Prov Tuition Rates'!$B$7:$B$42,0)),0)</f>
        <v>0</v>
      </c>
      <c r="I24" s="20">
        <f>IF(H24=0,INDEX('G2. 20-21 Prov Tuition Rates'!$N$7:$N$42,MATCH(Table35[[#This Row],[Proximate Public School District to First Nation of Residence]],'G2. 20-21 Prov Tuition Rates'!$A$7:$A$42,0)),0)</f>
        <v>19702.46</v>
      </c>
      <c r="J24" s="20">
        <f>ROUND(IF(Table35[[#This Row],[Base Tuition Rate]]=0,Table35[[#This Row],[Total &lt;22 Prov&amp;Priv FTE]]*Table35[[#This Row],[Proximate Tuition Rate for Adult Centres, Private and Unaffiliated Schools]],Table35[[#This Row],[Total &lt;22 Prov&amp;Priv FTE]]*Table35[[#This Row],[Base Tuition Rate]]),0)</f>
        <v>137917</v>
      </c>
      <c r="K24" s="19">
        <f>ROUND(IF(Table35[[#This Row],[District of the School Attended]]="Adult",0,Table35[[#This Row],[Total &lt;22 Prov&amp;Priv FTE]]*$D$7),0)</f>
        <v>5250</v>
      </c>
      <c r="L24" s="138">
        <f t="shared" si="0"/>
        <v>143167</v>
      </c>
      <c r="M24" s="397">
        <f>ROUND($D$10*Table35[[#This Row],[TOTAL Tuition Funding]],0)</f>
        <v>7158</v>
      </c>
      <c r="N24" s="397">
        <f>$D$9*Table35[[#This Row],[Total &lt;22 Prov&amp;Priv FTE]]</f>
        <v>3786.79</v>
      </c>
    </row>
    <row r="25" spans="1:14">
      <c r="A25">
        <f>'B. 20-21 Prov&amp;Priv Enrolment&lt;22'!A20</f>
        <v>267</v>
      </c>
      <c r="B25" t="str">
        <f>'B. 20-21 Prov&amp;Priv Enrolment&lt;22'!B20</f>
        <v>Bloodvein</v>
      </c>
      <c r="C25">
        <f>'B. 20-21 Prov&amp;Priv Enrolment&lt;22'!C20</f>
        <v>2460008</v>
      </c>
      <c r="D25" t="str">
        <f>'B. 20-21 Prov&amp;Priv Enrolment&lt;22'!D20</f>
        <v>Yellowquill College</v>
      </c>
      <c r="E25" s="1">
        <f>'B. 20-21 Prov&amp;Priv Enrolment&lt;22'!Y20</f>
        <v>6</v>
      </c>
      <c r="F25" s="398" t="str">
        <f>'B. 20-21 Prov&amp;Priv Enrolment&lt;22'!E20</f>
        <v>Yellowquill College</v>
      </c>
      <c r="G25" t="str">
        <f>'B. 20-21 Prov&amp;Priv Enrolment&lt;22'!AW20</f>
        <v>FRONTIER</v>
      </c>
      <c r="H25" s="20">
        <f>IFERROR(INDEX('G2. 20-21 Prov Tuition Rates'!$N$7:$N$42,MATCH(Table35[[#This Row],[District of the School Attended]],'G2. 20-21 Prov Tuition Rates'!$B$7:$B$42,0)),0)</f>
        <v>0</v>
      </c>
      <c r="I25" s="20">
        <f>IF(H25=0,INDEX('G2. 20-21 Prov Tuition Rates'!$N$7:$N$42,MATCH(Table35[[#This Row],[Proximate Public School District to First Nation of Residence]],'G2. 20-21 Prov Tuition Rates'!$A$7:$A$42,0)),0)</f>
        <v>19702.46</v>
      </c>
      <c r="J25" s="20">
        <f>ROUND(IF(Table35[[#This Row],[Base Tuition Rate]]=0,Table35[[#This Row],[Total &lt;22 Prov&amp;Priv FTE]]*Table35[[#This Row],[Proximate Tuition Rate for Adult Centres, Private and Unaffiliated Schools]],Table35[[#This Row],[Total &lt;22 Prov&amp;Priv FTE]]*Table35[[#This Row],[Base Tuition Rate]]),0)</f>
        <v>118215</v>
      </c>
      <c r="K25" s="19">
        <f>ROUND(IF(Table35[[#This Row],[District of the School Attended]]="Adult",0,Table35[[#This Row],[Total &lt;22 Prov&amp;Priv FTE]]*$D$7),0)</f>
        <v>4500</v>
      </c>
      <c r="L25" s="138">
        <f t="shared" si="0"/>
        <v>122715</v>
      </c>
      <c r="M25" s="397">
        <f>ROUND($D$10*Table35[[#This Row],[TOTAL Tuition Funding]],0)</f>
        <v>6136</v>
      </c>
      <c r="N25" s="397">
        <f>$D$9*Table35[[#This Row],[Total &lt;22 Prov&amp;Priv FTE]]</f>
        <v>3245.82</v>
      </c>
    </row>
    <row r="26" spans="1:14">
      <c r="A26">
        <f>'B. 20-21 Prov&amp;Priv Enrolment&lt;22'!A21</f>
        <v>271</v>
      </c>
      <c r="B26" t="str">
        <f>'B. 20-21 Prov&amp;Priv Enrolment&lt;22'!B21</f>
        <v>Lake Manitoba</v>
      </c>
      <c r="C26">
        <f>'B. 20-21 Prov&amp;Priv Enrolment&lt;22'!C21</f>
        <v>3395</v>
      </c>
      <c r="D26" t="str">
        <f>'B. 20-21 Prov&amp;Priv Enrolment&lt;22'!D21</f>
        <v>Tech-Vocational High</v>
      </c>
      <c r="E26" s="1">
        <f>'B. 20-21 Prov&amp;Priv Enrolment&lt;22'!Y21</f>
        <v>3</v>
      </c>
      <c r="F26" s="398" t="str">
        <f>'B. 20-21 Prov&amp;Priv Enrolment&lt;22'!E21</f>
        <v>Winnipeg School Division</v>
      </c>
      <c r="G26" t="str">
        <f>'B. 20-21 Prov&amp;Priv Enrolment&lt;22'!AW21</f>
        <v>LAKESHORE</v>
      </c>
      <c r="H26" s="20">
        <f>IFERROR(INDEX('G2. 20-21 Prov Tuition Rates'!$N$7:$N$42,MATCH(Table35[[#This Row],[District of the School Attended]],'G2. 20-21 Prov Tuition Rates'!$B$7:$B$42,0)),0)</f>
        <v>13105.14</v>
      </c>
      <c r="I26" s="20">
        <f>IF(H26=0,INDEX('G2. 20-21 Prov Tuition Rates'!$N$7:$N$42,MATCH(Table35[[#This Row],[Proximate Public School District to First Nation of Residence]],'G2. 20-21 Prov Tuition Rates'!$A$7:$A$42,0)),0)</f>
        <v>0</v>
      </c>
      <c r="J26" s="20">
        <f>ROUND(IF(Table35[[#This Row],[Base Tuition Rate]]=0,Table35[[#This Row],[Total &lt;22 Prov&amp;Priv FTE]]*Table35[[#This Row],[Proximate Tuition Rate for Adult Centres, Private and Unaffiliated Schools]],Table35[[#This Row],[Total &lt;22 Prov&amp;Priv FTE]]*Table35[[#This Row],[Base Tuition Rate]]),0)</f>
        <v>39315</v>
      </c>
      <c r="K26" s="19">
        <f>ROUND(IF(Table35[[#This Row],[District of the School Attended]]="Adult",0,Table35[[#This Row],[Total &lt;22 Prov&amp;Priv FTE]]*$D$7),0)</f>
        <v>2250</v>
      </c>
      <c r="L26" s="138">
        <f t="shared" si="0"/>
        <v>41565</v>
      </c>
      <c r="M26" s="397">
        <f>ROUND($D$10*Table35[[#This Row],[TOTAL Tuition Funding]],0)</f>
        <v>2078</v>
      </c>
      <c r="N26" s="397">
        <f>$D$9*Table35[[#This Row],[Total &lt;22 Prov&amp;Priv FTE]]</f>
        <v>1622.91</v>
      </c>
    </row>
    <row r="27" spans="1:14">
      <c r="A27">
        <f>'B. 20-21 Prov&amp;Priv Enrolment&lt;22'!A22</f>
        <v>271</v>
      </c>
      <c r="B27" t="str">
        <f>'B. 20-21 Prov&amp;Priv Enrolment&lt;22'!B22</f>
        <v>Lake Manitoba</v>
      </c>
      <c r="C27">
        <f>'B. 20-21 Prov&amp;Priv Enrolment&lt;22'!C22</f>
        <v>7832</v>
      </c>
      <c r="D27" t="str">
        <f>'B. 20-21 Prov&amp;Priv Enrolment&lt;22'!D22</f>
        <v>Songid'Ewin Alternative School</v>
      </c>
      <c r="E27" s="1">
        <f>'B. 20-21 Prov&amp;Priv Enrolment&lt;22'!Y22</f>
        <v>1</v>
      </c>
      <c r="F27" s="398" t="str">
        <f>'B. 20-21 Prov&amp;Priv Enrolment&lt;22'!E22</f>
        <v>(blank)</v>
      </c>
      <c r="G27" t="str">
        <f>'B. 20-21 Prov&amp;Priv Enrolment&lt;22'!AW22</f>
        <v>LAKESHORE</v>
      </c>
      <c r="H27" s="20">
        <f>IFERROR(INDEX('G2. 20-21 Prov Tuition Rates'!$N$7:$N$42,MATCH(Table35[[#This Row],[District of the School Attended]],'G2. 20-21 Prov Tuition Rates'!$B$7:$B$42,0)),0)</f>
        <v>0</v>
      </c>
      <c r="I27" s="20">
        <f>IF(H27=0,INDEX('G2. 20-21 Prov Tuition Rates'!$N$7:$N$42,MATCH(Table35[[#This Row],[Proximate Public School District to First Nation of Residence]],'G2. 20-21 Prov Tuition Rates'!$A$7:$A$42,0)),0)</f>
        <v>14798.78</v>
      </c>
      <c r="J27" s="20">
        <f>ROUND(IF(Table35[[#This Row],[Base Tuition Rate]]=0,Table35[[#This Row],[Total &lt;22 Prov&amp;Priv FTE]]*Table35[[#This Row],[Proximate Tuition Rate for Adult Centres, Private and Unaffiliated Schools]],Table35[[#This Row],[Total &lt;22 Prov&amp;Priv FTE]]*Table35[[#This Row],[Base Tuition Rate]]),0)</f>
        <v>14799</v>
      </c>
      <c r="K27" s="19">
        <f>ROUND(IF(Table35[[#This Row],[District of the School Attended]]="Adult",0,Table35[[#This Row],[Total &lt;22 Prov&amp;Priv FTE]]*$D$7),0)</f>
        <v>750</v>
      </c>
      <c r="L27" s="138">
        <f t="shared" si="0"/>
        <v>15549</v>
      </c>
      <c r="M27" s="397">
        <f>ROUND($D$10*Table35[[#This Row],[TOTAL Tuition Funding]],0)</f>
        <v>777</v>
      </c>
      <c r="N27" s="397">
        <f>$D$9*Table35[[#This Row],[Total &lt;22 Prov&amp;Priv FTE]]</f>
        <v>540.97</v>
      </c>
    </row>
    <row r="28" spans="1:14">
      <c r="A28">
        <f>'B. 20-21 Prov&amp;Priv Enrolment&lt;22'!A23</f>
        <v>272</v>
      </c>
      <c r="B28" t="str">
        <f>'B. 20-21 Prov&amp;Priv Enrolment&lt;22'!B23</f>
        <v>Pinaymootang First Nation</v>
      </c>
      <c r="C28">
        <f>'B. 20-21 Prov&amp;Priv Enrolment&lt;22'!C23</f>
        <v>3282</v>
      </c>
      <c r="D28" t="str">
        <f>'B. 20-21 Prov&amp;Priv Enrolment&lt;22'!D23</f>
        <v>Children of the Earth High School</v>
      </c>
      <c r="E28" s="1">
        <f>'B. 20-21 Prov&amp;Priv Enrolment&lt;22'!Y23</f>
        <v>2</v>
      </c>
      <c r="F28" s="398" t="str">
        <f>'B. 20-21 Prov&amp;Priv Enrolment&lt;22'!E23</f>
        <v>Winnipeg School Division</v>
      </c>
      <c r="G28" t="str">
        <f>'B. 20-21 Prov&amp;Priv Enrolment&lt;22'!AW23</f>
        <v>LAKESHORE</v>
      </c>
      <c r="H28" s="20">
        <f>IFERROR(INDEX('G2. 20-21 Prov Tuition Rates'!$N$7:$N$42,MATCH(Table35[[#This Row],[District of the School Attended]],'G2. 20-21 Prov Tuition Rates'!$B$7:$B$42,0)),0)</f>
        <v>13105.14</v>
      </c>
      <c r="I28" s="20">
        <f>IF(H28=0,INDEX('G2. 20-21 Prov Tuition Rates'!$N$7:$N$42,MATCH(Table35[[#This Row],[Proximate Public School District to First Nation of Residence]],'G2. 20-21 Prov Tuition Rates'!$A$7:$A$42,0)),0)</f>
        <v>0</v>
      </c>
      <c r="J28" s="20">
        <f>ROUND(IF(Table35[[#This Row],[Base Tuition Rate]]=0,Table35[[#This Row],[Total &lt;22 Prov&amp;Priv FTE]]*Table35[[#This Row],[Proximate Tuition Rate for Adult Centres, Private and Unaffiliated Schools]],Table35[[#This Row],[Total &lt;22 Prov&amp;Priv FTE]]*Table35[[#This Row],[Base Tuition Rate]]),0)</f>
        <v>26210</v>
      </c>
      <c r="K28" s="19">
        <f>ROUND(IF(Table35[[#This Row],[District of the School Attended]]="Adult",0,Table35[[#This Row],[Total &lt;22 Prov&amp;Priv FTE]]*$D$7),0)</f>
        <v>1500</v>
      </c>
      <c r="L28" s="138">
        <f t="shared" si="0"/>
        <v>27710</v>
      </c>
      <c r="M28" s="397">
        <f>ROUND($D$10*Table35[[#This Row],[TOTAL Tuition Funding]],0)</f>
        <v>1386</v>
      </c>
      <c r="N28" s="397">
        <f>$D$9*Table35[[#This Row],[Total &lt;22 Prov&amp;Priv FTE]]</f>
        <v>1081.94</v>
      </c>
    </row>
    <row r="29" spans="1:14">
      <c r="A29">
        <f>'B. 20-21 Prov&amp;Priv Enrolment&lt;22'!A24</f>
        <v>272</v>
      </c>
      <c r="B29" t="str">
        <f>'B. 20-21 Prov&amp;Priv Enrolment&lt;22'!B24</f>
        <v>Pinaymootang First Nation</v>
      </c>
      <c r="C29">
        <f>'B. 20-21 Prov&amp;Priv Enrolment&lt;22'!C24</f>
        <v>3285</v>
      </c>
      <c r="D29" t="str">
        <f>'B. 20-21 Prov&amp;Priv Enrolment&lt;22'!D24</f>
        <v>Ashern Central</v>
      </c>
      <c r="E29" s="1">
        <f>'B. 20-21 Prov&amp;Priv Enrolment&lt;22'!Y24</f>
        <v>5</v>
      </c>
      <c r="F29" s="398" t="str">
        <f>'B. 20-21 Prov&amp;Priv Enrolment&lt;22'!E24</f>
        <v>LAKESHORE SCHOOL DIVISION</v>
      </c>
      <c r="G29" t="str">
        <f>'B. 20-21 Prov&amp;Priv Enrolment&lt;22'!AW24</f>
        <v>LAKESHORE</v>
      </c>
      <c r="H29" s="20">
        <f>IFERROR(INDEX('G2. 20-21 Prov Tuition Rates'!$N$7:$N$42,MATCH(Table35[[#This Row],[District of the School Attended]],'G2. 20-21 Prov Tuition Rates'!$B$7:$B$42,0)),0)</f>
        <v>14798.78</v>
      </c>
      <c r="I29" s="20">
        <f>IF(H29=0,INDEX('G2. 20-21 Prov Tuition Rates'!$N$7:$N$42,MATCH(Table35[[#This Row],[Proximate Public School District to First Nation of Residence]],'G2. 20-21 Prov Tuition Rates'!$A$7:$A$42,0)),0)</f>
        <v>0</v>
      </c>
      <c r="J29" s="20">
        <f>ROUND(IF(Table35[[#This Row],[Base Tuition Rate]]=0,Table35[[#This Row],[Total &lt;22 Prov&amp;Priv FTE]]*Table35[[#This Row],[Proximate Tuition Rate for Adult Centres, Private and Unaffiliated Schools]],Table35[[#This Row],[Total &lt;22 Prov&amp;Priv FTE]]*Table35[[#This Row],[Base Tuition Rate]]),0)</f>
        <v>73994</v>
      </c>
      <c r="K29" s="19">
        <f>ROUND(IF(Table35[[#This Row],[District of the School Attended]]="Adult",0,Table35[[#This Row],[Total &lt;22 Prov&amp;Priv FTE]]*$D$7),0)</f>
        <v>3750</v>
      </c>
      <c r="L29" s="138">
        <f t="shared" si="0"/>
        <v>77744</v>
      </c>
      <c r="M29" s="397">
        <f>ROUND($D$10*Table35[[#This Row],[TOTAL Tuition Funding]],0)</f>
        <v>3887</v>
      </c>
      <c r="N29" s="397">
        <f>$D$9*Table35[[#This Row],[Total &lt;22 Prov&amp;Priv FTE]]</f>
        <v>2704.8500000000004</v>
      </c>
    </row>
    <row r="30" spans="1:14">
      <c r="A30">
        <f>'B. 20-21 Prov&amp;Priv Enrolment&lt;22'!A25</f>
        <v>272</v>
      </c>
      <c r="B30" t="str">
        <f>'B. 20-21 Prov&amp;Priv Enrolment&lt;22'!B25</f>
        <v>Pinaymootang First Nation</v>
      </c>
      <c r="C30">
        <f>'B. 20-21 Prov&amp;Priv Enrolment&lt;22'!C25</f>
        <v>3362</v>
      </c>
      <c r="D30" t="str">
        <f>'B. 20-21 Prov&amp;Priv Enrolment&lt;22'!D25</f>
        <v>R. B. Russell Vocational</v>
      </c>
      <c r="E30" s="1">
        <f>'B. 20-21 Prov&amp;Priv Enrolment&lt;22'!Y25</f>
        <v>1</v>
      </c>
      <c r="F30" s="398" t="str">
        <f>'B. 20-21 Prov&amp;Priv Enrolment&lt;22'!E25</f>
        <v>Winnipeg School Division</v>
      </c>
      <c r="G30" t="str">
        <f>'B. 20-21 Prov&amp;Priv Enrolment&lt;22'!AW25</f>
        <v>LAKESHORE</v>
      </c>
      <c r="H30" s="20">
        <f>IFERROR(INDEX('G2. 20-21 Prov Tuition Rates'!$N$7:$N$42,MATCH(Table35[[#This Row],[District of the School Attended]],'G2. 20-21 Prov Tuition Rates'!$B$7:$B$42,0)),0)</f>
        <v>13105.14</v>
      </c>
      <c r="I30" s="20">
        <f>IF(H30=0,INDEX('G2. 20-21 Prov Tuition Rates'!$N$7:$N$42,MATCH(Table35[[#This Row],[Proximate Public School District to First Nation of Residence]],'G2. 20-21 Prov Tuition Rates'!$A$7:$A$42,0)),0)</f>
        <v>0</v>
      </c>
      <c r="J30" s="20">
        <f>ROUND(IF(Table35[[#This Row],[Base Tuition Rate]]=0,Table35[[#This Row],[Total &lt;22 Prov&amp;Priv FTE]]*Table35[[#This Row],[Proximate Tuition Rate for Adult Centres, Private and Unaffiliated Schools]],Table35[[#This Row],[Total &lt;22 Prov&amp;Priv FTE]]*Table35[[#This Row],[Base Tuition Rate]]),0)</f>
        <v>13105</v>
      </c>
      <c r="K30" s="19">
        <f>ROUND(IF(Table35[[#This Row],[District of the School Attended]]="Adult",0,Table35[[#This Row],[Total &lt;22 Prov&amp;Priv FTE]]*$D$7),0)</f>
        <v>750</v>
      </c>
      <c r="L30" s="138">
        <f t="shared" si="0"/>
        <v>13855</v>
      </c>
      <c r="M30" s="397">
        <f>ROUND($D$10*Table35[[#This Row],[TOTAL Tuition Funding]],0)</f>
        <v>693</v>
      </c>
      <c r="N30" s="397">
        <f>$D$9*Table35[[#This Row],[Total &lt;22 Prov&amp;Priv FTE]]</f>
        <v>540.97</v>
      </c>
    </row>
    <row r="31" spans="1:14">
      <c r="A31">
        <f>'B. 20-21 Prov&amp;Priv Enrolment&lt;22'!A26</f>
        <v>272</v>
      </c>
      <c r="B31" t="str">
        <f>'B. 20-21 Prov&amp;Priv Enrolment&lt;22'!B26</f>
        <v>Pinaymootang First Nation</v>
      </c>
      <c r="C31">
        <f>'B. 20-21 Prov&amp;Priv Enrolment&lt;22'!C26</f>
        <v>3372</v>
      </c>
      <c r="D31" t="str">
        <f>'B. 20-21 Prov&amp;Priv Enrolment&lt;22'!D26</f>
        <v>Collège Sturgeon Heights Collegiate #1135</v>
      </c>
      <c r="E31" s="1">
        <f>'B. 20-21 Prov&amp;Priv Enrolment&lt;22'!Y26</f>
        <v>1</v>
      </c>
      <c r="F31" s="398" t="str">
        <f>'B. 20-21 Prov&amp;Priv Enrolment&lt;22'!E26</f>
        <v>St. James-Assiniboia School Division</v>
      </c>
      <c r="G31" t="str">
        <f>'B. 20-21 Prov&amp;Priv Enrolment&lt;22'!AW26</f>
        <v>LAKESHORE</v>
      </c>
      <c r="H31" s="877">
        <f>IFERROR(INDEX('G2. 20-21 Prov Tuition Rates'!$N$7:$N$42,MATCH(Table35[[#This Row],[District of the School Attended]],'G2. 20-21 Prov Tuition Rates'!$B$7:$B$42,0)),0)</f>
        <v>13172.35</v>
      </c>
      <c r="I31" s="877">
        <f>IF(H31=0,INDEX('G2. 20-21 Prov Tuition Rates'!$N$7:$N$42,MATCH(Table35[[#This Row],[Proximate Public School District to First Nation of Residence]],'G2. 20-21 Prov Tuition Rates'!$A$7:$A$42,0)),0)</f>
        <v>0</v>
      </c>
      <c r="J31" s="877">
        <f>ROUND(IF(Table35[[#This Row],[Base Tuition Rate]]=0,Table35[[#This Row],[Total &lt;22 Prov&amp;Priv FTE]]*Table35[[#This Row],[Proximate Tuition Rate for Adult Centres, Private and Unaffiliated Schools]],Table35[[#This Row],[Total &lt;22 Prov&amp;Priv FTE]]*Table35[[#This Row],[Base Tuition Rate]]),0)</f>
        <v>13172</v>
      </c>
      <c r="K31" s="19">
        <f>ROUND(IF(Table35[[#This Row],[District of the School Attended]]="Adult",0,Table35[[#This Row],[Total &lt;22 Prov&amp;Priv FTE]]*$D$7),0)</f>
        <v>750</v>
      </c>
      <c r="L31" s="141">
        <f t="shared" si="0"/>
        <v>13922</v>
      </c>
      <c r="M31" s="397">
        <f>ROUND($D$10*Table35[[#This Row],[TOTAL Tuition Funding]],0)</f>
        <v>696</v>
      </c>
      <c r="N31" s="730">
        <f>$D$9*Table35[[#This Row],[Total &lt;22 Prov&amp;Priv FTE]]</f>
        <v>540.97</v>
      </c>
    </row>
    <row r="32" spans="1:14">
      <c r="A32">
        <f>'B. 20-21 Prov&amp;Priv Enrolment&lt;22'!A27</f>
        <v>272</v>
      </c>
      <c r="B32" t="str">
        <f>'B. 20-21 Prov&amp;Priv Enrolment&lt;22'!B27</f>
        <v>Pinaymootang First Nation</v>
      </c>
      <c r="C32">
        <f>'B. 20-21 Prov&amp;Priv Enrolment&lt;22'!C27</f>
        <v>3395</v>
      </c>
      <c r="D32" t="str">
        <f>'B. 20-21 Prov&amp;Priv Enrolment&lt;22'!D27</f>
        <v>Tech-Vocational High</v>
      </c>
      <c r="E32" s="1">
        <f>'B. 20-21 Prov&amp;Priv Enrolment&lt;22'!Y27</f>
        <v>3</v>
      </c>
      <c r="F32" s="398" t="str">
        <f>'B. 20-21 Prov&amp;Priv Enrolment&lt;22'!E27</f>
        <v>Winnipeg School Division</v>
      </c>
      <c r="G32" t="str">
        <f>'B. 20-21 Prov&amp;Priv Enrolment&lt;22'!AW27</f>
        <v>LAKESHORE</v>
      </c>
      <c r="H32" s="877">
        <f>IFERROR(INDEX('G2. 20-21 Prov Tuition Rates'!$N$7:$N$42,MATCH(Table35[[#This Row],[District of the School Attended]],'G2. 20-21 Prov Tuition Rates'!$B$7:$B$42,0)),0)</f>
        <v>13105.14</v>
      </c>
      <c r="I32" s="877">
        <f>IF(H32=0,INDEX('G2. 20-21 Prov Tuition Rates'!$N$7:$N$42,MATCH(Table35[[#This Row],[Proximate Public School District to First Nation of Residence]],'G2. 20-21 Prov Tuition Rates'!$A$7:$A$42,0)),0)</f>
        <v>0</v>
      </c>
      <c r="J32" s="877">
        <f>ROUND(IF(Table35[[#This Row],[Base Tuition Rate]]=0,Table35[[#This Row],[Total &lt;22 Prov&amp;Priv FTE]]*Table35[[#This Row],[Proximate Tuition Rate for Adult Centres, Private and Unaffiliated Schools]],Table35[[#This Row],[Total &lt;22 Prov&amp;Priv FTE]]*Table35[[#This Row],[Base Tuition Rate]]),0)</f>
        <v>39315</v>
      </c>
      <c r="K32" s="19">
        <f>ROUND(IF(Table35[[#This Row],[District of the School Attended]]="Adult",0,Table35[[#This Row],[Total &lt;22 Prov&amp;Priv FTE]]*$D$7),0)</f>
        <v>2250</v>
      </c>
      <c r="L32" s="141">
        <f t="shared" si="0"/>
        <v>41565</v>
      </c>
      <c r="M32" s="397">
        <f>ROUND($D$10*Table35[[#This Row],[TOTAL Tuition Funding]],0)</f>
        <v>2078</v>
      </c>
      <c r="N32" s="730">
        <f>$D$9*Table35[[#This Row],[Total &lt;22 Prov&amp;Priv FTE]]</f>
        <v>1622.91</v>
      </c>
    </row>
    <row r="33" spans="1:14">
      <c r="A33">
        <f>'B. 20-21 Prov&amp;Priv Enrolment&lt;22'!A28</f>
        <v>273</v>
      </c>
      <c r="B33" t="str">
        <f>'B. 20-21 Prov&amp;Priv Enrolment&lt;22'!B28</f>
        <v>Roseau River Anishinabe First Nation Government</v>
      </c>
      <c r="C33">
        <f>'B. 20-21 Prov&amp;Priv Enrolment&lt;22'!C28</f>
        <v>1755</v>
      </c>
      <c r="D33" t="str">
        <f>'B. 20-21 Prov&amp;Priv Enrolment&lt;22'!D28</f>
        <v>Roseau Valley</v>
      </c>
      <c r="E33" s="1">
        <f>'B. 20-21 Prov&amp;Priv Enrolment&lt;22'!Y28</f>
        <v>68</v>
      </c>
      <c r="F33" s="398" t="str">
        <f>'B. 20-21 Prov&amp;Priv Enrolment&lt;22'!E28</f>
        <v>BORDER LAND SCHOOL DIVISION</v>
      </c>
      <c r="G33" t="str">
        <f>'B. 20-21 Prov&amp;Priv Enrolment&lt;22'!AW28</f>
        <v>LAKESHORE</v>
      </c>
      <c r="H33" s="877">
        <f>IFERROR(INDEX('G2. 20-21 Prov Tuition Rates'!$N$7:$N$42,MATCH(Table35[[#This Row],[District of the School Attended]],'G2. 20-21 Prov Tuition Rates'!$B$7:$B$42,0)),0)</f>
        <v>14991.28</v>
      </c>
      <c r="I33" s="877">
        <f>IF(H33=0,INDEX('G2. 20-21 Prov Tuition Rates'!$N$7:$N$42,MATCH(Table35[[#This Row],[Proximate Public School District to First Nation of Residence]],'G2. 20-21 Prov Tuition Rates'!$A$7:$A$42,0)),0)</f>
        <v>0</v>
      </c>
      <c r="J33" s="877">
        <f>ROUND(IF(Table35[[#This Row],[Base Tuition Rate]]=0,Table35[[#This Row],[Total &lt;22 Prov&amp;Priv FTE]]*Table35[[#This Row],[Proximate Tuition Rate for Adult Centres, Private and Unaffiliated Schools]],Table35[[#This Row],[Total &lt;22 Prov&amp;Priv FTE]]*Table35[[#This Row],[Base Tuition Rate]]),0)</f>
        <v>1019407</v>
      </c>
      <c r="K33" s="19">
        <f>ROUND(IF(Table35[[#This Row],[District of the School Attended]]="Adult",0,Table35[[#This Row],[Total &lt;22 Prov&amp;Priv FTE]]*$D$7),0)</f>
        <v>51004</v>
      </c>
      <c r="L33" s="141">
        <f t="shared" si="0"/>
        <v>1070411</v>
      </c>
      <c r="M33" s="397">
        <f>ROUND($D$10*Table35[[#This Row],[TOTAL Tuition Funding]],0)</f>
        <v>53521</v>
      </c>
      <c r="N33" s="730">
        <f>$D$9*Table35[[#This Row],[Total &lt;22 Prov&amp;Priv FTE]]</f>
        <v>36785.96</v>
      </c>
    </row>
    <row r="34" spans="1:14">
      <c r="A34">
        <f>'B. 20-21 Prov&amp;Priv Enrolment&lt;22'!A29</f>
        <v>275</v>
      </c>
      <c r="B34" t="str">
        <f>'B. 20-21 Prov&amp;Priv Enrolment&lt;22'!B29</f>
        <v>Lake St. Martin</v>
      </c>
      <c r="C34">
        <f>'B. 20-21 Prov&amp;Priv Enrolment&lt;22'!C29</f>
        <v>3282</v>
      </c>
      <c r="D34" t="str">
        <f>'B. 20-21 Prov&amp;Priv Enrolment&lt;22'!D29</f>
        <v>Children of the Earth High School</v>
      </c>
      <c r="E34" s="1">
        <f>'B. 20-21 Prov&amp;Priv Enrolment&lt;22'!Y29</f>
        <v>2</v>
      </c>
      <c r="F34" s="398" t="str">
        <f>'B. 20-21 Prov&amp;Priv Enrolment&lt;22'!E29</f>
        <v>Winnipeg School Division</v>
      </c>
      <c r="G34" t="str">
        <f>'B. 20-21 Prov&amp;Priv Enrolment&lt;22'!AW29</f>
        <v>FRONTIER</v>
      </c>
      <c r="H34" s="877">
        <f>IFERROR(INDEX('G2. 20-21 Prov Tuition Rates'!$N$7:$N$42,MATCH(Table35[[#This Row],[District of the School Attended]],'G2. 20-21 Prov Tuition Rates'!$B$7:$B$42,0)),0)</f>
        <v>13105.14</v>
      </c>
      <c r="I34" s="877">
        <f>IF(H34=0,INDEX('G2. 20-21 Prov Tuition Rates'!$N$7:$N$42,MATCH(Table35[[#This Row],[Proximate Public School District to First Nation of Residence]],'G2. 20-21 Prov Tuition Rates'!$A$7:$A$42,0)),0)</f>
        <v>0</v>
      </c>
      <c r="J34" s="877">
        <f>ROUND(IF(Table35[[#This Row],[Base Tuition Rate]]=0,Table35[[#This Row],[Total &lt;22 Prov&amp;Priv FTE]]*Table35[[#This Row],[Proximate Tuition Rate for Adult Centres, Private and Unaffiliated Schools]],Table35[[#This Row],[Total &lt;22 Prov&amp;Priv FTE]]*Table35[[#This Row],[Base Tuition Rate]]),0)</f>
        <v>26210</v>
      </c>
      <c r="K34" s="19">
        <f>ROUND(IF(Table35[[#This Row],[District of the School Attended]]="Adult",0,Table35[[#This Row],[Total &lt;22 Prov&amp;Priv FTE]]*$D$7),0)</f>
        <v>1500</v>
      </c>
      <c r="L34" s="141">
        <f t="shared" si="0"/>
        <v>27710</v>
      </c>
      <c r="M34" s="397">
        <f>ROUND($D$10*Table35[[#This Row],[TOTAL Tuition Funding]],0)</f>
        <v>1386</v>
      </c>
      <c r="N34" s="730">
        <f>$D$9*Table35[[#This Row],[Total &lt;22 Prov&amp;Priv FTE]]</f>
        <v>1081.94</v>
      </c>
    </row>
    <row r="35" spans="1:14">
      <c r="A35">
        <f>'B. 20-21 Prov&amp;Priv Enrolment&lt;22'!A30</f>
        <v>275</v>
      </c>
      <c r="B35" t="str">
        <f>'B. 20-21 Prov&amp;Priv Enrolment&lt;22'!B30</f>
        <v>Lake St. Martin</v>
      </c>
      <c r="C35">
        <f>'B. 20-21 Prov&amp;Priv Enrolment&lt;22'!C30</f>
        <v>3303</v>
      </c>
      <c r="D35" t="str">
        <f>'B. 20-21 Prov&amp;Priv Enrolment&lt;22'!D30</f>
        <v>Crocus Plains Regional Secondary</v>
      </c>
      <c r="E35" s="1">
        <f>'B. 20-21 Prov&amp;Priv Enrolment&lt;22'!Y30</f>
        <v>1</v>
      </c>
      <c r="F35" s="398" t="str">
        <f>'B. 20-21 Prov&amp;Priv Enrolment&lt;22'!E30</f>
        <v>Brandon School Division</v>
      </c>
      <c r="G35" t="str">
        <f>'B. 20-21 Prov&amp;Priv Enrolment&lt;22'!AW30</f>
        <v>FRONTIER</v>
      </c>
      <c r="H35" s="877">
        <f>IFERROR(INDEX('G2. 20-21 Prov Tuition Rates'!$N$7:$N$42,MATCH(Table35[[#This Row],[District of the School Attended]],'G2. 20-21 Prov Tuition Rates'!$B$7:$B$42,0)),0)</f>
        <v>12133.71</v>
      </c>
      <c r="I35" s="877">
        <f>IF(H35=0,INDEX('G2. 20-21 Prov Tuition Rates'!$N$7:$N$42,MATCH(Table35[[#This Row],[Proximate Public School District to First Nation of Residence]],'G2. 20-21 Prov Tuition Rates'!$A$7:$A$42,0)),0)</f>
        <v>0</v>
      </c>
      <c r="J35" s="877">
        <f>ROUND(IF(Table35[[#This Row],[Base Tuition Rate]]=0,Table35[[#This Row],[Total &lt;22 Prov&amp;Priv FTE]]*Table35[[#This Row],[Proximate Tuition Rate for Adult Centres, Private and Unaffiliated Schools]],Table35[[#This Row],[Total &lt;22 Prov&amp;Priv FTE]]*Table35[[#This Row],[Base Tuition Rate]]),0)</f>
        <v>12134</v>
      </c>
      <c r="K35" s="19">
        <f>ROUND(IF(Table35[[#This Row],[District of the School Attended]]="Adult",0,Table35[[#This Row],[Total &lt;22 Prov&amp;Priv FTE]]*$D$7),0)</f>
        <v>750</v>
      </c>
      <c r="L35" s="141">
        <f t="shared" si="0"/>
        <v>12884</v>
      </c>
      <c r="M35" s="397">
        <f>ROUND($D$10*Table35[[#This Row],[TOTAL Tuition Funding]],0)</f>
        <v>644</v>
      </c>
      <c r="N35" s="730">
        <f>$D$9*Table35[[#This Row],[Total &lt;22 Prov&amp;Priv FTE]]</f>
        <v>540.97</v>
      </c>
    </row>
    <row r="36" spans="1:14">
      <c r="A36">
        <f>'B. 20-21 Prov&amp;Priv Enrolment&lt;22'!A31</f>
        <v>275</v>
      </c>
      <c r="B36" t="str">
        <f>'B. 20-21 Prov&amp;Priv Enrolment&lt;22'!B31</f>
        <v>Lake St. Martin</v>
      </c>
      <c r="C36">
        <f>'B. 20-21 Prov&amp;Priv Enrolment&lt;22'!C31</f>
        <v>3310</v>
      </c>
      <c r="D36" t="str">
        <f>'B. 20-21 Prov&amp;Priv Enrolment&lt;22'!D31</f>
        <v>Elmwood High</v>
      </c>
      <c r="E36" s="1">
        <f>'B. 20-21 Prov&amp;Priv Enrolment&lt;22'!Y31</f>
        <v>3</v>
      </c>
      <c r="F36" s="398" t="str">
        <f>'B. 20-21 Prov&amp;Priv Enrolment&lt;22'!E31</f>
        <v>Winnipeg School Division</v>
      </c>
      <c r="G36" t="str">
        <f>'B. 20-21 Prov&amp;Priv Enrolment&lt;22'!AW31</f>
        <v>FRONTIER</v>
      </c>
      <c r="H36" s="877">
        <f>IFERROR(INDEX('G2. 20-21 Prov Tuition Rates'!$N$7:$N$42,MATCH(Table35[[#This Row],[District of the School Attended]],'G2. 20-21 Prov Tuition Rates'!$B$7:$B$42,0)),0)</f>
        <v>13105.14</v>
      </c>
      <c r="I36" s="877">
        <f>IF(H36=0,INDEX('G2. 20-21 Prov Tuition Rates'!$N$7:$N$42,MATCH(Table35[[#This Row],[Proximate Public School District to First Nation of Residence]],'G2. 20-21 Prov Tuition Rates'!$A$7:$A$42,0)),0)</f>
        <v>0</v>
      </c>
      <c r="J36" s="877">
        <f>ROUND(IF(Table35[[#This Row],[Base Tuition Rate]]=0,Table35[[#This Row],[Total &lt;22 Prov&amp;Priv FTE]]*Table35[[#This Row],[Proximate Tuition Rate for Adult Centres, Private and Unaffiliated Schools]],Table35[[#This Row],[Total &lt;22 Prov&amp;Priv FTE]]*Table35[[#This Row],[Base Tuition Rate]]),0)</f>
        <v>39315</v>
      </c>
      <c r="K36" s="19">
        <f>ROUND(IF(Table35[[#This Row],[District of the School Attended]]="Adult",0,Table35[[#This Row],[Total &lt;22 Prov&amp;Priv FTE]]*$D$7),0)</f>
        <v>2250</v>
      </c>
      <c r="L36" s="141">
        <f t="shared" si="0"/>
        <v>41565</v>
      </c>
      <c r="M36" s="397">
        <f>ROUND($D$10*Table35[[#This Row],[TOTAL Tuition Funding]],0)</f>
        <v>2078</v>
      </c>
      <c r="N36" s="730">
        <f>$D$9*Table35[[#This Row],[Total &lt;22 Prov&amp;Priv FTE]]</f>
        <v>1622.91</v>
      </c>
    </row>
    <row r="37" spans="1:14">
      <c r="A37">
        <f>'B. 20-21 Prov&amp;Priv Enrolment&lt;22'!A32</f>
        <v>275</v>
      </c>
      <c r="B37" t="str">
        <f>'B. 20-21 Prov&amp;Priv Enrolment&lt;22'!B32</f>
        <v>Lake St. Martin</v>
      </c>
      <c r="C37">
        <f>'B. 20-21 Prov&amp;Priv Enrolment&lt;22'!C32</f>
        <v>3342</v>
      </c>
      <c r="D37" t="str">
        <f>'B. 20-21 Prov&amp;Priv Enrolment&lt;22'!D32</f>
        <v>Kildonan East Collegiate</v>
      </c>
      <c r="E37" s="1">
        <f>'B. 20-21 Prov&amp;Priv Enrolment&lt;22'!Y32</f>
        <v>1</v>
      </c>
      <c r="F37" s="398" t="str">
        <f>'B. 20-21 Prov&amp;Priv Enrolment&lt;22'!E32</f>
        <v>River East Transcona School Division</v>
      </c>
      <c r="G37" t="str">
        <f>'B. 20-21 Prov&amp;Priv Enrolment&lt;22'!AW32</f>
        <v>FRONTIER</v>
      </c>
      <c r="H37" s="877">
        <f>IFERROR(INDEX('G2. 20-21 Prov Tuition Rates'!$N$7:$N$42,MATCH(Table35[[#This Row],[District of the School Attended]],'G2. 20-21 Prov Tuition Rates'!$B$7:$B$42,0)),0)</f>
        <v>11953.03</v>
      </c>
      <c r="I37" s="877">
        <f>IF(H37=0,INDEX('G2. 20-21 Prov Tuition Rates'!$N$7:$N$42,MATCH(Table35[[#This Row],[Proximate Public School District to First Nation of Residence]],'G2. 20-21 Prov Tuition Rates'!$A$7:$A$42,0)),0)</f>
        <v>0</v>
      </c>
      <c r="J37" s="877">
        <f>ROUND(IF(Table35[[#This Row],[Base Tuition Rate]]=0,Table35[[#This Row],[Total &lt;22 Prov&amp;Priv FTE]]*Table35[[#This Row],[Proximate Tuition Rate for Adult Centres, Private and Unaffiliated Schools]],Table35[[#This Row],[Total &lt;22 Prov&amp;Priv FTE]]*Table35[[#This Row],[Base Tuition Rate]]),0)</f>
        <v>11953</v>
      </c>
      <c r="K37" s="19">
        <f>ROUND(IF(Table35[[#This Row],[District of the School Attended]]="Adult",0,Table35[[#This Row],[Total &lt;22 Prov&amp;Priv FTE]]*$D$7),0)</f>
        <v>750</v>
      </c>
      <c r="L37" s="141">
        <f t="shared" si="0"/>
        <v>12703</v>
      </c>
      <c r="M37" s="397">
        <f>ROUND($D$10*Table35[[#This Row],[TOTAL Tuition Funding]],0)</f>
        <v>635</v>
      </c>
      <c r="N37" s="730">
        <f>$D$9*Table35[[#This Row],[Total &lt;22 Prov&amp;Priv FTE]]</f>
        <v>540.97</v>
      </c>
    </row>
    <row r="38" spans="1:14">
      <c r="A38">
        <f>'B. 20-21 Prov&amp;Priv Enrolment&lt;22'!A33</f>
        <v>275</v>
      </c>
      <c r="B38" t="str">
        <f>'B. 20-21 Prov&amp;Priv Enrolment&lt;22'!B33</f>
        <v>Lake St. Martin</v>
      </c>
      <c r="C38">
        <f>'B. 20-21 Prov&amp;Priv Enrolment&lt;22'!C33</f>
        <v>3395</v>
      </c>
      <c r="D38" t="str">
        <f>'B. 20-21 Prov&amp;Priv Enrolment&lt;22'!D33</f>
        <v>Tech-Vocational High</v>
      </c>
      <c r="E38" s="1">
        <f>'B. 20-21 Prov&amp;Priv Enrolment&lt;22'!Y33</f>
        <v>2</v>
      </c>
      <c r="F38" s="398" t="str">
        <f>'B. 20-21 Prov&amp;Priv Enrolment&lt;22'!E33</f>
        <v>Winnipeg School Division</v>
      </c>
      <c r="G38" t="str">
        <f>'B. 20-21 Prov&amp;Priv Enrolment&lt;22'!AW33</f>
        <v>FRONTIER</v>
      </c>
      <c r="H38" s="877">
        <f>IFERROR(INDEX('G2. 20-21 Prov Tuition Rates'!$N$7:$N$42,MATCH(Table35[[#This Row],[District of the School Attended]],'G2. 20-21 Prov Tuition Rates'!$B$7:$B$42,0)),0)</f>
        <v>13105.14</v>
      </c>
      <c r="I38" s="877">
        <f>IF(H38=0,INDEX('G2. 20-21 Prov Tuition Rates'!$N$7:$N$42,MATCH(Table35[[#This Row],[Proximate Public School District to First Nation of Residence]],'G2. 20-21 Prov Tuition Rates'!$A$7:$A$42,0)),0)</f>
        <v>0</v>
      </c>
      <c r="J38" s="877">
        <f>ROUND(IF(Table35[[#This Row],[Base Tuition Rate]]=0,Table35[[#This Row],[Total &lt;22 Prov&amp;Priv FTE]]*Table35[[#This Row],[Proximate Tuition Rate for Adult Centres, Private and Unaffiliated Schools]],Table35[[#This Row],[Total &lt;22 Prov&amp;Priv FTE]]*Table35[[#This Row],[Base Tuition Rate]]),0)</f>
        <v>26210</v>
      </c>
      <c r="K38" s="19">
        <f>ROUND(IF(Table35[[#This Row],[District of the School Attended]]="Adult",0,Table35[[#This Row],[Total &lt;22 Prov&amp;Priv FTE]]*$D$7),0)</f>
        <v>1500</v>
      </c>
      <c r="L38" s="141">
        <f t="shared" si="0"/>
        <v>27710</v>
      </c>
      <c r="M38" s="397">
        <f>ROUND($D$10*Table35[[#This Row],[TOTAL Tuition Funding]],0)</f>
        <v>1386</v>
      </c>
      <c r="N38" s="730">
        <f>$D$9*Table35[[#This Row],[Total &lt;22 Prov&amp;Priv FTE]]</f>
        <v>1081.94</v>
      </c>
    </row>
    <row r="39" spans="1:14">
      <c r="A39">
        <f>'B. 20-21 Prov&amp;Priv Enrolment&lt;22'!A34</f>
        <v>275</v>
      </c>
      <c r="B39" t="str">
        <f>'B. 20-21 Prov&amp;Priv Enrolment&lt;22'!B34</f>
        <v>Lake St. Martin</v>
      </c>
      <c r="C39">
        <f>'B. 20-21 Prov&amp;Priv Enrolment&lt;22'!C34</f>
        <v>3400</v>
      </c>
      <c r="D39" t="str">
        <f>'B. 20-21 Prov&amp;Priv Enrolment&lt;22'!D34</f>
        <v>River East Collegiate</v>
      </c>
      <c r="E39" s="1">
        <f>'B. 20-21 Prov&amp;Priv Enrolment&lt;22'!Y34</f>
        <v>1</v>
      </c>
      <c r="F39" s="398" t="str">
        <f>'B. 20-21 Prov&amp;Priv Enrolment&lt;22'!E34</f>
        <v>River East Transcona School Division</v>
      </c>
      <c r="G39" t="str">
        <f>'B. 20-21 Prov&amp;Priv Enrolment&lt;22'!AW34</f>
        <v>FRONTIER</v>
      </c>
      <c r="H39" s="877">
        <f>IFERROR(INDEX('G2. 20-21 Prov Tuition Rates'!$N$7:$N$42,MATCH(Table35[[#This Row],[District of the School Attended]],'G2. 20-21 Prov Tuition Rates'!$B$7:$B$42,0)),0)</f>
        <v>11953.03</v>
      </c>
      <c r="I39" s="877">
        <f>IF(H39=0,INDEX('G2. 20-21 Prov Tuition Rates'!$N$7:$N$42,MATCH(Table35[[#This Row],[Proximate Public School District to First Nation of Residence]],'G2. 20-21 Prov Tuition Rates'!$A$7:$A$42,0)),0)</f>
        <v>0</v>
      </c>
      <c r="J39" s="877">
        <f>ROUND(IF(Table35[[#This Row],[Base Tuition Rate]]=0,Table35[[#This Row],[Total &lt;22 Prov&amp;Priv FTE]]*Table35[[#This Row],[Proximate Tuition Rate for Adult Centres, Private and Unaffiliated Schools]],Table35[[#This Row],[Total &lt;22 Prov&amp;Priv FTE]]*Table35[[#This Row],[Base Tuition Rate]]),0)</f>
        <v>11953</v>
      </c>
      <c r="K39" s="19">
        <f>ROUND(IF(Table35[[#This Row],[District of the School Attended]]="Adult",0,Table35[[#This Row],[Total &lt;22 Prov&amp;Priv FTE]]*$D$7),0)</f>
        <v>750</v>
      </c>
      <c r="L39" s="141">
        <f t="shared" si="0"/>
        <v>12703</v>
      </c>
      <c r="M39" s="397">
        <f>ROUND($D$10*Table35[[#This Row],[TOTAL Tuition Funding]],0)</f>
        <v>635</v>
      </c>
      <c r="N39" s="730">
        <f>$D$9*Table35[[#This Row],[Total &lt;22 Prov&amp;Priv FTE]]</f>
        <v>540.97</v>
      </c>
    </row>
    <row r="40" spans="1:14">
      <c r="A40">
        <f>'B. 20-21 Prov&amp;Priv Enrolment&lt;22'!A35</f>
        <v>275</v>
      </c>
      <c r="B40" t="str">
        <f>'B. 20-21 Prov&amp;Priv Enrolment&lt;22'!B35</f>
        <v>Lake St. Martin</v>
      </c>
      <c r="C40">
        <f>'B. 20-21 Prov&amp;Priv Enrolment&lt;22'!C35</f>
        <v>3460</v>
      </c>
      <c r="D40" t="str">
        <f>'B. 20-21 Prov&amp;Priv Enrolment&lt;22'!D35</f>
        <v>Garden City Collegiate</v>
      </c>
      <c r="E40" s="1">
        <f>'B. 20-21 Prov&amp;Priv Enrolment&lt;22'!Y35</f>
        <v>1</v>
      </c>
      <c r="F40" s="398" t="str">
        <f>'B. 20-21 Prov&amp;Priv Enrolment&lt;22'!E35</f>
        <v>Seven Oaks School Division</v>
      </c>
      <c r="G40" t="str">
        <f>'B. 20-21 Prov&amp;Priv Enrolment&lt;22'!AW35</f>
        <v>FRONTIER</v>
      </c>
      <c r="H40" s="877">
        <f>IFERROR(INDEX('G2. 20-21 Prov Tuition Rates'!$N$7:$N$42,MATCH(Table35[[#This Row],[District of the School Attended]],'G2. 20-21 Prov Tuition Rates'!$B$7:$B$42,0)),0)</f>
        <v>12749.74</v>
      </c>
      <c r="I40" s="877">
        <f>IF(H40=0,INDEX('G2. 20-21 Prov Tuition Rates'!$N$7:$N$42,MATCH(Table35[[#This Row],[Proximate Public School District to First Nation of Residence]],'G2. 20-21 Prov Tuition Rates'!$A$7:$A$42,0)),0)</f>
        <v>0</v>
      </c>
      <c r="J40" s="877">
        <f>ROUND(IF(Table35[[#This Row],[Base Tuition Rate]]=0,Table35[[#This Row],[Total &lt;22 Prov&amp;Priv FTE]]*Table35[[#This Row],[Proximate Tuition Rate for Adult Centres, Private and Unaffiliated Schools]],Table35[[#This Row],[Total &lt;22 Prov&amp;Priv FTE]]*Table35[[#This Row],[Base Tuition Rate]]),0)</f>
        <v>12750</v>
      </c>
      <c r="K40" s="19">
        <f>ROUND(IF(Table35[[#This Row],[District of the School Attended]]="Adult",0,Table35[[#This Row],[Total &lt;22 Prov&amp;Priv FTE]]*$D$7),0)</f>
        <v>750</v>
      </c>
      <c r="L40" s="141">
        <f t="shared" si="0"/>
        <v>13500</v>
      </c>
      <c r="M40" s="397">
        <f>ROUND($D$10*Table35[[#This Row],[TOTAL Tuition Funding]],0)</f>
        <v>675</v>
      </c>
      <c r="N40" s="730">
        <f>$D$9*Table35[[#This Row],[Total &lt;22 Prov&amp;Priv FTE]]</f>
        <v>540.97</v>
      </c>
    </row>
    <row r="41" spans="1:14">
      <c r="A41">
        <f>'B. 20-21 Prov&amp;Priv Enrolment&lt;22'!A36</f>
        <v>275</v>
      </c>
      <c r="B41" t="str">
        <f>'B. 20-21 Prov&amp;Priv Enrolment&lt;22'!B36</f>
        <v>Lake St. Martin</v>
      </c>
      <c r="C41">
        <f>'B. 20-21 Prov&amp;Priv Enrolment&lt;22'!C36</f>
        <v>5725</v>
      </c>
      <c r="D41" t="str">
        <f>'B. 20-21 Prov&amp;Priv Enrolment&lt;22'!D36</f>
        <v>Maples Collegiate</v>
      </c>
      <c r="E41" s="1">
        <f>'B. 20-21 Prov&amp;Priv Enrolment&lt;22'!Y36</f>
        <v>4</v>
      </c>
      <c r="F41" s="398" t="str">
        <f>'B. 20-21 Prov&amp;Priv Enrolment&lt;22'!E36</f>
        <v>Seven Oaks School Division</v>
      </c>
      <c r="G41" t="str">
        <f>'B. 20-21 Prov&amp;Priv Enrolment&lt;22'!AW36</f>
        <v>FRONTIER</v>
      </c>
      <c r="H41" s="877">
        <f>IFERROR(INDEX('G2. 20-21 Prov Tuition Rates'!$N$7:$N$42,MATCH(Table35[[#This Row],[District of the School Attended]],'G2. 20-21 Prov Tuition Rates'!$B$7:$B$42,0)),0)</f>
        <v>12749.74</v>
      </c>
      <c r="I41" s="877">
        <f>IF(H41=0,INDEX('G2. 20-21 Prov Tuition Rates'!$N$7:$N$42,MATCH(Table35[[#This Row],[Proximate Public School District to First Nation of Residence]],'G2. 20-21 Prov Tuition Rates'!$A$7:$A$42,0)),0)</f>
        <v>0</v>
      </c>
      <c r="J41" s="877">
        <f>ROUND(IF(Table35[[#This Row],[Base Tuition Rate]]=0,Table35[[#This Row],[Total &lt;22 Prov&amp;Priv FTE]]*Table35[[#This Row],[Proximate Tuition Rate for Adult Centres, Private and Unaffiliated Schools]],Table35[[#This Row],[Total &lt;22 Prov&amp;Priv FTE]]*Table35[[#This Row],[Base Tuition Rate]]),0)</f>
        <v>50999</v>
      </c>
      <c r="K41" s="19">
        <f>ROUND(IF(Table35[[#This Row],[District of the School Attended]]="Adult",0,Table35[[#This Row],[Total &lt;22 Prov&amp;Priv FTE]]*$D$7),0)</f>
        <v>3000</v>
      </c>
      <c r="L41" s="141">
        <f t="shared" si="0"/>
        <v>53999</v>
      </c>
      <c r="M41" s="397">
        <f>ROUND($D$10*Table35[[#This Row],[TOTAL Tuition Funding]],0)</f>
        <v>2700</v>
      </c>
      <c r="N41" s="730">
        <f>$D$9*Table35[[#This Row],[Total &lt;22 Prov&amp;Priv FTE]]</f>
        <v>2163.88</v>
      </c>
    </row>
    <row r="42" spans="1:14">
      <c r="A42">
        <f>'B. 20-21 Prov&amp;Priv Enrolment&lt;22'!A37</f>
        <v>275</v>
      </c>
      <c r="B42" t="str">
        <f>'B. 20-21 Prov&amp;Priv Enrolment&lt;22'!B37</f>
        <v>Lake St. Martin</v>
      </c>
      <c r="C42">
        <f>'B. 20-21 Prov&amp;Priv Enrolment&lt;22'!C37</f>
        <v>5736</v>
      </c>
      <c r="D42" t="str">
        <f>'B. 20-21 Prov&amp;Priv Enrolment&lt;22'!D37</f>
        <v>Vincent Massey High</v>
      </c>
      <c r="E42" s="1">
        <f>'B. 20-21 Prov&amp;Priv Enrolment&lt;22'!Y37</f>
        <v>1</v>
      </c>
      <c r="F42" s="398" t="str">
        <f>'B. 20-21 Prov&amp;Priv Enrolment&lt;22'!E37</f>
        <v>Brandon School Division</v>
      </c>
      <c r="G42" t="str">
        <f>'B. 20-21 Prov&amp;Priv Enrolment&lt;22'!AW37</f>
        <v>FRONTIER</v>
      </c>
      <c r="H42" s="877">
        <f>IFERROR(INDEX('G2. 20-21 Prov Tuition Rates'!$N$7:$N$42,MATCH(Table35[[#This Row],[District of the School Attended]],'G2. 20-21 Prov Tuition Rates'!$B$7:$B$42,0)),0)</f>
        <v>12133.71</v>
      </c>
      <c r="I42" s="877">
        <f>IF(H42=0,INDEX('G2. 20-21 Prov Tuition Rates'!$N$7:$N$42,MATCH(Table35[[#This Row],[Proximate Public School District to First Nation of Residence]],'G2. 20-21 Prov Tuition Rates'!$A$7:$A$42,0)),0)</f>
        <v>0</v>
      </c>
      <c r="J42" s="877">
        <f>ROUND(IF(Table35[[#This Row],[Base Tuition Rate]]=0,Table35[[#This Row],[Total &lt;22 Prov&amp;Priv FTE]]*Table35[[#This Row],[Proximate Tuition Rate for Adult Centres, Private and Unaffiliated Schools]],Table35[[#This Row],[Total &lt;22 Prov&amp;Priv FTE]]*Table35[[#This Row],[Base Tuition Rate]]),0)</f>
        <v>12134</v>
      </c>
      <c r="K42" s="19">
        <f>ROUND(IF(Table35[[#This Row],[District of the School Attended]]="Adult",0,Table35[[#This Row],[Total &lt;22 Prov&amp;Priv FTE]]*$D$7),0)</f>
        <v>750</v>
      </c>
      <c r="L42" s="141">
        <f t="shared" si="0"/>
        <v>12884</v>
      </c>
      <c r="M42" s="397">
        <f>ROUND($D$10*Table35[[#This Row],[TOTAL Tuition Funding]],0)</f>
        <v>644</v>
      </c>
      <c r="N42" s="730">
        <f>$D$9*Table35[[#This Row],[Total &lt;22 Prov&amp;Priv FTE]]</f>
        <v>540.97</v>
      </c>
    </row>
    <row r="43" spans="1:14">
      <c r="A43">
        <f>'B. 20-21 Prov&amp;Priv Enrolment&lt;22'!A38</f>
        <v>286</v>
      </c>
      <c r="B43" t="str">
        <f>'B. 20-21 Prov&amp;Priv Enrolment&lt;22'!B38</f>
        <v>Keeseekoowenin</v>
      </c>
      <c r="C43">
        <f>'B. 20-21 Prov&amp;Priv Enrolment&lt;22'!C38</f>
        <v>3310</v>
      </c>
      <c r="D43" t="str">
        <f>'B. 20-21 Prov&amp;Priv Enrolment&lt;22'!D38</f>
        <v>Elmwood High</v>
      </c>
      <c r="E43" s="1">
        <f>'B. 20-21 Prov&amp;Priv Enrolment&lt;22'!Y38</f>
        <v>2</v>
      </c>
      <c r="F43" s="398" t="str">
        <f>'B. 20-21 Prov&amp;Priv Enrolment&lt;22'!E38</f>
        <v>Winnipeg School Division</v>
      </c>
      <c r="G43" t="str">
        <f>'B. 20-21 Prov&amp;Priv Enrolment&lt;22'!AW38</f>
        <v>ROLLING RIVER</v>
      </c>
      <c r="H43" s="877">
        <f>IFERROR(INDEX('G2. 20-21 Prov Tuition Rates'!$N$7:$N$42,MATCH(Table35[[#This Row],[District of the School Attended]],'G2. 20-21 Prov Tuition Rates'!$B$7:$B$42,0)),0)</f>
        <v>13105.14</v>
      </c>
      <c r="I43" s="877">
        <f>IF(H43=0,INDEX('G2. 20-21 Prov Tuition Rates'!$N$7:$N$42,MATCH(Table35[[#This Row],[Proximate Public School District to First Nation of Residence]],'G2. 20-21 Prov Tuition Rates'!$A$7:$A$42,0)),0)</f>
        <v>0</v>
      </c>
      <c r="J43" s="877">
        <f>ROUND(IF(Table35[[#This Row],[Base Tuition Rate]]=0,Table35[[#This Row],[Total &lt;22 Prov&amp;Priv FTE]]*Table35[[#This Row],[Proximate Tuition Rate for Adult Centres, Private and Unaffiliated Schools]],Table35[[#This Row],[Total &lt;22 Prov&amp;Priv FTE]]*Table35[[#This Row],[Base Tuition Rate]]),0)</f>
        <v>26210</v>
      </c>
      <c r="K43" s="19">
        <f>ROUND(IF(Table35[[#This Row],[District of the School Attended]]="Adult",0,Table35[[#This Row],[Total &lt;22 Prov&amp;Priv FTE]]*$D$7),0)</f>
        <v>1500</v>
      </c>
      <c r="L43" s="141">
        <f t="shared" si="0"/>
        <v>27710</v>
      </c>
      <c r="M43" s="397">
        <f>ROUND($D$10*Table35[[#This Row],[TOTAL Tuition Funding]],0)</f>
        <v>1386</v>
      </c>
      <c r="N43" s="730">
        <f>$D$9*Table35[[#This Row],[Total &lt;22 Prov&amp;Priv FTE]]</f>
        <v>1081.94</v>
      </c>
    </row>
    <row r="44" spans="1:14">
      <c r="A44">
        <f>'B. 20-21 Prov&amp;Priv Enrolment&lt;22'!A39</f>
        <v>286</v>
      </c>
      <c r="B44" t="str">
        <f>'B. 20-21 Prov&amp;Priv Enrolment&lt;22'!B39</f>
        <v>Keeseekoowenin</v>
      </c>
      <c r="C44">
        <f>'B. 20-21 Prov&amp;Priv Enrolment&lt;22'!C39</f>
        <v>7870</v>
      </c>
      <c r="D44" t="str">
        <f>'B. 20-21 Prov&amp;Priv Enrolment&lt;22'!D39</f>
        <v>Strathclair Community School</v>
      </c>
      <c r="E44" s="1">
        <f>'B. 20-21 Prov&amp;Priv Enrolment&lt;22'!Y39</f>
        <v>39</v>
      </c>
      <c r="F44" s="398" t="str">
        <f>'B. 20-21 Prov&amp;Priv Enrolment&lt;22'!E39</f>
        <v>PARK WEST SCHOOL DIVISION</v>
      </c>
      <c r="G44" t="str">
        <f>'B. 20-21 Prov&amp;Priv Enrolment&lt;22'!AW39</f>
        <v>ROLLING RIVER</v>
      </c>
      <c r="H44" s="877">
        <f>IFERROR(INDEX('G2. 20-21 Prov Tuition Rates'!$N$7:$N$42,MATCH(Table35[[#This Row],[District of the School Attended]],'G2. 20-21 Prov Tuition Rates'!$B$7:$B$42,0)),0)</f>
        <v>13454.98</v>
      </c>
      <c r="I44" s="877">
        <f>IF(H44=0,INDEX('G2. 20-21 Prov Tuition Rates'!$N$7:$N$42,MATCH(Table35[[#This Row],[Proximate Public School District to First Nation of Residence]],'G2. 20-21 Prov Tuition Rates'!$A$7:$A$42,0)),0)</f>
        <v>0</v>
      </c>
      <c r="J44" s="877">
        <f>ROUND(IF(Table35[[#This Row],[Base Tuition Rate]]=0,Table35[[#This Row],[Total &lt;22 Prov&amp;Priv FTE]]*Table35[[#This Row],[Proximate Tuition Rate for Adult Centres, Private and Unaffiliated Schools]],Table35[[#This Row],[Total &lt;22 Prov&amp;Priv FTE]]*Table35[[#This Row],[Base Tuition Rate]]),0)</f>
        <v>524744</v>
      </c>
      <c r="K44" s="19">
        <f>ROUND(IF(Table35[[#This Row],[District of the School Attended]]="Adult",0,Table35[[#This Row],[Total &lt;22 Prov&amp;Priv FTE]]*$D$7),0)</f>
        <v>29252</v>
      </c>
      <c r="L44" s="141">
        <f t="shared" si="0"/>
        <v>553996</v>
      </c>
      <c r="M44" s="397">
        <f>ROUND($D$10*Table35[[#This Row],[TOTAL Tuition Funding]],0)</f>
        <v>27700</v>
      </c>
      <c r="N44" s="730">
        <f>$D$9*Table35[[#This Row],[Total &lt;22 Prov&amp;Priv FTE]]</f>
        <v>21097.83</v>
      </c>
    </row>
    <row r="45" spans="1:14">
      <c r="A45">
        <f>'B. 20-21 Prov&amp;Priv Enrolment&lt;22'!A40</f>
        <v>288</v>
      </c>
      <c r="B45" t="str">
        <f>'B. 20-21 Prov&amp;Priv Enrolment&lt;22'!B40</f>
        <v>Dakota Plains</v>
      </c>
      <c r="C45">
        <f>'B. 20-21 Prov&amp;Priv Enrolment&lt;22'!C40</f>
        <v>3333</v>
      </c>
      <c r="D45" t="str">
        <f>'B. 20-21 Prov&amp;Priv Enrolment&lt;22'!D40</f>
        <v>La Verendrye</v>
      </c>
      <c r="E45" s="1">
        <f>'B. 20-21 Prov&amp;Priv Enrolment&lt;22'!Y40</f>
        <v>1</v>
      </c>
      <c r="F45" s="398" t="str">
        <f>'B. 20-21 Prov&amp;Priv Enrolment&lt;22'!E40</f>
        <v>PORTAGE LA PRAIRIE SCHOOL DIVISION #24</v>
      </c>
      <c r="G45" t="str">
        <f>'B. 20-21 Prov&amp;Priv Enrolment&lt;22'!AW40</f>
        <v>PORTAGE LA PRAIRIE</v>
      </c>
      <c r="H45" s="877">
        <f>IFERROR(INDEX('G2. 20-21 Prov Tuition Rates'!$N$7:$N$42,MATCH(Table35[[#This Row],[District of the School Attended]],'G2. 20-21 Prov Tuition Rates'!$B$7:$B$42,0)),0)</f>
        <v>12397.27</v>
      </c>
      <c r="I45" s="877">
        <f>IF(H45=0,INDEX('G2. 20-21 Prov Tuition Rates'!$N$7:$N$42,MATCH(Table35[[#This Row],[Proximate Public School District to First Nation of Residence]],'G2. 20-21 Prov Tuition Rates'!$A$7:$A$42,0)),0)</f>
        <v>0</v>
      </c>
      <c r="J45" s="877">
        <f>ROUND(IF(Table35[[#This Row],[Base Tuition Rate]]=0,Table35[[#This Row],[Total &lt;22 Prov&amp;Priv FTE]]*Table35[[#This Row],[Proximate Tuition Rate for Adult Centres, Private and Unaffiliated Schools]],Table35[[#This Row],[Total &lt;22 Prov&amp;Priv FTE]]*Table35[[#This Row],[Base Tuition Rate]]),0)</f>
        <v>12397</v>
      </c>
      <c r="K45" s="19">
        <f>ROUND(IF(Table35[[#This Row],[District of the School Attended]]="Adult",0,Table35[[#This Row],[Total &lt;22 Prov&amp;Priv FTE]]*$D$7),0)</f>
        <v>750</v>
      </c>
      <c r="L45" s="141">
        <f t="shared" ref="L45:L59" si="1">SUM(J45:K45)</f>
        <v>13147</v>
      </c>
      <c r="M45" s="397">
        <f>ROUND($D$10*Table35[[#This Row],[TOTAL Tuition Funding]],0)</f>
        <v>657</v>
      </c>
      <c r="N45" s="730">
        <f>$D$9*Table35[[#This Row],[Total &lt;22 Prov&amp;Priv FTE]]</f>
        <v>540.97</v>
      </c>
    </row>
    <row r="46" spans="1:14">
      <c r="A46">
        <f>'B. 20-21 Prov&amp;Priv Enrolment&lt;22'!A41</f>
        <v>288</v>
      </c>
      <c r="B46" t="str">
        <f>'B. 20-21 Prov&amp;Priv Enrolment&lt;22'!B41</f>
        <v>Dakota Plains</v>
      </c>
      <c r="C46">
        <f>'B. 20-21 Prov&amp;Priv Enrolment&lt;22'!C41</f>
        <v>3403</v>
      </c>
      <c r="D46" t="str">
        <f>'B. 20-21 Prov&amp;Priv Enrolment&lt;22'!D41</f>
        <v>Portage Collegiate</v>
      </c>
      <c r="E46" s="1">
        <f>'B. 20-21 Prov&amp;Priv Enrolment&lt;22'!Y41</f>
        <v>12</v>
      </c>
      <c r="F46" s="398" t="str">
        <f>'B. 20-21 Prov&amp;Priv Enrolment&lt;22'!E41</f>
        <v>PORTAGE LA PRAIRIE SCHOOL DIVISION #24</v>
      </c>
      <c r="G46" t="str">
        <f>'B. 20-21 Prov&amp;Priv Enrolment&lt;22'!AW41</f>
        <v>PORTAGE LA PRAIRIE</v>
      </c>
      <c r="H46" s="877">
        <f>IFERROR(INDEX('G2. 20-21 Prov Tuition Rates'!$N$7:$N$42,MATCH(Table35[[#This Row],[District of the School Attended]],'G2. 20-21 Prov Tuition Rates'!$B$7:$B$42,0)),0)</f>
        <v>12397.27</v>
      </c>
      <c r="I46" s="877">
        <f>IF(H46=0,INDEX('G2. 20-21 Prov Tuition Rates'!$N$7:$N$42,MATCH(Table35[[#This Row],[Proximate Public School District to First Nation of Residence]],'G2. 20-21 Prov Tuition Rates'!$A$7:$A$42,0)),0)</f>
        <v>0</v>
      </c>
      <c r="J46" s="877">
        <f>ROUND(IF(Table35[[#This Row],[Base Tuition Rate]]=0,Table35[[#This Row],[Total &lt;22 Prov&amp;Priv FTE]]*Table35[[#This Row],[Proximate Tuition Rate for Adult Centres, Private and Unaffiliated Schools]],Table35[[#This Row],[Total &lt;22 Prov&amp;Priv FTE]]*Table35[[#This Row],[Base Tuition Rate]]),0)</f>
        <v>148767</v>
      </c>
      <c r="K46" s="19">
        <f>ROUND(IF(Table35[[#This Row],[District of the School Attended]]="Adult",0,Table35[[#This Row],[Total &lt;22 Prov&amp;Priv FTE]]*$D$7),0)</f>
        <v>9001</v>
      </c>
      <c r="L46" s="141">
        <f t="shared" si="1"/>
        <v>157768</v>
      </c>
      <c r="M46" s="397">
        <f>ROUND($D$10*Table35[[#This Row],[TOTAL Tuition Funding]],0)</f>
        <v>7888</v>
      </c>
      <c r="N46" s="730">
        <f>$D$9*Table35[[#This Row],[Total &lt;22 Prov&amp;Priv FTE]]</f>
        <v>6491.64</v>
      </c>
    </row>
    <row r="47" spans="1:14">
      <c r="A47">
        <f>'B. 20-21 Prov&amp;Priv Enrolment&lt;22'!A42</f>
        <v>288</v>
      </c>
      <c r="B47" t="str">
        <f>'B. 20-21 Prov&amp;Priv Enrolment&lt;22'!B42</f>
        <v>Dakota Plains</v>
      </c>
      <c r="C47">
        <f>'B. 20-21 Prov&amp;Priv Enrolment&lt;22'!C42</f>
        <v>20891</v>
      </c>
      <c r="D47" t="str">
        <f>'B. 20-21 Prov&amp;Priv Enrolment&lt;22'!D42</f>
        <v>Westpark School</v>
      </c>
      <c r="E47" s="1">
        <f>'B. 20-21 Prov&amp;Priv Enrolment&lt;22'!Y42</f>
        <v>9</v>
      </c>
      <c r="F47" s="398" t="str">
        <f>'B. 20-21 Prov&amp;Priv Enrolment&lt;22'!E42</f>
        <v>Westpark School</v>
      </c>
      <c r="G47" t="str">
        <f>'B. 20-21 Prov&amp;Priv Enrolment&lt;22'!AW42</f>
        <v>PORTAGE LA PRAIRIE</v>
      </c>
      <c r="H47" s="877">
        <f>IFERROR(INDEX('G2. 20-21 Prov Tuition Rates'!$N$7:$N$42,MATCH(Table35[[#This Row],[District of the School Attended]],'G2. 20-21 Prov Tuition Rates'!$B$7:$B$42,0)),0)</f>
        <v>0</v>
      </c>
      <c r="I47" s="877">
        <f>IF(H47=0,INDEX('G2. 20-21 Prov Tuition Rates'!$N$7:$N$42,MATCH(Table35[[#This Row],[Proximate Public School District to First Nation of Residence]],'G2. 20-21 Prov Tuition Rates'!$A$7:$A$42,0)),0)</f>
        <v>12397.27</v>
      </c>
      <c r="J47" s="877">
        <f>ROUND(IF(Table35[[#This Row],[Base Tuition Rate]]=0,Table35[[#This Row],[Total &lt;22 Prov&amp;Priv FTE]]*Table35[[#This Row],[Proximate Tuition Rate for Adult Centres, Private and Unaffiliated Schools]],Table35[[#This Row],[Total &lt;22 Prov&amp;Priv FTE]]*Table35[[#This Row],[Base Tuition Rate]]),0)</f>
        <v>111575</v>
      </c>
      <c r="K47" s="19">
        <f>ROUND(IF(Table35[[#This Row],[District of the School Attended]]="Adult",0,Table35[[#This Row],[Total &lt;22 Prov&amp;Priv FTE]]*$D$7),0)</f>
        <v>6751</v>
      </c>
      <c r="L47" s="141">
        <f t="shared" si="1"/>
        <v>118326</v>
      </c>
      <c r="M47" s="397">
        <f>ROUND($D$10*Table35[[#This Row],[TOTAL Tuition Funding]],0)</f>
        <v>5916</v>
      </c>
      <c r="N47" s="730">
        <f>$D$9*Table35[[#This Row],[Total &lt;22 Prov&amp;Priv FTE]]</f>
        <v>4868.7300000000005</v>
      </c>
    </row>
    <row r="48" spans="1:14">
      <c r="A48">
        <f>'B. 20-21 Prov&amp;Priv Enrolment&lt;22'!A43</f>
        <v>295</v>
      </c>
      <c r="B48" t="str">
        <f>'B. 20-21 Prov&amp;Priv Enrolment&lt;22'!B43</f>
        <v>Dakota Tipi</v>
      </c>
      <c r="C48">
        <f>'B. 20-21 Prov&amp;Priv Enrolment&lt;22'!C43</f>
        <v>3283</v>
      </c>
      <c r="D48" t="str">
        <f>'B. 20-21 Prov&amp;Priv Enrolment&lt;22'!D43</f>
        <v>École Arthur Meighen School</v>
      </c>
      <c r="E48" s="1">
        <f>'B. 20-21 Prov&amp;Priv Enrolment&lt;22'!Y43</f>
        <v>3</v>
      </c>
      <c r="F48" s="398" t="str">
        <f>'B. 20-21 Prov&amp;Priv Enrolment&lt;22'!E43</f>
        <v>PORTAGE LA PRAIRIE SCHOOL DIVISION #24</v>
      </c>
      <c r="G48" t="str">
        <f>'B. 20-21 Prov&amp;Priv Enrolment&lt;22'!AW43</f>
        <v>PORTAGE LA PRAIRIE</v>
      </c>
      <c r="H48" s="877">
        <f>IFERROR(INDEX('G2. 20-21 Prov Tuition Rates'!$N$7:$N$42,MATCH(Table35[[#This Row],[District of the School Attended]],'G2. 20-21 Prov Tuition Rates'!$B$7:$B$42,0)),0)</f>
        <v>12397.27</v>
      </c>
      <c r="I48" s="877">
        <f>IF(H48=0,INDEX('G2. 20-21 Prov Tuition Rates'!$N$7:$N$42,MATCH(Table35[[#This Row],[Proximate Public School District to First Nation of Residence]],'G2. 20-21 Prov Tuition Rates'!$A$7:$A$42,0)),0)</f>
        <v>0</v>
      </c>
      <c r="J48" s="877">
        <f>ROUND(IF(Table35[[#This Row],[Base Tuition Rate]]=0,Table35[[#This Row],[Total &lt;22 Prov&amp;Priv FTE]]*Table35[[#This Row],[Proximate Tuition Rate for Adult Centres, Private and Unaffiliated Schools]],Table35[[#This Row],[Total &lt;22 Prov&amp;Priv FTE]]*Table35[[#This Row],[Base Tuition Rate]]),0)</f>
        <v>37192</v>
      </c>
      <c r="K48" s="19">
        <f>ROUND(IF(Table35[[#This Row],[District of the School Attended]]="Adult",0,Table35[[#This Row],[Total &lt;22 Prov&amp;Priv FTE]]*$D$7),0)</f>
        <v>2250</v>
      </c>
      <c r="L48" s="141">
        <f t="shared" si="1"/>
        <v>39442</v>
      </c>
      <c r="M48" s="397">
        <f>ROUND($D$10*Table35[[#This Row],[TOTAL Tuition Funding]],0)</f>
        <v>1972</v>
      </c>
      <c r="N48" s="730">
        <f>$D$9*Table35[[#This Row],[Total &lt;22 Prov&amp;Priv FTE]]</f>
        <v>1622.91</v>
      </c>
    </row>
    <row r="49" spans="1:14">
      <c r="A49">
        <f>'B. 20-21 Prov&amp;Priv Enrolment&lt;22'!A44</f>
        <v>295</v>
      </c>
      <c r="B49" t="str">
        <f>'B. 20-21 Prov&amp;Priv Enrolment&lt;22'!B44</f>
        <v>Dakota Tipi</v>
      </c>
      <c r="C49">
        <f>'B. 20-21 Prov&amp;Priv Enrolment&lt;22'!C44</f>
        <v>3302</v>
      </c>
      <c r="D49" t="str">
        <f>'B. 20-21 Prov&amp;Priv Enrolment&lt;22'!D44</f>
        <v>Crescentview</v>
      </c>
      <c r="E49" s="1">
        <f>'B. 20-21 Prov&amp;Priv Enrolment&lt;22'!Y44</f>
        <v>3</v>
      </c>
      <c r="F49" s="398" t="str">
        <f>'B. 20-21 Prov&amp;Priv Enrolment&lt;22'!E44</f>
        <v>PORTAGE LA PRAIRIE SCHOOL DIVISION #24</v>
      </c>
      <c r="G49" t="str">
        <f>'B. 20-21 Prov&amp;Priv Enrolment&lt;22'!AW44</f>
        <v>PORTAGE LA PRAIRIE</v>
      </c>
      <c r="H49" s="877">
        <f>IFERROR(INDEX('G2. 20-21 Prov Tuition Rates'!$N$7:$N$42,MATCH(Table35[[#This Row],[District of the School Attended]],'G2. 20-21 Prov Tuition Rates'!$B$7:$B$42,0)),0)</f>
        <v>12397.27</v>
      </c>
      <c r="I49" s="877">
        <f>IF(H49=0,INDEX('G2. 20-21 Prov Tuition Rates'!$N$7:$N$42,MATCH(Table35[[#This Row],[Proximate Public School District to First Nation of Residence]],'G2. 20-21 Prov Tuition Rates'!$A$7:$A$42,0)),0)</f>
        <v>0</v>
      </c>
      <c r="J49" s="877">
        <f>ROUND(IF(Table35[[#This Row],[Base Tuition Rate]]=0,Table35[[#This Row],[Total &lt;22 Prov&amp;Priv FTE]]*Table35[[#This Row],[Proximate Tuition Rate for Adult Centres, Private and Unaffiliated Schools]],Table35[[#This Row],[Total &lt;22 Prov&amp;Priv FTE]]*Table35[[#This Row],[Base Tuition Rate]]),0)</f>
        <v>37192</v>
      </c>
      <c r="K49" s="19">
        <f>ROUND(IF(Table35[[#This Row],[District of the School Attended]]="Adult",0,Table35[[#This Row],[Total &lt;22 Prov&amp;Priv FTE]]*$D$7),0)</f>
        <v>2250</v>
      </c>
      <c r="L49" s="141">
        <f t="shared" si="1"/>
        <v>39442</v>
      </c>
      <c r="M49" s="397">
        <f>ROUND($D$10*Table35[[#This Row],[TOTAL Tuition Funding]],0)</f>
        <v>1972</v>
      </c>
      <c r="N49" s="730">
        <f>$D$9*Table35[[#This Row],[Total &lt;22 Prov&amp;Priv FTE]]</f>
        <v>1622.91</v>
      </c>
    </row>
    <row r="50" spans="1:14">
      <c r="A50">
        <f>'B. 20-21 Prov&amp;Priv Enrolment&lt;22'!A45</f>
        <v>295</v>
      </c>
      <c r="B50" t="str">
        <f>'B. 20-21 Prov&amp;Priv Enrolment&lt;22'!B45</f>
        <v>Dakota Tipi</v>
      </c>
      <c r="C50">
        <f>'B. 20-21 Prov&amp;Priv Enrolment&lt;22'!C45</f>
        <v>3333</v>
      </c>
      <c r="D50" t="str">
        <f>'B. 20-21 Prov&amp;Priv Enrolment&lt;22'!D45</f>
        <v>La Verendrye</v>
      </c>
      <c r="E50" s="1">
        <f>'B. 20-21 Prov&amp;Priv Enrolment&lt;22'!Y45</f>
        <v>4</v>
      </c>
      <c r="F50" s="398" t="str">
        <f>'B. 20-21 Prov&amp;Priv Enrolment&lt;22'!E45</f>
        <v>PORTAGE LA PRAIRIE SCHOOL DIVISION #24</v>
      </c>
      <c r="G50" t="str">
        <f>'B. 20-21 Prov&amp;Priv Enrolment&lt;22'!AW45</f>
        <v>PORTAGE LA PRAIRIE</v>
      </c>
      <c r="H50" s="877">
        <f>IFERROR(INDEX('G2. 20-21 Prov Tuition Rates'!$N$7:$N$42,MATCH(Table35[[#This Row],[District of the School Attended]],'G2. 20-21 Prov Tuition Rates'!$B$7:$B$42,0)),0)</f>
        <v>12397.27</v>
      </c>
      <c r="I50" s="877">
        <f>IF(H50=0,INDEX('G2. 20-21 Prov Tuition Rates'!$N$7:$N$42,MATCH(Table35[[#This Row],[Proximate Public School District to First Nation of Residence]],'G2. 20-21 Prov Tuition Rates'!$A$7:$A$42,0)),0)</f>
        <v>0</v>
      </c>
      <c r="J50" s="877">
        <f>ROUND(IF(Table35[[#This Row],[Base Tuition Rate]]=0,Table35[[#This Row],[Total &lt;22 Prov&amp;Priv FTE]]*Table35[[#This Row],[Proximate Tuition Rate for Adult Centres, Private and Unaffiliated Schools]],Table35[[#This Row],[Total &lt;22 Prov&amp;Priv FTE]]*Table35[[#This Row],[Base Tuition Rate]]),0)</f>
        <v>49589</v>
      </c>
      <c r="K50" s="19">
        <f>ROUND(IF(Table35[[#This Row],[District of the School Attended]]="Adult",0,Table35[[#This Row],[Total &lt;22 Prov&amp;Priv FTE]]*$D$7),0)</f>
        <v>3000</v>
      </c>
      <c r="L50" s="141">
        <f t="shared" si="1"/>
        <v>52589</v>
      </c>
      <c r="M50" s="397">
        <f>ROUND($D$10*Table35[[#This Row],[TOTAL Tuition Funding]],0)</f>
        <v>2629</v>
      </c>
      <c r="N50" s="730">
        <f>$D$9*Table35[[#This Row],[Total &lt;22 Prov&amp;Priv FTE]]</f>
        <v>2163.88</v>
      </c>
    </row>
    <row r="51" spans="1:14">
      <c r="A51">
        <f>'B. 20-21 Prov&amp;Priv Enrolment&lt;22'!A46</f>
        <v>295</v>
      </c>
      <c r="B51" t="str">
        <f>'B. 20-21 Prov&amp;Priv Enrolment&lt;22'!B46</f>
        <v>Dakota Tipi</v>
      </c>
      <c r="C51">
        <f>'B. 20-21 Prov&amp;Priv Enrolment&lt;22'!C46</f>
        <v>3401</v>
      </c>
      <c r="D51" t="str">
        <f>'B. 20-21 Prov&amp;Priv Enrolment&lt;22'!D46</f>
        <v>Yellowquill School</v>
      </c>
      <c r="E51" s="1">
        <f>'B. 20-21 Prov&amp;Priv Enrolment&lt;22'!Y46</f>
        <v>19</v>
      </c>
      <c r="F51" s="398" t="str">
        <f>'B. 20-21 Prov&amp;Priv Enrolment&lt;22'!E46</f>
        <v>PORTAGE LA PRAIRIE SCHOOL DIVISION #24</v>
      </c>
      <c r="G51" t="str">
        <f>'B. 20-21 Prov&amp;Priv Enrolment&lt;22'!AW46</f>
        <v>PORTAGE LA PRAIRIE</v>
      </c>
      <c r="H51" s="877">
        <f>IFERROR(INDEX('G2. 20-21 Prov Tuition Rates'!$N$7:$N$42,MATCH(Table35[[#This Row],[District of the School Attended]],'G2. 20-21 Prov Tuition Rates'!$B$7:$B$42,0)),0)</f>
        <v>12397.27</v>
      </c>
      <c r="I51" s="877">
        <f>IF(H51=0,INDEX('G2. 20-21 Prov Tuition Rates'!$N$7:$N$42,MATCH(Table35[[#This Row],[Proximate Public School District to First Nation of Residence]],'G2. 20-21 Prov Tuition Rates'!$A$7:$A$42,0)),0)</f>
        <v>0</v>
      </c>
      <c r="J51" s="877">
        <f>ROUND(IF(Table35[[#This Row],[Base Tuition Rate]]=0,Table35[[#This Row],[Total &lt;22 Prov&amp;Priv FTE]]*Table35[[#This Row],[Proximate Tuition Rate for Adult Centres, Private and Unaffiliated Schools]],Table35[[#This Row],[Total &lt;22 Prov&amp;Priv FTE]]*Table35[[#This Row],[Base Tuition Rate]]),0)</f>
        <v>235548</v>
      </c>
      <c r="K51" s="19">
        <f>ROUND(IF(Table35[[#This Row],[District of the School Attended]]="Adult",0,Table35[[#This Row],[Total &lt;22 Prov&amp;Priv FTE]]*$D$7),0)</f>
        <v>14251</v>
      </c>
      <c r="L51" s="141">
        <f t="shared" si="1"/>
        <v>249799</v>
      </c>
      <c r="M51" s="397">
        <f>ROUND($D$10*Table35[[#This Row],[TOTAL Tuition Funding]],0)</f>
        <v>12490</v>
      </c>
      <c r="N51" s="730">
        <f>$D$9*Table35[[#This Row],[Total &lt;22 Prov&amp;Priv FTE]]</f>
        <v>10278.43</v>
      </c>
    </row>
    <row r="52" spans="1:14">
      <c r="A52">
        <f>'B. 20-21 Prov&amp;Priv Enrolment&lt;22'!A47</f>
        <v>295</v>
      </c>
      <c r="B52" t="str">
        <f>'B. 20-21 Prov&amp;Priv Enrolment&lt;22'!B47</f>
        <v>Dakota Tipi</v>
      </c>
      <c r="C52">
        <f>'B. 20-21 Prov&amp;Priv Enrolment&lt;22'!C47</f>
        <v>3403</v>
      </c>
      <c r="D52" t="str">
        <f>'B. 20-21 Prov&amp;Priv Enrolment&lt;22'!D47</f>
        <v>Portage Collegiate</v>
      </c>
      <c r="E52" s="1">
        <f>'B. 20-21 Prov&amp;Priv Enrolment&lt;22'!Y47</f>
        <v>17</v>
      </c>
      <c r="F52" s="398" t="str">
        <f>'B. 20-21 Prov&amp;Priv Enrolment&lt;22'!E47</f>
        <v>PORTAGE LA PRAIRIE SCHOOL DIVISION #24</v>
      </c>
      <c r="G52" t="str">
        <f>'B. 20-21 Prov&amp;Priv Enrolment&lt;22'!AW47</f>
        <v>PORTAGE LA PRAIRIE</v>
      </c>
      <c r="H52" s="877">
        <f>IFERROR(INDEX('G2. 20-21 Prov Tuition Rates'!$N$7:$N$42,MATCH(Table35[[#This Row],[District of the School Attended]],'G2. 20-21 Prov Tuition Rates'!$B$7:$B$42,0)),0)</f>
        <v>12397.27</v>
      </c>
      <c r="I52" s="877">
        <f>IF(H52=0,INDEX('G2. 20-21 Prov Tuition Rates'!$N$7:$N$42,MATCH(Table35[[#This Row],[Proximate Public School District to First Nation of Residence]],'G2. 20-21 Prov Tuition Rates'!$A$7:$A$42,0)),0)</f>
        <v>0</v>
      </c>
      <c r="J52" s="877">
        <f>ROUND(IF(Table35[[#This Row],[Base Tuition Rate]]=0,Table35[[#This Row],[Total &lt;22 Prov&amp;Priv FTE]]*Table35[[#This Row],[Proximate Tuition Rate for Adult Centres, Private and Unaffiliated Schools]],Table35[[#This Row],[Total &lt;22 Prov&amp;Priv FTE]]*Table35[[#This Row],[Base Tuition Rate]]),0)</f>
        <v>210754</v>
      </c>
      <c r="K52" s="19">
        <f>ROUND(IF(Table35[[#This Row],[District of the School Attended]]="Adult",0,Table35[[#This Row],[Total &lt;22 Prov&amp;Priv FTE]]*$D$7),0)</f>
        <v>12751</v>
      </c>
      <c r="L52" s="141">
        <f t="shared" si="1"/>
        <v>223505</v>
      </c>
      <c r="M52" s="397">
        <f>ROUND($D$10*Table35[[#This Row],[TOTAL Tuition Funding]],0)</f>
        <v>11175</v>
      </c>
      <c r="N52" s="730">
        <f>$D$9*Table35[[#This Row],[Total &lt;22 Prov&amp;Priv FTE]]</f>
        <v>9196.49</v>
      </c>
    </row>
    <row r="53" spans="1:14">
      <c r="A53">
        <f>'B. 20-21 Prov&amp;Priv Enrolment&lt;22'!A48</f>
        <v>304</v>
      </c>
      <c r="B53" t="str">
        <f>'B. 20-21 Prov&amp;Priv Enrolment&lt;22'!B48</f>
        <v>York Factory First Nation</v>
      </c>
      <c r="C53">
        <f>'B. 20-21 Prov&amp;Priv Enrolment&lt;22'!C48</f>
        <v>1758</v>
      </c>
      <c r="D53" t="str">
        <f>'B. 20-21 Prov&amp;Priv Enrolment&lt;22'!D48</f>
        <v>Frontier Collegiate</v>
      </c>
      <c r="E53" s="1">
        <f>'B. 20-21 Prov&amp;Priv Enrolment&lt;22'!Y48</f>
        <v>5</v>
      </c>
      <c r="F53" s="398" t="str">
        <f>'B. 20-21 Prov&amp;Priv Enrolment&lt;22'!E48</f>
        <v>FRONTIER SCHOOL DIVISION #48</v>
      </c>
      <c r="G53" t="str">
        <f>'B. 20-21 Prov&amp;Priv Enrolment&lt;22'!AW48</f>
        <v>FRONTIER</v>
      </c>
      <c r="H53" s="877">
        <f>IFERROR(INDEX('G2. 20-21 Prov Tuition Rates'!$N$7:$N$42,MATCH(Table35[[#This Row],[District of the School Attended]],'G2. 20-21 Prov Tuition Rates'!$B$7:$B$42,0)),0)</f>
        <v>19702.46</v>
      </c>
      <c r="I53" s="877">
        <f>IF(H53=0,INDEX('G2. 20-21 Prov Tuition Rates'!$N$7:$N$42,MATCH(Table35[[#This Row],[Proximate Public School District to First Nation of Residence]],'G2. 20-21 Prov Tuition Rates'!$A$7:$A$42,0)),0)</f>
        <v>0</v>
      </c>
      <c r="J53" s="877">
        <f>ROUND(IF(Table35[[#This Row],[Base Tuition Rate]]=0,Table35[[#This Row],[Total &lt;22 Prov&amp;Priv FTE]]*Table35[[#This Row],[Proximate Tuition Rate for Adult Centres, Private and Unaffiliated Schools]],Table35[[#This Row],[Total &lt;22 Prov&amp;Priv FTE]]*Table35[[#This Row],[Base Tuition Rate]]),0)</f>
        <v>98512</v>
      </c>
      <c r="K53" s="19">
        <f>ROUND(IF(Table35[[#This Row],[District of the School Attended]]="Adult",0,Table35[[#This Row],[Total &lt;22 Prov&amp;Priv FTE]]*$D$7),0)</f>
        <v>3750</v>
      </c>
      <c r="L53" s="141">
        <f t="shared" si="1"/>
        <v>102262</v>
      </c>
      <c r="M53" s="397">
        <f>ROUND($D$10*Table35[[#This Row],[TOTAL Tuition Funding]],0)</f>
        <v>5113</v>
      </c>
      <c r="N53" s="730">
        <f>$D$9*Table35[[#This Row],[Total &lt;22 Prov&amp;Priv FTE]]</f>
        <v>2704.8500000000004</v>
      </c>
    </row>
    <row r="54" spans="1:14">
      <c r="A54">
        <f>'B. 20-21 Prov&amp;Priv Enrolment&lt;22'!A49</f>
        <v>304</v>
      </c>
      <c r="B54" t="str">
        <f>'B. 20-21 Prov&amp;Priv Enrolment&lt;22'!B49</f>
        <v>York Factory First Nation</v>
      </c>
      <c r="C54">
        <f>'B. 20-21 Prov&amp;Priv Enrolment&lt;22'!C49</f>
        <v>1761</v>
      </c>
      <c r="D54" t="str">
        <f>'B. 20-21 Prov&amp;Priv Enrolment&lt;22'!D49</f>
        <v>Margaret Barbour Collegiate</v>
      </c>
      <c r="E54" s="1">
        <f>'B. 20-21 Prov&amp;Priv Enrolment&lt;22'!Y49</f>
        <v>1</v>
      </c>
      <c r="F54" s="398" t="str">
        <f>'B. 20-21 Prov&amp;Priv Enrolment&lt;22'!E49</f>
        <v>Kelsey School Division</v>
      </c>
      <c r="G54" t="str">
        <f>'B. 20-21 Prov&amp;Priv Enrolment&lt;22'!AW49</f>
        <v>FRONTIER</v>
      </c>
      <c r="H54" s="877">
        <f>IFERROR(INDEX('G2. 20-21 Prov Tuition Rates'!$N$7:$N$42,MATCH(Table35[[#This Row],[District of the School Attended]],'G2. 20-21 Prov Tuition Rates'!$B$7:$B$42,0)),0)</f>
        <v>12606.29</v>
      </c>
      <c r="I54" s="877">
        <f>IF(H54=0,INDEX('G2. 20-21 Prov Tuition Rates'!$N$7:$N$42,MATCH(Table35[[#This Row],[Proximate Public School District to First Nation of Residence]],'G2. 20-21 Prov Tuition Rates'!$A$7:$A$42,0)),0)</f>
        <v>0</v>
      </c>
      <c r="J54" s="877">
        <f>ROUND(IF(Table35[[#This Row],[Base Tuition Rate]]=0,Table35[[#This Row],[Total &lt;22 Prov&amp;Priv FTE]]*Table35[[#This Row],[Proximate Tuition Rate for Adult Centres, Private and Unaffiliated Schools]],Table35[[#This Row],[Total &lt;22 Prov&amp;Priv FTE]]*Table35[[#This Row],[Base Tuition Rate]]),0)</f>
        <v>12606</v>
      </c>
      <c r="K54" s="19">
        <f>ROUND(IF(Table35[[#This Row],[District of the School Attended]]="Adult",0,Table35[[#This Row],[Total &lt;22 Prov&amp;Priv FTE]]*$D$7),0)</f>
        <v>750</v>
      </c>
      <c r="L54" s="141">
        <f t="shared" si="1"/>
        <v>13356</v>
      </c>
      <c r="M54" s="397">
        <f>ROUND($D$10*Table35[[#This Row],[TOTAL Tuition Funding]],0)</f>
        <v>668</v>
      </c>
      <c r="N54" s="730">
        <f>$D$9*Table35[[#This Row],[Total &lt;22 Prov&amp;Priv FTE]]</f>
        <v>540.97</v>
      </c>
    </row>
    <row r="55" spans="1:14">
      <c r="A55">
        <f>'B. 20-21 Prov&amp;Priv Enrolment&lt;22'!A50</f>
        <v>304</v>
      </c>
      <c r="B55" t="str">
        <f>'B. 20-21 Prov&amp;Priv Enrolment&lt;22'!B50</f>
        <v>York Factory First Nation</v>
      </c>
      <c r="C55">
        <f>'B. 20-21 Prov&amp;Priv Enrolment&lt;22'!C50</f>
        <v>1765</v>
      </c>
      <c r="D55" t="str">
        <f>'B. 20-21 Prov&amp;Priv Enrolment&lt;22'!D50</f>
        <v>Duke Of Marlborough</v>
      </c>
      <c r="E55" s="1">
        <f>'B. 20-21 Prov&amp;Priv Enrolment&lt;22'!Y50</f>
        <v>1</v>
      </c>
      <c r="F55" s="398" t="str">
        <f>'B. 20-21 Prov&amp;Priv Enrolment&lt;22'!E50</f>
        <v>FRONTIER SCHOOL DIVISION #48</v>
      </c>
      <c r="G55" t="str">
        <f>'B. 20-21 Prov&amp;Priv Enrolment&lt;22'!AW50</f>
        <v>FRONTIER</v>
      </c>
      <c r="H55" s="877">
        <f>IFERROR(INDEX('G2. 20-21 Prov Tuition Rates'!$N$7:$N$42,MATCH(Table35[[#This Row],[District of the School Attended]],'G2. 20-21 Prov Tuition Rates'!$B$7:$B$42,0)),0)</f>
        <v>19702.46</v>
      </c>
      <c r="I55" s="877">
        <f>IF(H55=0,INDEX('G2. 20-21 Prov Tuition Rates'!$N$7:$N$42,MATCH(Table35[[#This Row],[Proximate Public School District to First Nation of Residence]],'G2. 20-21 Prov Tuition Rates'!$A$7:$A$42,0)),0)</f>
        <v>0</v>
      </c>
      <c r="J55" s="877">
        <f>ROUND(IF(Table35[[#This Row],[Base Tuition Rate]]=0,Table35[[#This Row],[Total &lt;22 Prov&amp;Priv FTE]]*Table35[[#This Row],[Proximate Tuition Rate for Adult Centres, Private and Unaffiliated Schools]],Table35[[#This Row],[Total &lt;22 Prov&amp;Priv FTE]]*Table35[[#This Row],[Base Tuition Rate]]),0)</f>
        <v>19702</v>
      </c>
      <c r="K55" s="19">
        <f>ROUND(IF(Table35[[#This Row],[District of the School Attended]]="Adult",0,Table35[[#This Row],[Total &lt;22 Prov&amp;Priv FTE]]*$D$7),0)</f>
        <v>750</v>
      </c>
      <c r="L55" s="141">
        <f t="shared" si="1"/>
        <v>20452</v>
      </c>
      <c r="M55" s="397">
        <f>ROUND($D$10*Table35[[#This Row],[TOTAL Tuition Funding]],0)</f>
        <v>1023</v>
      </c>
      <c r="N55" s="730">
        <f>$D$9*Table35[[#This Row],[Total &lt;22 Prov&amp;Priv FTE]]</f>
        <v>540.97</v>
      </c>
    </row>
    <row r="56" spans="1:14">
      <c r="A56">
        <f>'B. 20-21 Prov&amp;Priv Enrolment&lt;22'!A51</f>
        <v>304</v>
      </c>
      <c r="B56" t="str">
        <f>'B. 20-21 Prov&amp;Priv Enrolment&lt;22'!B51</f>
        <v>York Factory First Nation</v>
      </c>
      <c r="C56">
        <f>'B. 20-21 Prov&amp;Priv Enrolment&lt;22'!C51</f>
        <v>3395</v>
      </c>
      <c r="D56" t="str">
        <f>'B. 20-21 Prov&amp;Priv Enrolment&lt;22'!D51</f>
        <v>Tech-Vocational High</v>
      </c>
      <c r="E56" s="1">
        <f>'B. 20-21 Prov&amp;Priv Enrolment&lt;22'!Y51</f>
        <v>3</v>
      </c>
      <c r="F56" s="398" t="str">
        <f>'B. 20-21 Prov&amp;Priv Enrolment&lt;22'!E51</f>
        <v>Winnipeg School Division</v>
      </c>
      <c r="G56" t="str">
        <f>'B. 20-21 Prov&amp;Priv Enrolment&lt;22'!AW51</f>
        <v>FRONTIER</v>
      </c>
      <c r="H56" s="877">
        <f>IFERROR(INDEX('G2. 20-21 Prov Tuition Rates'!$N$7:$N$42,MATCH(Table35[[#This Row],[District of the School Attended]],'G2. 20-21 Prov Tuition Rates'!$B$7:$B$42,0)),0)</f>
        <v>13105.14</v>
      </c>
      <c r="I56" s="877">
        <f>IF(H56=0,INDEX('G2. 20-21 Prov Tuition Rates'!$N$7:$N$42,MATCH(Table35[[#This Row],[Proximate Public School District to First Nation of Residence]],'G2. 20-21 Prov Tuition Rates'!$A$7:$A$42,0)),0)</f>
        <v>0</v>
      </c>
      <c r="J56" s="877">
        <f>ROUND(IF(Table35[[#This Row],[Base Tuition Rate]]=0,Table35[[#This Row],[Total &lt;22 Prov&amp;Priv FTE]]*Table35[[#This Row],[Proximate Tuition Rate for Adult Centres, Private and Unaffiliated Schools]],Table35[[#This Row],[Total &lt;22 Prov&amp;Priv FTE]]*Table35[[#This Row],[Base Tuition Rate]]),0)</f>
        <v>39315</v>
      </c>
      <c r="K56" s="19">
        <f>ROUND(IF(Table35[[#This Row],[District of the School Attended]]="Adult",0,Table35[[#This Row],[Total &lt;22 Prov&amp;Priv FTE]]*$D$7),0)</f>
        <v>2250</v>
      </c>
      <c r="L56" s="141">
        <f t="shared" si="1"/>
        <v>41565</v>
      </c>
      <c r="M56" s="397">
        <f>ROUND($D$10*Table35[[#This Row],[TOTAL Tuition Funding]],0)</f>
        <v>2078</v>
      </c>
      <c r="N56" s="730">
        <f>$D$9*Table35[[#This Row],[Total &lt;22 Prov&amp;Priv FTE]]</f>
        <v>1622.91</v>
      </c>
    </row>
    <row r="57" spans="1:14">
      <c r="A57">
        <f>'B. 20-21 Prov&amp;Priv Enrolment&lt;22'!A52</f>
        <v>304</v>
      </c>
      <c r="B57" t="str">
        <f>'B. 20-21 Prov&amp;Priv Enrolment&lt;22'!B52</f>
        <v>York Factory First Nation</v>
      </c>
      <c r="C57">
        <f>'B. 20-21 Prov&amp;Priv Enrolment&lt;22'!C52</f>
        <v>3478</v>
      </c>
      <c r="D57" t="str">
        <f>'B. 20-21 Prov&amp;Priv Enrolment&lt;22'!D52</f>
        <v>Oak Park High</v>
      </c>
      <c r="E57" s="1">
        <f>'B. 20-21 Prov&amp;Priv Enrolment&lt;22'!Y52</f>
        <v>1</v>
      </c>
      <c r="F57" s="398" t="str">
        <f>'B. 20-21 Prov&amp;Priv Enrolment&lt;22'!E52</f>
        <v>Pembina Trails School Division</v>
      </c>
      <c r="G57" t="str">
        <f>'B. 20-21 Prov&amp;Priv Enrolment&lt;22'!AW52</f>
        <v>FRONTIER</v>
      </c>
      <c r="H57" s="877">
        <f>IFERROR(INDEX('G2. 20-21 Prov Tuition Rates'!$N$7:$N$42,MATCH(Table35[[#This Row],[District of the School Attended]],'G2. 20-21 Prov Tuition Rates'!$B$7:$B$42,0)),0)</f>
        <v>12246.64</v>
      </c>
      <c r="I57" s="877">
        <f>IF(H57=0,INDEX('G2. 20-21 Prov Tuition Rates'!$N$7:$N$42,MATCH(Table35[[#This Row],[Proximate Public School District to First Nation of Residence]],'G2. 20-21 Prov Tuition Rates'!$A$7:$A$42,0)),0)</f>
        <v>0</v>
      </c>
      <c r="J57" s="877">
        <f>ROUND(IF(Table35[[#This Row],[Base Tuition Rate]]=0,Table35[[#This Row],[Total &lt;22 Prov&amp;Priv FTE]]*Table35[[#This Row],[Proximate Tuition Rate for Adult Centres, Private and Unaffiliated Schools]],Table35[[#This Row],[Total &lt;22 Prov&amp;Priv FTE]]*Table35[[#This Row],[Base Tuition Rate]]),0)</f>
        <v>12247</v>
      </c>
      <c r="K57" s="19">
        <f>ROUND(IF(Table35[[#This Row],[District of the School Attended]]="Adult",0,Table35[[#This Row],[Total &lt;22 Prov&amp;Priv FTE]]*$D$7),0)</f>
        <v>750</v>
      </c>
      <c r="L57" s="141">
        <f t="shared" si="1"/>
        <v>12997</v>
      </c>
      <c r="M57" s="397">
        <f>ROUND($D$10*Table35[[#This Row],[TOTAL Tuition Funding]],0)</f>
        <v>650</v>
      </c>
      <c r="N57" s="730">
        <f>$D$9*Table35[[#This Row],[Total &lt;22 Prov&amp;Priv FTE]]</f>
        <v>540.97</v>
      </c>
    </row>
    <row r="58" spans="1:14">
      <c r="A58">
        <f>'B. 20-21 Prov&amp;Priv Enrolment&lt;22'!A53</f>
        <v>304</v>
      </c>
      <c r="B58" t="str">
        <f>'B. 20-21 Prov&amp;Priv Enrolment&lt;22'!B53</f>
        <v>York Factory First Nation</v>
      </c>
      <c r="C58">
        <f>'B. 20-21 Prov&amp;Priv Enrolment&lt;22'!C53</f>
        <v>3548</v>
      </c>
      <c r="D58" t="str">
        <f>'B. 20-21 Prov&amp;Priv Enrolment&lt;22'!D53</f>
        <v>R. D. Parker Collegiate</v>
      </c>
      <c r="E58" s="1">
        <f>'B. 20-21 Prov&amp;Priv Enrolment&lt;22'!Y53</f>
        <v>13</v>
      </c>
      <c r="F58" s="398" t="str">
        <f>'B. 20-21 Prov&amp;Priv Enrolment&lt;22'!E53</f>
        <v>School District of Mystery Lake</v>
      </c>
      <c r="G58" t="str">
        <f>'B. 20-21 Prov&amp;Priv Enrolment&lt;22'!AW53</f>
        <v>FRONTIER</v>
      </c>
      <c r="H58" s="877">
        <f>IFERROR(INDEX('G2. 20-21 Prov Tuition Rates'!$N$7:$N$42,MATCH(Table35[[#This Row],[District of the School Attended]],'G2. 20-21 Prov Tuition Rates'!$B$7:$B$42,0)),0)</f>
        <v>13895.97</v>
      </c>
      <c r="I58" s="877">
        <f>IF(H58=0,INDEX('G2. 20-21 Prov Tuition Rates'!$N$7:$N$42,MATCH(Table35[[#This Row],[Proximate Public School District to First Nation of Residence]],'G2. 20-21 Prov Tuition Rates'!$A$7:$A$42,0)),0)</f>
        <v>0</v>
      </c>
      <c r="J58" s="877">
        <f>ROUND(IF(Table35[[#This Row],[Base Tuition Rate]]=0,Table35[[#This Row],[Total &lt;22 Prov&amp;Priv FTE]]*Table35[[#This Row],[Proximate Tuition Rate for Adult Centres, Private and Unaffiliated Schools]],Table35[[#This Row],[Total &lt;22 Prov&amp;Priv FTE]]*Table35[[#This Row],[Base Tuition Rate]]),0)</f>
        <v>180648</v>
      </c>
      <c r="K58" s="19">
        <f>ROUND(IF(Table35[[#This Row],[District of the School Attended]]="Adult",0,Table35[[#This Row],[Total &lt;22 Prov&amp;Priv FTE]]*$D$7),0)</f>
        <v>9751</v>
      </c>
      <c r="L58" s="141">
        <f t="shared" si="1"/>
        <v>190399</v>
      </c>
      <c r="M58" s="397">
        <f>ROUND($D$10*Table35[[#This Row],[TOTAL Tuition Funding]],0)</f>
        <v>9520</v>
      </c>
      <c r="N58" s="730">
        <f>$D$9*Table35[[#This Row],[Total &lt;22 Prov&amp;Priv FTE]]</f>
        <v>7032.6100000000006</v>
      </c>
    </row>
    <row r="59" spans="1:14">
      <c r="A59">
        <f>'B. 20-21 Prov&amp;Priv Enrolment&lt;22'!A54</f>
        <v>305</v>
      </c>
      <c r="B59" t="str">
        <f>'B. 20-21 Prov&amp;Priv Enrolment&lt;22'!B54</f>
        <v>Fox Lake</v>
      </c>
      <c r="C59">
        <f>'B. 20-21 Prov&amp;Priv Enrolment&lt;22'!C54</f>
        <v>3563</v>
      </c>
      <c r="D59" t="str">
        <f>'B. 20-21 Prov&amp;Priv Enrolment&lt;22'!D54</f>
        <v>Gillam</v>
      </c>
      <c r="E59" s="1">
        <f>'B. 20-21 Prov&amp;Priv Enrolment&lt;22'!Y54</f>
        <v>18</v>
      </c>
      <c r="F59" s="398" t="str">
        <f>'B. 20-21 Prov&amp;Priv Enrolment&lt;22'!E54</f>
        <v>FRONTIER SCHOOL DIVISION #48</v>
      </c>
      <c r="G59" t="str">
        <f>'B. 20-21 Prov&amp;Priv Enrolment&lt;22'!AW54</f>
        <v>FRONTIER</v>
      </c>
      <c r="H59" s="877">
        <f>IFERROR(INDEX('G2. 20-21 Prov Tuition Rates'!$N$7:$N$42,MATCH(Table35[[#This Row],[District of the School Attended]],'G2. 20-21 Prov Tuition Rates'!$B$7:$B$42,0)),0)</f>
        <v>19702.46</v>
      </c>
      <c r="I59" s="877">
        <f>IF(H59=0,INDEX('G2. 20-21 Prov Tuition Rates'!$N$7:$N$42,MATCH(Table35[[#This Row],[Proximate Public School District to First Nation of Residence]],'G2. 20-21 Prov Tuition Rates'!$A$7:$A$42,0)),0)</f>
        <v>0</v>
      </c>
      <c r="J59" s="877">
        <f>ROUND(IF(Table35[[#This Row],[Base Tuition Rate]]=0,Table35[[#This Row],[Total &lt;22 Prov&amp;Priv FTE]]*Table35[[#This Row],[Proximate Tuition Rate for Adult Centres, Private and Unaffiliated Schools]],Table35[[#This Row],[Total &lt;22 Prov&amp;Priv FTE]]*Table35[[#This Row],[Base Tuition Rate]]),0)</f>
        <v>354644</v>
      </c>
      <c r="K59" s="19">
        <f>ROUND(IF(Table35[[#This Row],[District of the School Attended]]="Adult",0,Table35[[#This Row],[Total &lt;22 Prov&amp;Priv FTE]]*$D$7),0)</f>
        <v>13501</v>
      </c>
      <c r="L59" s="141">
        <f t="shared" si="1"/>
        <v>368145</v>
      </c>
      <c r="M59" s="397">
        <f>ROUND($D$10*Table35[[#This Row],[TOTAL Tuition Funding]],0)</f>
        <v>18407</v>
      </c>
      <c r="N59" s="730">
        <f>$D$9*Table35[[#This Row],[Total &lt;22 Prov&amp;Priv FTE]]</f>
        <v>9737.4600000000009</v>
      </c>
    </row>
    <row r="60" spans="1:14">
      <c r="A60" t="s">
        <v>72</v>
      </c>
      <c r="E60" s="1">
        <f>SUBTOTAL(109,Table35[Total &lt;22 Prov&amp;Priv FTE])</f>
        <v>310</v>
      </c>
      <c r="F60" s="879"/>
      <c r="H60" s="1142"/>
      <c r="I60" s="1142"/>
      <c r="J60" s="1231">
        <f>SUBTOTAL(109,Table35[BASE TUITION])</f>
        <v>4475193</v>
      </c>
      <c r="K60" s="19">
        <f>SUBTOTAL(109,Table35[SPEC ED TUITION])</f>
        <v>232513</v>
      </c>
      <c r="L60" s="138">
        <f>SUBTOTAL(109,Table35[TOTAL Tuition Funding])</f>
        <v>4707706</v>
      </c>
      <c r="M60" s="138">
        <f>SUBTOTAL(109,Table35[[Tuition Administration Support ]])</f>
        <v>235384</v>
      </c>
      <c r="N60" s="138">
        <f>SUBTOTAL(109,Table35[Provincial Student Supports])</f>
        <v>167700.70000000004</v>
      </c>
    </row>
    <row r="64" spans="1:14">
      <c r="K64" s="19"/>
    </row>
    <row r="68" spans="13:13">
      <c r="M68" s="19"/>
    </row>
  </sheetData>
  <mergeCells count="1">
    <mergeCell ref="A4:F4"/>
  </mergeCells>
  <pageMargins left="0.7" right="0.7" top="0.75" bottom="0.75" header="0.3" footer="0.3"/>
  <pageSetup orientation="portrait" r:id="rId1"/>
  <headerFooter>
    <oddHeader>&amp;R&amp;P of &amp;N</oddHeader>
  </headerFooter>
  <legacyDrawing r:id="rId2"/>
  <tableParts count="1">
    <tablePart r:id="rId3"/>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tint="0.39997558519241921"/>
  </sheetPr>
  <dimension ref="A1:O12"/>
  <sheetViews>
    <sheetView topLeftCell="A8" workbookViewId="0">
      <selection activeCell="N10" sqref="N10"/>
    </sheetView>
  </sheetViews>
  <sheetFormatPr baseColWidth="10" defaultColWidth="9" defaultRowHeight="14"/>
  <cols>
    <col min="1" max="1" width="10.19921875" customWidth="1"/>
    <col min="2" max="2" width="22.19921875" customWidth="1"/>
    <col min="3" max="3" width="9.796875" customWidth="1"/>
    <col min="4" max="4" width="23.19921875" customWidth="1"/>
    <col min="5" max="5" width="26.59765625" customWidth="1"/>
    <col min="6" max="6" width="14.19921875" customWidth="1"/>
    <col min="7" max="7" width="17.796875" customWidth="1"/>
    <col min="8" max="8" width="10.59765625" customWidth="1"/>
    <col min="9" max="9" width="18" customWidth="1"/>
    <col min="10" max="10" width="20" customWidth="1"/>
    <col min="11" max="11" width="16.59765625" customWidth="1"/>
    <col min="12" max="12" width="24.796875" customWidth="1"/>
    <col min="13" max="13" width="21.19921875" customWidth="1"/>
    <col min="14" max="14" width="14.19921875" customWidth="1"/>
    <col min="15" max="15" width="15.796875" customWidth="1"/>
  </cols>
  <sheetData>
    <row r="1" spans="1:15">
      <c r="E1" t="s">
        <v>277</v>
      </c>
    </row>
    <row r="3" spans="1:15" ht="19">
      <c r="A3" s="33" t="s">
        <v>841</v>
      </c>
    </row>
    <row r="4" spans="1:15" ht="30.75" customHeight="1">
      <c r="A4" s="1714" t="s">
        <v>826</v>
      </c>
      <c r="B4" s="1714"/>
      <c r="C4" s="1714"/>
      <c r="D4" s="1714"/>
      <c r="E4" s="1714"/>
      <c r="F4" s="1714"/>
    </row>
    <row r="5" spans="1:15">
      <c r="B5" s="874" t="s">
        <v>827</v>
      </c>
      <c r="C5" s="1500"/>
      <c r="D5" s="875"/>
      <c r="F5" t="s">
        <v>830</v>
      </c>
      <c r="I5" s="1079">
        <v>540.97</v>
      </c>
    </row>
    <row r="6" spans="1:15">
      <c r="A6" t="s">
        <v>828</v>
      </c>
      <c r="F6" t="s">
        <v>301</v>
      </c>
      <c r="I6" s="1080">
        <v>0.05</v>
      </c>
    </row>
    <row r="7" spans="1:15">
      <c r="B7" s="1228" t="s">
        <v>829</v>
      </c>
      <c r="C7" s="1500"/>
      <c r="D7" s="1210">
        <f>('G2. 20-21 Prov Tuition Rates'!K14+'G2. 20-21 Prov Tuition Rates'!L14)/'G2. 20-21 Prov Tuition Rates'!C14</f>
        <v>750.06152758132953</v>
      </c>
    </row>
    <row r="10" spans="1:15" ht="105">
      <c r="A10" s="114" t="s">
        <v>739</v>
      </c>
      <c r="B10" s="114" t="s">
        <v>481</v>
      </c>
      <c r="C10" s="114" t="s">
        <v>375</v>
      </c>
      <c r="D10" s="114" t="s">
        <v>331</v>
      </c>
      <c r="E10" s="114" t="s">
        <v>338</v>
      </c>
      <c r="F10" s="114" t="s">
        <v>842</v>
      </c>
      <c r="G10" s="493" t="s">
        <v>832</v>
      </c>
      <c r="H10" s="493" t="s">
        <v>833</v>
      </c>
      <c r="I10" s="114" t="s">
        <v>834</v>
      </c>
      <c r="J10" s="114" t="s">
        <v>835</v>
      </c>
      <c r="K10" s="132" t="s">
        <v>843</v>
      </c>
      <c r="L10" s="492" t="s">
        <v>837</v>
      </c>
      <c r="M10" s="492" t="s">
        <v>838</v>
      </c>
      <c r="N10" s="114" t="s">
        <v>839</v>
      </c>
      <c r="O10" s="114" t="s">
        <v>840</v>
      </c>
    </row>
    <row r="11" spans="1:15">
      <c r="A11">
        <f>'C. 20-21 Prov&amp;Priv 22+'!A7</f>
        <v>267</v>
      </c>
      <c r="B11" t="str">
        <f>'C. 20-21 Prov&amp;Priv 22+'!B7</f>
        <v>Bloodvein</v>
      </c>
      <c r="C11">
        <f>'C. 20-21 Prov&amp;Priv 22+'!C7</f>
        <v>2460008</v>
      </c>
      <c r="D11" t="str">
        <f>'C. 20-21 Prov&amp;Priv 22+'!D7</f>
        <v>Yellowquill College</v>
      </c>
      <c r="E11" t="str">
        <f>'C. 20-21 Prov&amp;Priv 22+'!E7</f>
        <v>Private</v>
      </c>
      <c r="F11">
        <f>'C. 20-21 Prov&amp;Priv 22+'!Q7</f>
        <v>16</v>
      </c>
      <c r="G11" t="str">
        <f>'C. 20-21 Prov&amp;Priv 22+'!AJ7</f>
        <v>Yellowquill College</v>
      </c>
      <c r="H11" t="str">
        <f>'C. 20-21 Prov&amp;Priv 22+'!AK7</f>
        <v>FRONTIER</v>
      </c>
      <c r="I11" s="397">
        <f>IFERROR(INDEX('G2. 20-21 Prov Tuition Rates'!$N$7:$N$42,MATCH(Table42[[#This Row],[District of the School Attended]],'G2. 20-21 Prov Tuition Rates'!$B$7:$B$42,0)),0)</f>
        <v>0</v>
      </c>
      <c r="J11" s="397">
        <f>IF(I11=0,INDEX('G2. 20-21 Prov Tuition Rates'!$N$7:$N$42,MATCH(Table42[[#This Row],[Proximate Public School District to First Nation of Residence]],'G2. 20-21 Prov Tuition Rates'!$A$7:$A$42,0)),0)</f>
        <v>19702.46</v>
      </c>
      <c r="K11" s="397">
        <f>ROUND(IF(Table42[[#This Row],[Base Tuition Rate]]=0,Table42[[#This Row],[Total Prov &amp; Priv FTE 22+]]*Table42[[#This Row],[Proximate Tuition Rate for Adult Centres, Private and Unaffiliated Schools]],Table42[[#This Row],[Total Prov &amp; Priv FTE 22+]]*Table42[[#This Row],[Base Tuition Rate]]),0)</f>
        <v>315239</v>
      </c>
      <c r="L11" s="397">
        <f>ROUND(IF(Table42[[#This Row],[District of the School Attended]]="Adult",0,Table42[[#This Row],[Total Prov &amp; Priv FTE 22+]]*$D$7),0)</f>
        <v>12001</v>
      </c>
      <c r="M11" s="397">
        <f>SUM(K11:L11)</f>
        <v>327240</v>
      </c>
      <c r="N11" s="397">
        <f>ROUND(I$6*Table42[[#This Row],[TOTAL Tuition Funding]],0)</f>
        <v>16362</v>
      </c>
      <c r="O11" s="397">
        <f>$I$5*Table42[[#This Row],[Total Prov &amp; Priv FTE 22+]]</f>
        <v>8655.52</v>
      </c>
    </row>
    <row r="12" spans="1:15">
      <c r="A12" t="s">
        <v>72</v>
      </c>
      <c r="F12">
        <f>SUBTOTAL(109,Table42[Total Prov &amp; Priv FTE 22+])</f>
        <v>16</v>
      </c>
      <c r="K12" s="19">
        <f>SUBTOTAL(109,Table42[Total BASE TUITION 22+])</f>
        <v>315239</v>
      </c>
      <c r="L12" s="19">
        <f>SUBTOTAL(109,Table42[SPEC ED TUITION])</f>
        <v>12001</v>
      </c>
      <c r="M12" s="19">
        <f>SUBTOTAL(109,Table42[TOTAL Tuition Funding])</f>
        <v>327240</v>
      </c>
      <c r="N12" s="19">
        <f>SUBTOTAL(109,Table42[[Tuition Administration Support ]])</f>
        <v>16362</v>
      </c>
      <c r="O12" s="19">
        <f>SUBTOTAL(109,Table42[Provincial Student Supports])</f>
        <v>8655.52</v>
      </c>
    </row>
  </sheetData>
  <mergeCells count="1">
    <mergeCell ref="A4:F4"/>
  </mergeCell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3300"/>
  </sheetPr>
  <dimension ref="A5:B51"/>
  <sheetViews>
    <sheetView workbookViewId="0">
      <selection activeCell="C31" sqref="C31"/>
    </sheetView>
  </sheetViews>
  <sheetFormatPr baseColWidth="10" defaultColWidth="9" defaultRowHeight="14"/>
  <cols>
    <col min="1" max="1" width="30.796875" customWidth="1"/>
    <col min="2" max="2" width="10" style="26" bestFit="1" customWidth="1"/>
  </cols>
  <sheetData>
    <row r="5" spans="1:2">
      <c r="A5" t="s">
        <v>844</v>
      </c>
      <c r="B5" s="26">
        <v>14368.8</v>
      </c>
    </row>
    <row r="6" spans="1:2">
      <c r="A6" t="s">
        <v>845</v>
      </c>
      <c r="B6" s="26">
        <v>12100</v>
      </c>
    </row>
    <row r="7" spans="1:2">
      <c r="A7" t="s">
        <v>846</v>
      </c>
      <c r="B7" s="26">
        <v>10000</v>
      </c>
    </row>
    <row r="8" spans="1:2">
      <c r="A8" t="s">
        <v>847</v>
      </c>
      <c r="B8" s="26">
        <v>11300</v>
      </c>
    </row>
    <row r="9" spans="1:2">
      <c r="A9" t="s">
        <v>848</v>
      </c>
    </row>
    <row r="10" spans="1:2">
      <c r="A10" t="s">
        <v>849</v>
      </c>
      <c r="B10" s="26">
        <v>13795.64</v>
      </c>
    </row>
    <row r="11" spans="1:2">
      <c r="A11" t="s">
        <v>850</v>
      </c>
    </row>
    <row r="12" spans="1:2">
      <c r="A12" t="s">
        <v>851</v>
      </c>
      <c r="B12" s="26">
        <v>12400</v>
      </c>
    </row>
    <row r="13" spans="1:2">
      <c r="A13" t="s">
        <v>852</v>
      </c>
      <c r="B13" s="26">
        <v>11000</v>
      </c>
    </row>
    <row r="14" spans="1:2">
      <c r="A14" t="s">
        <v>853</v>
      </c>
      <c r="B14" s="26">
        <v>12199</v>
      </c>
    </row>
    <row r="15" spans="1:2">
      <c r="A15" t="s">
        <v>854</v>
      </c>
      <c r="B15" s="26">
        <v>12720</v>
      </c>
    </row>
    <row r="16" spans="1:2">
      <c r="A16" t="s">
        <v>855</v>
      </c>
      <c r="B16" s="26">
        <v>12491.8</v>
      </c>
    </row>
    <row r="17" spans="1:2">
      <c r="A17" t="s">
        <v>856</v>
      </c>
      <c r="B17" s="26">
        <v>10052.299999999999</v>
      </c>
    </row>
    <row r="18" spans="1:2">
      <c r="A18" t="s">
        <v>857</v>
      </c>
      <c r="B18" s="26">
        <v>4251</v>
      </c>
    </row>
    <row r="19" spans="1:2">
      <c r="A19" t="s">
        <v>858</v>
      </c>
      <c r="B19" s="26">
        <v>11500</v>
      </c>
    </row>
    <row r="20" spans="1:2">
      <c r="A20" t="s">
        <v>859</v>
      </c>
      <c r="B20" s="26">
        <v>11880.45</v>
      </c>
    </row>
    <row r="21" spans="1:2">
      <c r="A21" t="s">
        <v>860</v>
      </c>
      <c r="B21" s="26">
        <v>6673.2</v>
      </c>
    </row>
    <row r="22" spans="1:2">
      <c r="A22" t="s">
        <v>861</v>
      </c>
    </row>
    <row r="23" spans="1:2">
      <c r="A23" t="s">
        <v>862</v>
      </c>
      <c r="B23" s="26">
        <v>10000</v>
      </c>
    </row>
    <row r="24" spans="1:2">
      <c r="A24" t="s">
        <v>863</v>
      </c>
      <c r="B24" s="26">
        <v>12000</v>
      </c>
    </row>
    <row r="25" spans="1:2">
      <c r="A25" t="s">
        <v>864</v>
      </c>
      <c r="B25" s="26">
        <v>14208</v>
      </c>
    </row>
    <row r="26" spans="1:2">
      <c r="A26" t="s">
        <v>865</v>
      </c>
      <c r="B26" s="26">
        <v>12750</v>
      </c>
    </row>
    <row r="27" spans="1:2">
      <c r="A27" t="s">
        <v>866</v>
      </c>
      <c r="B27" s="26">
        <v>11420</v>
      </c>
    </row>
    <row r="28" spans="1:2">
      <c r="A28" t="s">
        <v>867</v>
      </c>
      <c r="B28" s="26">
        <v>12000</v>
      </c>
    </row>
    <row r="29" spans="1:2">
      <c r="A29" t="s">
        <v>868</v>
      </c>
    </row>
    <row r="30" spans="1:2">
      <c r="A30" t="s">
        <v>869</v>
      </c>
      <c r="B30" s="26">
        <v>13112.67</v>
      </c>
    </row>
    <row r="32" spans="1:2">
      <c r="A32" t="s">
        <v>870</v>
      </c>
      <c r="B32" s="26">
        <v>25082.41</v>
      </c>
    </row>
    <row r="33" spans="1:2">
      <c r="A33" t="s">
        <v>871</v>
      </c>
      <c r="B33" s="26">
        <v>19499.93</v>
      </c>
    </row>
    <row r="34" spans="1:2">
      <c r="A34" t="s">
        <v>872</v>
      </c>
      <c r="B34" s="26">
        <v>17886.29</v>
      </c>
    </row>
    <row r="35" spans="1:2">
      <c r="A35" t="s">
        <v>873</v>
      </c>
      <c r="B35" s="26">
        <v>16756.900000000001</v>
      </c>
    </row>
    <row r="36" spans="1:2">
      <c r="A36" t="s">
        <v>874</v>
      </c>
      <c r="B36" s="26">
        <v>15488.35</v>
      </c>
    </row>
    <row r="37" spans="1:2">
      <c r="A37" t="s">
        <v>875</v>
      </c>
      <c r="B37" s="26">
        <v>17110.93</v>
      </c>
    </row>
    <row r="38" spans="1:2">
      <c r="A38" t="s">
        <v>876</v>
      </c>
      <c r="B38" s="26">
        <v>15629.63</v>
      </c>
    </row>
    <row r="39" spans="1:2">
      <c r="A39" t="s">
        <v>877</v>
      </c>
      <c r="B39" s="26">
        <v>19667.560000000001</v>
      </c>
    </row>
    <row r="40" spans="1:2">
      <c r="A40" t="s">
        <v>878</v>
      </c>
      <c r="B40" s="26">
        <v>18062.080000000002</v>
      </c>
    </row>
    <row r="41" spans="1:2">
      <c r="A41" t="s">
        <v>879</v>
      </c>
      <c r="B41" s="26">
        <v>21125.89</v>
      </c>
    </row>
    <row r="42" spans="1:2">
      <c r="A42" t="s">
        <v>880</v>
      </c>
      <c r="B42" s="26">
        <v>17920.689999999999</v>
      </c>
    </row>
    <row r="43" spans="1:2">
      <c r="A43" t="s">
        <v>881</v>
      </c>
      <c r="B43" s="26">
        <v>16094.51</v>
      </c>
    </row>
    <row r="44" spans="1:2">
      <c r="A44" t="s">
        <v>882</v>
      </c>
      <c r="B44" s="26">
        <v>16196.64</v>
      </c>
    </row>
    <row r="45" spans="1:2">
      <c r="A45" t="s">
        <v>883</v>
      </c>
      <c r="B45" s="26">
        <v>18411.599999999999</v>
      </c>
    </row>
    <row r="46" spans="1:2">
      <c r="A46" t="s">
        <v>884</v>
      </c>
      <c r="B46" s="26">
        <v>19955.990000000002</v>
      </c>
    </row>
    <row r="47" spans="1:2">
      <c r="A47" t="s">
        <v>885</v>
      </c>
      <c r="B47" s="26">
        <v>20287.63</v>
      </c>
    </row>
    <row r="48" spans="1:2">
      <c r="A48" t="s">
        <v>886</v>
      </c>
      <c r="B48" s="26">
        <v>20973.48</v>
      </c>
    </row>
    <row r="49" spans="1:2">
      <c r="A49" t="s">
        <v>887</v>
      </c>
      <c r="B49" s="26">
        <v>20395.580000000002</v>
      </c>
    </row>
    <row r="50" spans="1:2">
      <c r="A50" t="s">
        <v>888</v>
      </c>
      <c r="B50" s="26">
        <v>19701.599999999999</v>
      </c>
    </row>
    <row r="51" spans="1:2">
      <c r="A51" t="s">
        <v>889</v>
      </c>
      <c r="B51" s="26">
        <v>16566.099999999999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3:I22"/>
  <sheetViews>
    <sheetView topLeftCell="A8" workbookViewId="0"/>
  </sheetViews>
  <sheetFormatPr baseColWidth="10" defaultColWidth="9.19921875" defaultRowHeight="14"/>
  <cols>
    <col min="2" max="2" width="26.796875" customWidth="1"/>
    <col min="3" max="3" width="18.796875" customWidth="1"/>
    <col min="4" max="4" width="20.19921875" customWidth="1"/>
    <col min="5" max="5" width="19.19921875" customWidth="1"/>
    <col min="6" max="16" width="8.796875" customWidth="1"/>
  </cols>
  <sheetData>
    <row r="3" spans="1:9" ht="19">
      <c r="A3" s="33" t="s">
        <v>890</v>
      </c>
    </row>
    <row r="4" spans="1:9" ht="38.25" customHeight="1">
      <c r="A4" s="1725" t="s">
        <v>891</v>
      </c>
      <c r="B4" s="1725"/>
      <c r="C4" s="1725"/>
      <c r="D4" s="1725"/>
      <c r="E4" s="1725"/>
    </row>
    <row r="5" spans="1:9">
      <c r="A5" s="1726"/>
      <c r="B5" s="1726"/>
      <c r="C5" s="1726"/>
      <c r="D5" s="1726"/>
      <c r="E5" s="1726"/>
    </row>
    <row r="6" spans="1:9">
      <c r="A6" s="325" t="s">
        <v>892</v>
      </c>
      <c r="B6" s="221"/>
      <c r="C6" s="221"/>
      <c r="D6" s="221"/>
      <c r="E6" s="221"/>
    </row>
    <row r="7" spans="1:9" ht="12.75" customHeight="1"/>
    <row r="8" spans="1:9" ht="15" customHeight="1"/>
    <row r="10" spans="1:9" s="147" customFormat="1" ht="49.5" customHeight="1">
      <c r="A10" s="114" t="s">
        <v>285</v>
      </c>
      <c r="B10" s="114" t="s">
        <v>286</v>
      </c>
      <c r="C10" s="1286" t="s">
        <v>893</v>
      </c>
      <c r="D10"/>
      <c r="E10"/>
      <c r="F10"/>
      <c r="G10"/>
      <c r="H10"/>
      <c r="I10"/>
    </row>
    <row r="11" spans="1:9">
      <c r="A11">
        <f>'D. 19-20 Enrolment by FN'!A7</f>
        <v>261</v>
      </c>
      <c r="B11" t="str">
        <f>'D. 19-20 Enrolment by FN'!B7</f>
        <v>Brokenhead Ojibway</v>
      </c>
      <c r="C11" s="414">
        <f>Table12[[#This Row],[TOTAL TRANSPORTATION]]</f>
        <v>287593</v>
      </c>
    </row>
    <row r="12" spans="1:9">
      <c r="A12">
        <f>'D. 19-20 Enrolment by FN'!A8</f>
        <v>267</v>
      </c>
      <c r="B12" t="str">
        <f>'D. 19-20 Enrolment by FN'!B8</f>
        <v>Bloodvein</v>
      </c>
      <c r="C12" s="414">
        <f>Table12[[#This Row],[TOTAL TRANSPORTATION]]</f>
        <v>245820</v>
      </c>
    </row>
    <row r="13" spans="1:9">
      <c r="A13">
        <f>'D. 19-20 Enrolment by FN'!A9</f>
        <v>271</v>
      </c>
      <c r="B13" t="str">
        <f>'D. 19-20 Enrolment by FN'!B9</f>
        <v>Lake Manitoba</v>
      </c>
      <c r="C13" s="414">
        <f>Table12[[#This Row],[TOTAL TRANSPORTATION]]</f>
        <v>437887</v>
      </c>
    </row>
    <row r="14" spans="1:9">
      <c r="A14">
        <f>'D. 19-20 Enrolment by FN'!A10</f>
        <v>272</v>
      </c>
      <c r="B14" t="str">
        <f>'D. 19-20 Enrolment by FN'!B10</f>
        <v>Pinaymootang</v>
      </c>
      <c r="C14" s="414">
        <f>Table12[[#This Row],[TOTAL TRANSPORTATION]]</f>
        <v>442807</v>
      </c>
    </row>
    <row r="15" spans="1:9">
      <c r="A15">
        <f>'D. 19-20 Enrolment by FN'!A11</f>
        <v>273</v>
      </c>
      <c r="B15" t="str">
        <f>'D. 19-20 Enrolment by FN'!B11</f>
        <v>Roseau River</v>
      </c>
      <c r="C15" s="414">
        <f>Table12[[#This Row],[TOTAL TRANSPORTATION]]</f>
        <v>377964</v>
      </c>
    </row>
    <row r="16" spans="1:9">
      <c r="A16">
        <f>'D. 19-20 Enrolment by FN'!A12</f>
        <v>275</v>
      </c>
      <c r="B16" t="str">
        <f>'D. 19-20 Enrolment by FN'!B12</f>
        <v>Lake St. Martin</v>
      </c>
      <c r="C16" s="414">
        <f>Table12[[#This Row],[TOTAL TRANSPORTATION]]</f>
        <v>448716</v>
      </c>
    </row>
    <row r="17" spans="1:3">
      <c r="A17">
        <f>'D. 19-20 Enrolment by FN'!A13</f>
        <v>286</v>
      </c>
      <c r="B17" t="str">
        <f>'D. 19-20 Enrolment by FN'!B13</f>
        <v>Keeseekoowenin</v>
      </c>
      <c r="C17" s="414">
        <f>Table12[[#This Row],[TOTAL TRANSPORTATION]]</f>
        <v>222361</v>
      </c>
    </row>
    <row r="18" spans="1:3">
      <c r="A18">
        <f>'D. 19-20 Enrolment by FN'!A14</f>
        <v>288</v>
      </c>
      <c r="B18" t="str">
        <f>'D. 19-20 Enrolment by FN'!B14</f>
        <v>Dakota Plains</v>
      </c>
      <c r="C18" s="414">
        <f>Table12[[#This Row],[TOTAL TRANSPORTATION]]</f>
        <v>142749</v>
      </c>
    </row>
    <row r="19" spans="1:3">
      <c r="A19">
        <f>'D. 19-20 Enrolment by FN'!A15</f>
        <v>295</v>
      </c>
      <c r="B19" t="str">
        <f>'D. 19-20 Enrolment by FN'!B15</f>
        <v>Dakota Tipi</v>
      </c>
      <c r="C19" s="414">
        <f>Table12[[#This Row],[TOTAL TRANSPORTATION]]</f>
        <v>130595</v>
      </c>
    </row>
    <row r="20" spans="1:3">
      <c r="A20">
        <f>'D. 19-20 Enrolment by FN'!A16</f>
        <v>304</v>
      </c>
      <c r="B20" t="str">
        <f>'D. 19-20 Enrolment by FN'!B16</f>
        <v>York Factory</v>
      </c>
      <c r="C20" s="414">
        <f>Table12[[#This Row],[TOTAL TRANSPORTATION]]</f>
        <v>187588</v>
      </c>
    </row>
    <row r="21" spans="1:3">
      <c r="A21">
        <f>'D. 19-20 Enrolment by FN'!A17</f>
        <v>305</v>
      </c>
      <c r="B21" t="str">
        <f>'D. 19-20 Enrolment by FN'!B17</f>
        <v>Fox Lake</v>
      </c>
      <c r="C21" s="414">
        <f>Table12[[#This Row],[TOTAL TRANSPORTATION]]</f>
        <v>130923</v>
      </c>
    </row>
    <row r="22" spans="1:3">
      <c r="A22" t="s">
        <v>72</v>
      </c>
      <c r="C22" s="19">
        <f>SUBTOTAL(109,TRANSP[2019-20 School Year Allocations])</f>
        <v>3055003</v>
      </c>
    </row>
  </sheetData>
  <mergeCells count="2">
    <mergeCell ref="A4:E4"/>
    <mergeCell ref="A5:E5"/>
  </mergeCells>
  <hyperlinks>
    <hyperlink ref="A6" location="'Transportation Calculation'!A1" display="See &quot;Transportation Calculation&quot; Tab for details." xr:uid="{00000000-0004-0000-3000-000000000000}"/>
  </hyperlinks>
  <pageMargins left="0.7" right="0.7" top="0.75" bottom="0.75" header="0.3" footer="0.3"/>
  <pageSetup orientation="portrait" r:id="rId1"/>
  <headerFooter>
    <oddHeader>&amp;LMFNERC First Nations School System 2017-18&amp;RE&amp;&amp;OE</oddHeader>
  </headerFooter>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S22"/>
  <sheetViews>
    <sheetView topLeftCell="AC3" workbookViewId="0"/>
  </sheetViews>
  <sheetFormatPr baseColWidth="10" defaultColWidth="9" defaultRowHeight="14" outlineLevelCol="1"/>
  <cols>
    <col min="2" max="2" width="18.3984375" customWidth="1"/>
    <col min="3" max="3" width="12.19921875" customWidth="1" outlineLevel="1"/>
    <col min="4" max="4" width="12" customWidth="1" outlineLevel="1"/>
    <col min="5" max="5" width="12.59765625" customWidth="1" outlineLevel="1"/>
    <col min="6" max="6" width="11.19921875" customWidth="1" outlineLevel="1"/>
    <col min="7" max="7" width="12.19921875" customWidth="1" outlineLevel="1"/>
    <col min="8" max="8" width="10.3984375" customWidth="1" outlineLevel="1"/>
    <col min="9" max="9" width="9.19921875" customWidth="1" outlineLevel="1"/>
    <col min="10" max="10" width="12.3984375" customWidth="1" outlineLevel="1"/>
    <col min="11" max="11" width="13.19921875" customWidth="1" outlineLevel="1"/>
    <col min="12" max="12" width="12" customWidth="1" outlineLevel="1"/>
    <col min="13" max="13" width="14" customWidth="1"/>
    <col min="14" max="14" width="12.796875" customWidth="1" outlineLevel="1"/>
    <col min="15" max="15" width="9.19921875" customWidth="1" outlineLevel="1"/>
    <col min="16" max="16" width="11.19921875" customWidth="1"/>
    <col min="17" max="17" width="14.3984375" customWidth="1" outlineLevel="1"/>
    <col min="18" max="18" width="10.3984375" customWidth="1" outlineLevel="1"/>
    <col min="19" max="19" width="12.59765625" customWidth="1" outlineLevel="1"/>
    <col min="20" max="20" width="14.796875" customWidth="1" outlineLevel="1"/>
    <col min="21" max="21" width="13.19921875" customWidth="1" outlineLevel="1"/>
    <col min="22" max="22" width="12.19921875" customWidth="1" outlineLevel="1"/>
    <col min="23" max="23" width="12.3984375" customWidth="1"/>
    <col min="24" max="25" width="11.796875" customWidth="1"/>
    <col min="26" max="31" width="12.19921875" customWidth="1"/>
    <col min="32" max="33" width="12.796875" customWidth="1"/>
    <col min="34" max="34" width="12.59765625" customWidth="1"/>
    <col min="35" max="35" width="11" bestFit="1" customWidth="1"/>
    <col min="36" max="36" width="12.19921875" customWidth="1"/>
    <col min="37" max="37" width="13.796875" customWidth="1"/>
    <col min="38" max="38" width="16.796875" customWidth="1"/>
    <col min="39" max="39" width="15.3984375" customWidth="1"/>
    <col min="40" max="40" width="17.19921875" customWidth="1"/>
    <col min="42" max="43" width="12.59765625" customWidth="1"/>
    <col min="44" max="45" width="13.796875" customWidth="1"/>
  </cols>
  <sheetData>
    <row r="1" spans="1:45">
      <c r="A1" t="s">
        <v>277</v>
      </c>
    </row>
    <row r="2" spans="1:45">
      <c r="A2" t="s">
        <v>890</v>
      </c>
    </row>
    <row r="3" spans="1:45" ht="19">
      <c r="A3" s="33" t="s">
        <v>894</v>
      </c>
    </row>
    <row r="4" spans="1:45" ht="16" thickBot="1">
      <c r="A4" t="s">
        <v>895</v>
      </c>
      <c r="V4" s="2" t="s">
        <v>896</v>
      </c>
      <c r="W4" s="918"/>
      <c r="Z4" s="1287" t="s">
        <v>896</v>
      </c>
      <c r="AA4" s="1288"/>
      <c r="AB4" s="1289"/>
      <c r="AC4" s="1290" t="s">
        <v>897</v>
      </c>
      <c r="AD4" s="1288"/>
      <c r="AE4" s="1288"/>
      <c r="AF4" s="1288"/>
      <c r="AG4" s="719"/>
      <c r="AI4" s="1291" t="s">
        <v>898</v>
      </c>
      <c r="AJ4" s="1159"/>
      <c r="AK4" s="1159"/>
      <c r="AL4" s="1159"/>
      <c r="AM4" s="1159"/>
    </row>
    <row r="5" spans="1:45">
      <c r="A5" t="s">
        <v>899</v>
      </c>
      <c r="V5" s="920" t="s">
        <v>900</v>
      </c>
      <c r="W5" s="921"/>
      <c r="X5" s="922">
        <v>194</v>
      </c>
      <c r="Z5" s="1292"/>
      <c r="AA5" s="1501"/>
      <c r="AB5" s="1293"/>
      <c r="AC5" s="254"/>
      <c r="AD5" s="1294" t="s">
        <v>901</v>
      </c>
      <c r="AE5" s="1502"/>
      <c r="AF5" s="1295">
        <v>10000</v>
      </c>
      <c r="AG5" s="720"/>
      <c r="AI5" s="861" t="s">
        <v>902</v>
      </c>
      <c r="AJ5" s="1450"/>
      <c r="AK5" s="1450"/>
      <c r="AL5" s="1296">
        <f>'S. 2018-19 Transp Rates'!$U$26</f>
        <v>999</v>
      </c>
      <c r="AM5" t="s">
        <v>903</v>
      </c>
    </row>
    <row r="6" spans="1:45" ht="15" thickBot="1">
      <c r="A6" t="s">
        <v>904</v>
      </c>
      <c r="V6" s="923" t="s">
        <v>905</v>
      </c>
      <c r="W6" s="924"/>
      <c r="X6" s="925">
        <f>X5+5</f>
        <v>199</v>
      </c>
      <c r="Z6" s="1297" t="s">
        <v>906</v>
      </c>
      <c r="AA6" s="1501"/>
      <c r="AB6" s="1298">
        <v>0.9</v>
      </c>
      <c r="AC6" s="255"/>
      <c r="AD6" s="1294" t="s">
        <v>907</v>
      </c>
      <c r="AE6" s="1501"/>
      <c r="AF6" s="1299">
        <f>ROUND('S. 21-22 Transp Rates'!Y15/10,0)</f>
        <v>12583</v>
      </c>
      <c r="AG6" s="721"/>
      <c r="AI6" s="861" t="s">
        <v>908</v>
      </c>
      <c r="AJ6" s="1450"/>
      <c r="AK6" s="1450"/>
      <c r="AL6" s="1296">
        <f>'S. 21-22 Transp Rates'!U27</f>
        <v>250</v>
      </c>
      <c r="AM6" t="s">
        <v>909</v>
      </c>
    </row>
    <row r="7" spans="1:45">
      <c r="A7" s="251" t="s">
        <v>910</v>
      </c>
      <c r="Z7" s="1297" t="s">
        <v>911</v>
      </c>
      <c r="AA7" s="1503"/>
      <c r="AB7" s="1300">
        <f>'S. 21-22 Transp Rates'!B25</f>
        <v>0.96340000000000003</v>
      </c>
      <c r="AC7" s="256"/>
      <c r="AD7" s="1301" t="s">
        <v>912</v>
      </c>
      <c r="AE7" s="1503"/>
      <c r="AF7" s="1299">
        <f>ROUND('S. 21-22 Transp Rates'!Y16/10,0)</f>
        <v>12283</v>
      </c>
      <c r="AG7" s="721"/>
      <c r="AI7" s="1476" t="s">
        <v>913</v>
      </c>
      <c r="AJ7" s="1159"/>
      <c r="AK7" s="1159"/>
      <c r="AL7" s="1504">
        <f>'S. 2018-19 Transp Rates'!$U$28</f>
        <v>500</v>
      </c>
      <c r="AM7" t="s">
        <v>914</v>
      </c>
    </row>
    <row r="8" spans="1:45">
      <c r="Z8" s="1297" t="s">
        <v>915</v>
      </c>
      <c r="AA8" s="1501"/>
      <c r="AB8" s="1302">
        <f>ROUND('S. 21-22 Transp Rates'!O41,2)</f>
        <v>20.16</v>
      </c>
      <c r="AC8" s="257"/>
      <c r="AD8" s="1294" t="s">
        <v>916</v>
      </c>
      <c r="AE8" s="1501"/>
      <c r="AF8" s="1303">
        <f>ROUND('S. 21-22 Transp Rates'!Y21/10,0)</f>
        <v>8504</v>
      </c>
      <c r="AG8" s="722"/>
      <c r="AI8" s="323"/>
      <c r="AJ8" s="73"/>
      <c r="AK8" s="73"/>
      <c r="AL8" s="324">
        <f>AB8</f>
        <v>20.16</v>
      </c>
      <c r="AM8" t="s">
        <v>917</v>
      </c>
    </row>
    <row r="10" spans="1:45" ht="75">
      <c r="A10" s="1470" t="s">
        <v>285</v>
      </c>
      <c r="B10" s="1470" t="s">
        <v>286</v>
      </c>
      <c r="C10" s="114" t="s">
        <v>918</v>
      </c>
      <c r="D10" s="114" t="s">
        <v>919</v>
      </c>
      <c r="E10" s="252" t="s">
        <v>920</v>
      </c>
      <c r="F10" s="252" t="s">
        <v>921</v>
      </c>
      <c r="G10" s="252" t="s">
        <v>922</v>
      </c>
      <c r="H10" s="252" t="s">
        <v>923</v>
      </c>
      <c r="I10" s="252" t="s">
        <v>924</v>
      </c>
      <c r="J10" s="252" t="s">
        <v>925</v>
      </c>
      <c r="K10" s="252" t="s">
        <v>926</v>
      </c>
      <c r="L10" s="252" t="s">
        <v>927</v>
      </c>
      <c r="M10" s="252" t="s">
        <v>928</v>
      </c>
      <c r="N10" s="252" t="s">
        <v>929</v>
      </c>
      <c r="O10" s="252" t="s">
        <v>930</v>
      </c>
      <c r="P10" s="252" t="s">
        <v>931</v>
      </c>
      <c r="Q10" s="252" t="s">
        <v>932</v>
      </c>
      <c r="R10" s="252" t="s">
        <v>933</v>
      </c>
      <c r="S10" s="252" t="s">
        <v>934</v>
      </c>
      <c r="T10" s="252" t="s">
        <v>935</v>
      </c>
      <c r="U10" s="252" t="s">
        <v>936</v>
      </c>
      <c r="V10" s="252" t="s">
        <v>937</v>
      </c>
      <c r="W10" s="252" t="s">
        <v>938</v>
      </c>
      <c r="X10" s="252" t="s">
        <v>939</v>
      </c>
      <c r="Y10" s="252" t="s">
        <v>940</v>
      </c>
      <c r="Z10" s="252" t="s">
        <v>941</v>
      </c>
      <c r="AA10" s="252" t="s">
        <v>942</v>
      </c>
      <c r="AB10" s="258" t="s">
        <v>943</v>
      </c>
      <c r="AC10" s="258" t="s">
        <v>944</v>
      </c>
      <c r="AD10" s="258" t="s">
        <v>945</v>
      </c>
      <c r="AE10" s="258" t="s">
        <v>946</v>
      </c>
      <c r="AF10" s="258" t="s">
        <v>947</v>
      </c>
      <c r="AG10" s="258" t="s">
        <v>948</v>
      </c>
      <c r="AH10" s="260" t="s">
        <v>949</v>
      </c>
      <c r="AI10" s="258" t="s">
        <v>950</v>
      </c>
      <c r="AJ10" s="258" t="s">
        <v>951</v>
      </c>
      <c r="AK10" s="252" t="s">
        <v>952</v>
      </c>
      <c r="AL10" s="252" t="s">
        <v>953</v>
      </c>
      <c r="AM10" s="252" t="s">
        <v>954</v>
      </c>
      <c r="AN10" s="259" t="s">
        <v>955</v>
      </c>
      <c r="AP10" s="1505" t="s">
        <v>956</v>
      </c>
      <c r="AQ10" s="1505" t="s">
        <v>957</v>
      </c>
      <c r="AR10" s="1505" t="s">
        <v>958</v>
      </c>
      <c r="AS10" s="1505" t="s">
        <v>959</v>
      </c>
    </row>
    <row r="11" spans="1:45">
      <c r="A11">
        <f>'D. 19-20 Enrolment by FN'!A7</f>
        <v>261</v>
      </c>
      <c r="B11" t="str">
        <f>'D. 19-20 Enrolment by FN'!B7</f>
        <v>Brokenhead Ojibway</v>
      </c>
      <c r="C11">
        <f>'D. 19-20 Enrolment by FN'!BQ7</f>
        <v>0</v>
      </c>
      <c r="D11" t="str">
        <f>'D. 19-20 Enrolment by FN'!BR7</f>
        <v>None</v>
      </c>
      <c r="E11">
        <f>'D. 19-20 Enrolment by FN'!BS7</f>
        <v>0</v>
      </c>
      <c r="F11" t="str">
        <f>'D. 19-20 Enrolment by FN'!BT7</f>
        <v>Half-Day</v>
      </c>
      <c r="G11">
        <f>'D. 19-20 Enrolment by FN'!BV7</f>
        <v>37</v>
      </c>
      <c r="H11">
        <f>'D. 19-20 Enrolment by FN'!AB7</f>
        <v>0</v>
      </c>
      <c r="I11" t="str">
        <f>'D. 19-20 Enrolment by FN'!AY7</f>
        <v>Full-Day</v>
      </c>
      <c r="J11">
        <f>'D. 19-20 Enrolment by FN'!AC7</f>
        <v>0</v>
      </c>
      <c r="K11" t="str">
        <f>'D. 19-20 Enrolment by FN'!AZ7</f>
        <v>Full-Day</v>
      </c>
      <c r="L11">
        <f>SUM('D. 19-20 Enrolment by FN'!AD7:AQ7)</f>
        <v>105</v>
      </c>
      <c r="M11">
        <f>Table12[[#This Row],[Prov K4 Headcount]]+Table12[[#This Row],[Prov K5 Headcount]]+Table12[[#This Row],[FN Op K4 Headcount]]+Table12[[#This Row],[FN Op K5 Headcount]]</f>
        <v>0</v>
      </c>
      <c r="N11">
        <f>Table12[[#This Row],[Transported Prov Headcount Gr.1-12 &lt;22]]+Table12[[#This Row],[FN Operated Gr. 1-12 &lt;22]]</f>
        <v>142</v>
      </c>
      <c r="O11">
        <f>SUM(Table12[[#This Row],[Total Kindergarten Enrolment]:[Total Gr. 1-12 Enrolment &lt;22]])</f>
        <v>142</v>
      </c>
      <c r="P11">
        <f>ROUNDUP(IF((Table12[[#This Row],[TOTAL Headcount Enrolment &lt;22]]/47)&gt;6,6,Table12[[#This Row],[TOTAL Headcount Enrolment &lt;22]]/47),0)</f>
        <v>4</v>
      </c>
      <c r="Q11">
        <f>ROUNDUP(IF((Table12[[#This Row],[TOTAL Headcount Enrolment &lt;22]]/47)&gt;6,(Table12[[#This Row],[TOTAL Headcount Enrolment &lt;22]]-47*6)/71),0)</f>
        <v>0</v>
      </c>
      <c r="R11">
        <f>SUM(Table12[[#This Row],[47-Passenger Buses]:[71-Passenger Buses]])</f>
        <v>4</v>
      </c>
      <c r="S11">
        <v>2</v>
      </c>
      <c r="T11">
        <f>Table12[[#This Row],[Total Buses &amp; Drivers]]-Table12[[#This Row],[No. of Buses on Prov Routes]]</f>
        <v>2</v>
      </c>
      <c r="U11">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1">
        <f>ROUNDUP(IF(Table12[[#This Row],[Students requiring Half-Day Route]]/47&gt;6, 6+((Table12[[#This Row],[Students requiring Half-Day Route]]-47)*6)/71, (Table12[[#This Row],[Students requiring Half-Day Route]])/47), 0)</f>
        <v>0</v>
      </c>
      <c r="W11">
        <f>IF(OR(Table12[[#This Row],[Prov K5 Program Type]]="Half-day",Table12[[#This Row],[Prov K4 Program Type]]="Half-day"),1,0)</f>
        <v>1</v>
      </c>
      <c r="X11">
        <f>Table12[[#This Row],[Total Half-Day Routes]]-Table12[[#This Row],[Half-Day Buses on Prov Routes]]</f>
        <v>-1</v>
      </c>
      <c r="Y11" s="1">
        <v>52</v>
      </c>
      <c r="Z11" s="1">
        <v>22.2</v>
      </c>
      <c r="AA11" s="253">
        <f t="array" ref="AA11">INDEX(TableAFNSchools[Remoteness Index (adjusted for Transportation)],MATCH(Table12[[#This Row],[Band '#]],TableAFNSchools[Band No '#],0))</f>
        <v>1.1100000000000001</v>
      </c>
      <c r="AB11" s="139">
        <f>ROUND(((Table12[[#This Row],[On-Reserve Kms (CAIS)]]*$AB$6)+Table12[[#This Row],[Off-Reserve Kms Prov Schools]])*Table12[[#This Row],[No. of Buses on Prov Routes]]*$AB$7*2*$X$5,0)</f>
        <v>53812</v>
      </c>
      <c r="AC11" s="139">
        <f>ROUND((Table12[[#This Row],[On-Reserve Kms (CAIS)]]*$AB$6)*Table12[[#This Row],[No. of Buses on FN School Routes]]*$AB$7*2*$X$5,0)</f>
        <v>14937</v>
      </c>
      <c r="AD11" s="139">
        <f>ROUND(((Table12[[#This Row],[On-Reserve Kms (CAIS)]]*$AB$6)+Table12[[#This Row],[Off-Reserve Kms Prov Schools]])*Table12[[#This Row],[Half-Day Buses on Prov Routes]]*$AB$7*$X$5,0)</f>
        <v>13453</v>
      </c>
      <c r="AE11" s="139">
        <f>ROUND((Table12[[#This Row],[On-Reserve Kms (CAIS)]]*$AB$6)*Table12[[#This Row],[Half-Day Buses on FN Routes]]*$AB$7*$X$5,0)</f>
        <v>-3734</v>
      </c>
      <c r="AF11" s="139">
        <f>ROUND((Table12[[#This Row],[Total Buses &amp; Drivers]]*$AB$8*6*$X$6)+(Table12[[#This Row],[Total Half-Day Routes]]*$AB$8*2.5*$X$5),0)</f>
        <v>96284</v>
      </c>
      <c r="AG11" s="139">
        <f>ROUND($AF$5*$AB$7,0)</f>
        <v>9634</v>
      </c>
      <c r="AH11" s="321">
        <f>ROUND((SUM(Table12[[#This Row],[Off-Reserve Routes]:[Extra Curricular &amp; Field Trips]]))*Table12[[#This Row],[Remoteness Factor]],0)</f>
        <v>204668</v>
      </c>
      <c r="AI11" s="139">
        <f>ROUND(Table12[[#This Row],[Bus Driver Salary]]*PensionContrPercent,0)</f>
        <v>22001</v>
      </c>
      <c r="AJ11" s="139">
        <f>IF(Table12[[#This Row],[Total Buses &amp; Drivers]]=1,$AF$6*2,Table12[[#This Row],[47-Passenger Buses]]*$AF$6)</f>
        <v>50332</v>
      </c>
      <c r="AK11" s="139">
        <f>Table12[[#This Row],[71-Passenger Buses]]*$AF$7</f>
        <v>0</v>
      </c>
      <c r="AL11" s="74">
        <f>$AF$8</f>
        <v>8504</v>
      </c>
      <c r="AM11" s="19">
        <f>ROUND(SUM($AL$5:$AL$7)+((Table12[[#This Row],[Total Buses &amp; Drivers]]+1)*$AL$8)+'R. Travel Expenses'!C7,0)</f>
        <v>2088</v>
      </c>
      <c r="AN11" s="320">
        <f>ROUND(SUM(Table12[[#This Row],[Remoteness Applied]:[Bus Driver Training Support]]),0)</f>
        <v>287593</v>
      </c>
      <c r="AP11" s="26">
        <f>Table12[[#This Row],[Prov K4 Headcount]]+Table12[[#This Row],[Prov K5 Headcount]]+Table12[[#This Row],[Transported Prov Headcount Gr.1-12 &lt;22]]</f>
        <v>37</v>
      </c>
      <c r="AQ11" s="26">
        <f>Table12[[#This Row],[FN Op K4 Headcount]]+Table12[[#This Row],[FN Op K5 Headcount]]+Table12[[#This Row],[FN Operated Gr. 1-12 &lt;22]]</f>
        <v>105</v>
      </c>
      <c r="AR11" s="19">
        <f>ROUND((AQ11/(AQ11+AP11))*Table12[[#This Row],[TOTAL TRANSPORTATION]],0)</f>
        <v>212657</v>
      </c>
      <c r="AS11" s="19">
        <f>ROUND((AP11/(AQ11+AP11))*Table12[[#This Row],[TOTAL TRANSPORTATION]],0)</f>
        <v>74936</v>
      </c>
    </row>
    <row r="12" spans="1:45">
      <c r="A12">
        <f>'D. 19-20 Enrolment by FN'!A8</f>
        <v>267</v>
      </c>
      <c r="B12" t="str">
        <f>'D. 19-20 Enrolment by FN'!B8</f>
        <v>Bloodvein</v>
      </c>
      <c r="C12">
        <f>'D. 19-20 Enrolment by FN'!BQ8</f>
        <v>0</v>
      </c>
      <c r="D12" t="str">
        <f>'D. 19-20 Enrolment by FN'!BR8</f>
        <v>None</v>
      </c>
      <c r="E12">
        <f>'D. 19-20 Enrolment by FN'!BS8</f>
        <v>0</v>
      </c>
      <c r="F12" t="str">
        <f>'D. 19-20 Enrolment by FN'!BT8</f>
        <v>None</v>
      </c>
      <c r="G12">
        <f>'D. 19-20 Enrolment by FN'!BV8</f>
        <v>17</v>
      </c>
      <c r="H12">
        <f>'D. 19-20 Enrolment by FN'!AB8</f>
        <v>0</v>
      </c>
      <c r="I12" t="str">
        <f>'D. 19-20 Enrolment by FN'!AY8</f>
        <v>Full-Day</v>
      </c>
      <c r="J12">
        <f>'D. 19-20 Enrolment by FN'!AC8</f>
        <v>0</v>
      </c>
      <c r="K12" t="str">
        <f>'D. 19-20 Enrolment by FN'!AZ8</f>
        <v>Full-Day</v>
      </c>
      <c r="L12">
        <f>SUM('D. 19-20 Enrolment by FN'!AD8:AQ8)</f>
        <v>158</v>
      </c>
      <c r="M12">
        <f>Table12[[#This Row],[Prov K4 Headcount]]+Table12[[#This Row],[Prov K5 Headcount]]+Table12[[#This Row],[FN Op K4 Headcount]]+Table12[[#This Row],[FN Op K5 Headcount]]</f>
        <v>0</v>
      </c>
      <c r="N12">
        <f>Table12[[#This Row],[Transported Prov Headcount Gr.1-12 &lt;22]]+Table12[[#This Row],[FN Operated Gr. 1-12 &lt;22]]</f>
        <v>175</v>
      </c>
      <c r="O12">
        <f>SUM(Table12[[#This Row],[Total Kindergarten Enrolment]:[Total Gr. 1-12 Enrolment &lt;22]])</f>
        <v>175</v>
      </c>
      <c r="P12">
        <f>ROUNDUP(IF((Table12[[#This Row],[TOTAL Headcount Enrolment &lt;22]]/47)&gt;6,6,Table12[[#This Row],[TOTAL Headcount Enrolment &lt;22]]/47),0)</f>
        <v>4</v>
      </c>
      <c r="Q12">
        <f>ROUNDUP(IF((Table12[[#This Row],[TOTAL Headcount Enrolment &lt;22]]/47)&gt;6,(Table12[[#This Row],[TOTAL Headcount Enrolment &lt;22]]-47*6)/71),0)</f>
        <v>0</v>
      </c>
      <c r="R12">
        <f>SUM(Table12[[#This Row],[47-Passenger Buses]:[71-Passenger Buses]])</f>
        <v>4</v>
      </c>
      <c r="S12">
        <v>0</v>
      </c>
      <c r="T12">
        <f>Table12[[#This Row],[Total Buses &amp; Drivers]]-Table12[[#This Row],[No. of Buses on Prov Routes]]</f>
        <v>4</v>
      </c>
      <c r="U12">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2">
        <f>ROUNDUP(IF(Table12[[#This Row],[Students requiring Half-Day Route]]/47&gt;6, 6+((Table12[[#This Row],[Students requiring Half-Day Route]]-47)*6)/71, (Table12[[#This Row],[Students requiring Half-Day Route]])/47), 0)</f>
        <v>0</v>
      </c>
      <c r="W12">
        <f>IF(OR(Table12[[#This Row],[Prov K5 Program Type]]="Half-day",Table12[[#This Row],[Prov K4 Program Type]]="Half-day"),1,0)</f>
        <v>0</v>
      </c>
      <c r="X12">
        <f>Table12[[#This Row],[Total Half-Day Routes]]-Table12[[#This Row],[Half-Day Buses on Prov Routes]]</f>
        <v>0</v>
      </c>
      <c r="Y12" s="1">
        <v>0</v>
      </c>
      <c r="Z12" s="1">
        <v>13.07</v>
      </c>
      <c r="AA12" s="253">
        <f t="array" ref="AA12">INDEX(TableAFNSchools[Remoteness Index (adjusted for Transportation)],MATCH(Table12[[#This Row],[Band '#]],TableAFNSchools[Band No '#],0))</f>
        <v>1.3149999999999999</v>
      </c>
      <c r="AB12" s="139">
        <f>ROUND(((Table12[[#This Row],[On-Reserve Kms (CAIS)]]*$AB$6)+Table12[[#This Row],[Off-Reserve Kms Prov Schools]])*Table12[[#This Row],[No. of Buses on Prov Routes]]*$AB$7*2*$X$5,0)</f>
        <v>0</v>
      </c>
      <c r="AC12" s="139">
        <f>ROUND((Table12[[#This Row],[On-Reserve Kms (CAIS)]]*$AB$6)*Table12[[#This Row],[No. of Buses on FN School Routes]]*$AB$7*2*$X$5,0)</f>
        <v>17588</v>
      </c>
      <c r="AD12" s="139">
        <f>ROUND(((Table12[[#This Row],[On-Reserve Kms (CAIS)]]*$AB$6)+Table12[[#This Row],[Off-Reserve Kms Prov Schools]])*Table12[[#This Row],[Half-Day Buses on Prov Routes]]*$AB$7*$X$5,0)</f>
        <v>0</v>
      </c>
      <c r="AE12" s="139">
        <f>ROUND((Table12[[#This Row],[On-Reserve Kms (CAIS)]]*$AB$6)*Table12[[#This Row],[Half-Day Buses on FN Routes]]*$AB$7*$X$5,0)</f>
        <v>0</v>
      </c>
      <c r="AF12" s="139">
        <f>ROUND((Table12[[#This Row],[Total Buses &amp; Drivers]]*$AB$8*6*$X$6)+(Table12[[#This Row],[Total Half-Day Routes]]*$AB$8*2.5*$X$5),0)</f>
        <v>96284</v>
      </c>
      <c r="AG12" s="139">
        <f t="shared" ref="AG12:AG21" si="0">ROUND($AF$5*$AB$7,0)</f>
        <v>9634</v>
      </c>
      <c r="AH12" s="321">
        <f>ROUND((SUM(Table12[[#This Row],[Off-Reserve Routes]:[Extra Curricular &amp; Field Trips]]))*Table12[[#This Row],[Remoteness Factor]],0)</f>
        <v>162410</v>
      </c>
      <c r="AI12" s="139">
        <f>ROUND(Table12[[#This Row],[Bus Driver Salary]]*PensionContrPercent,0)</f>
        <v>22001</v>
      </c>
      <c r="AJ12" s="139">
        <f>IF(Table12[[#This Row],[Total Buses &amp; Drivers]]=1,$AF$6*2,Table12[[#This Row],[47-Passenger Buses]]*$AF$6)</f>
        <v>50332</v>
      </c>
      <c r="AK12" s="139">
        <f>Table12[[#This Row],[71-Passenger Buses]]*$AF$7</f>
        <v>0</v>
      </c>
      <c r="AL12" s="74">
        <f t="shared" ref="AL12:AL21" si="1">$AF$8</f>
        <v>8504</v>
      </c>
      <c r="AM12" s="19">
        <f>ROUND(SUM($AL$5:$AL$7)+((Table12[[#This Row],[Total Buses &amp; Drivers]]+1)*$AL$8)+'R. Travel Expenses'!C8,0)</f>
        <v>2573</v>
      </c>
      <c r="AN12" s="320">
        <f>ROUND(SUM(Table12[[#This Row],[Remoteness Applied]:[Bus Driver Training Support]]),0)</f>
        <v>245820</v>
      </c>
      <c r="AP12" s="26">
        <f>Table12[[#This Row],[Prov K4 Headcount]]+Table12[[#This Row],[Prov K5 Headcount]]+Table12[[#This Row],[Transported Prov Headcount Gr.1-12 &lt;22]]</f>
        <v>17</v>
      </c>
      <c r="AQ12" s="26">
        <f>Table12[[#This Row],[FN Op K4 Headcount]]+Table12[[#This Row],[FN Op K5 Headcount]]+Table12[[#This Row],[FN Operated Gr. 1-12 &lt;22]]</f>
        <v>158</v>
      </c>
      <c r="AR12" s="19">
        <f>ROUND((AQ12/(AQ12+AP12))*Table12[[#This Row],[TOTAL TRANSPORTATION]],0)</f>
        <v>221940</v>
      </c>
      <c r="AS12" s="19">
        <f>ROUND((AP12/(AQ12+AP12))*Table12[[#This Row],[TOTAL TRANSPORTATION]],0)</f>
        <v>23880</v>
      </c>
    </row>
    <row r="13" spans="1:45">
      <c r="A13">
        <f>'D. 19-20 Enrolment by FN'!A9</f>
        <v>271</v>
      </c>
      <c r="B13" t="str">
        <f>'D. 19-20 Enrolment by FN'!B9</f>
        <v>Lake Manitoba</v>
      </c>
      <c r="C13">
        <f>'D. 19-20 Enrolment by FN'!BQ9</f>
        <v>0</v>
      </c>
      <c r="D13" t="str">
        <f>'D. 19-20 Enrolment by FN'!BR9</f>
        <v>None</v>
      </c>
      <c r="E13">
        <f>'D. 19-20 Enrolment by FN'!BS9</f>
        <v>0</v>
      </c>
      <c r="F13" t="str">
        <f>'D. 19-20 Enrolment by FN'!BT9</f>
        <v>None</v>
      </c>
      <c r="G13">
        <f>'D. 19-20 Enrolment by FN'!BV9</f>
        <v>2</v>
      </c>
      <c r="H13">
        <f>'D. 19-20 Enrolment by FN'!AB9</f>
        <v>0</v>
      </c>
      <c r="I13" t="str">
        <f>'D. 19-20 Enrolment by FN'!AY9</f>
        <v>Full-Day</v>
      </c>
      <c r="J13">
        <f>'D. 19-20 Enrolment by FN'!AC9</f>
        <v>0</v>
      </c>
      <c r="K13" t="str">
        <f>'D. 19-20 Enrolment by FN'!AZ9</f>
        <v>Full-Day</v>
      </c>
      <c r="L13">
        <f>SUM('D. 19-20 Enrolment by FN'!AD9:AQ9)</f>
        <v>264</v>
      </c>
      <c r="M13">
        <f>Table12[[#This Row],[Prov K4 Headcount]]+Table12[[#This Row],[Prov K5 Headcount]]+Table12[[#This Row],[FN Op K4 Headcount]]+Table12[[#This Row],[FN Op K5 Headcount]]</f>
        <v>0</v>
      </c>
      <c r="N13">
        <f>Table12[[#This Row],[Transported Prov Headcount Gr.1-12 &lt;22]]+Table12[[#This Row],[FN Operated Gr. 1-12 &lt;22]]</f>
        <v>266</v>
      </c>
      <c r="O13">
        <f>SUM(Table12[[#This Row],[Total Kindergarten Enrolment]:[Total Gr. 1-12 Enrolment &lt;22]])</f>
        <v>266</v>
      </c>
      <c r="P13">
        <f>ROUNDUP(IF((Table12[[#This Row],[TOTAL Headcount Enrolment &lt;22]]/47)&gt;6,6,Table12[[#This Row],[TOTAL Headcount Enrolment &lt;22]]/47),0)</f>
        <v>6</v>
      </c>
      <c r="Q13">
        <f>ROUNDUP(IF((Table12[[#This Row],[TOTAL Headcount Enrolment &lt;22]]/47)&gt;6,(Table12[[#This Row],[TOTAL Headcount Enrolment &lt;22]]-47*6)/71),0)</f>
        <v>0</v>
      </c>
      <c r="R13">
        <f>SUM(Table12[[#This Row],[47-Passenger Buses]:[71-Passenger Buses]])</f>
        <v>6</v>
      </c>
      <c r="S13">
        <v>1</v>
      </c>
      <c r="T13">
        <f>Table12[[#This Row],[Total Buses &amp; Drivers]]-Table12[[#This Row],[No. of Buses on Prov Routes]]</f>
        <v>5</v>
      </c>
      <c r="U13">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3">
        <f>ROUNDUP(IF(Table12[[#This Row],[Students requiring Half-Day Route]]/47&gt;6, 6+((Table12[[#This Row],[Students requiring Half-Day Route]]-47)*6)/71, (Table12[[#This Row],[Students requiring Half-Day Route]])/47), 0)</f>
        <v>0</v>
      </c>
      <c r="W13">
        <f>IF(OR(Table12[[#This Row],[Prov K5 Program Type]]="Half-day",Table12[[#This Row],[Prov K4 Program Type]]="Half-day"),1,0)</f>
        <v>0</v>
      </c>
      <c r="X13">
        <f>Table12[[#This Row],[Total Half-Day Routes]]-Table12[[#This Row],[Half-Day Buses on Prov Routes]]</f>
        <v>0</v>
      </c>
      <c r="Y13" s="1">
        <v>190</v>
      </c>
      <c r="Z13" s="1">
        <v>30.7</v>
      </c>
      <c r="AA13" s="253">
        <f t="array" ref="AA13">INDEX(TableAFNSchools[Remoteness Index (adjusted for Transportation)],MATCH(Table12[[#This Row],[Band '#]],TableAFNSchools[Band No '#],0))</f>
        <v>1.1100000000000001</v>
      </c>
      <c r="AB13" s="139">
        <f>ROUND(((Table12[[#This Row],[On-Reserve Kms (CAIS)]]*$AB$6)+Table12[[#This Row],[Off-Reserve Kms Prov Schools]])*Table12[[#This Row],[No. of Buses on Prov Routes]]*$AB$7*2*$X$5,0)</f>
        <v>81350</v>
      </c>
      <c r="AC13" s="139">
        <f>ROUND((Table12[[#This Row],[On-Reserve Kms (CAIS)]]*$AB$6)*Table12[[#This Row],[No. of Buses on FN School Routes]]*$AB$7*2*$X$5,0)</f>
        <v>51640</v>
      </c>
      <c r="AD13" s="139">
        <f>ROUND(((Table12[[#This Row],[On-Reserve Kms (CAIS)]]*$AB$6)+Table12[[#This Row],[Off-Reserve Kms Prov Schools]])*Table12[[#This Row],[Half-Day Buses on Prov Routes]]*$AB$7*$X$5,0)</f>
        <v>0</v>
      </c>
      <c r="AE13" s="139">
        <f>ROUND((Table12[[#This Row],[On-Reserve Kms (CAIS)]]*$AB$6)*Table12[[#This Row],[Half-Day Buses on FN Routes]]*$AB$7*$X$5,0)</f>
        <v>0</v>
      </c>
      <c r="AF13" s="139">
        <f>ROUND((Table12[[#This Row],[Total Buses &amp; Drivers]]*$AB$8*6*$X$6)+(Table12[[#This Row],[Total Half-Day Routes]]*$AB$8*2.5*$X$5),0)</f>
        <v>144426</v>
      </c>
      <c r="AG13" s="139">
        <f t="shared" si="0"/>
        <v>9634</v>
      </c>
      <c r="AH13" s="321">
        <f>ROUND((SUM(Table12[[#This Row],[Off-Reserve Routes]:[Extra Curricular &amp; Field Trips]]))*Table12[[#This Row],[Remoteness Factor]],0)</f>
        <v>318626</v>
      </c>
      <c r="AI13" s="139">
        <f>ROUND(Table12[[#This Row],[Bus Driver Salary]]*PensionContrPercent,0)</f>
        <v>33001</v>
      </c>
      <c r="AJ13" s="139">
        <f>IF(Table12[[#This Row],[Total Buses &amp; Drivers]]=1,$AF$6*2,Table12[[#This Row],[47-Passenger Buses]]*$AF$6)</f>
        <v>75498</v>
      </c>
      <c r="AK13" s="139">
        <f>Table12[[#This Row],[71-Passenger Buses]]*$AF$7</f>
        <v>0</v>
      </c>
      <c r="AL13" s="74">
        <f t="shared" si="1"/>
        <v>8504</v>
      </c>
      <c r="AM13" s="19">
        <f>ROUND(SUM($AL$5:$AL$7)+((Table12[[#This Row],[Total Buses &amp; Drivers]]+1)*$AL$8)+'R. Travel Expenses'!C9,0)</f>
        <v>2258</v>
      </c>
      <c r="AN13" s="320">
        <f>ROUND(SUM(Table12[[#This Row],[Remoteness Applied]:[Bus Driver Training Support]]),0)</f>
        <v>437887</v>
      </c>
      <c r="AP13" s="26">
        <f>Table12[[#This Row],[Prov K4 Headcount]]+Table12[[#This Row],[Prov K5 Headcount]]+Table12[[#This Row],[Transported Prov Headcount Gr.1-12 &lt;22]]</f>
        <v>2</v>
      </c>
      <c r="AQ13" s="26">
        <f>Table12[[#This Row],[FN Op K4 Headcount]]+Table12[[#This Row],[FN Op K5 Headcount]]+Table12[[#This Row],[FN Operated Gr. 1-12 &lt;22]]</f>
        <v>264</v>
      </c>
      <c r="AR13" s="19">
        <f>ROUND((AQ13/(AQ13+AP13))*Table12[[#This Row],[TOTAL TRANSPORTATION]],0)</f>
        <v>434595</v>
      </c>
      <c r="AS13" s="19">
        <f>ROUND((AP13/(AQ13+AP13))*Table12[[#This Row],[TOTAL TRANSPORTATION]],0)</f>
        <v>3292</v>
      </c>
    </row>
    <row r="14" spans="1:45">
      <c r="A14">
        <f>'D. 19-20 Enrolment by FN'!A10</f>
        <v>272</v>
      </c>
      <c r="B14" t="str">
        <f>'D. 19-20 Enrolment by FN'!B10</f>
        <v>Pinaymootang</v>
      </c>
      <c r="C14">
        <f>'D. 19-20 Enrolment by FN'!BQ10</f>
        <v>0</v>
      </c>
      <c r="D14" t="str">
        <f>'D. 19-20 Enrolment by FN'!BR10</f>
        <v>None</v>
      </c>
      <c r="E14">
        <f>'D. 19-20 Enrolment by FN'!BS10</f>
        <v>0</v>
      </c>
      <c r="F14" t="str">
        <f>'D. 19-20 Enrolment by FN'!BT10</f>
        <v>None</v>
      </c>
      <c r="G14">
        <f>'D. 19-20 Enrolment by FN'!BV10</f>
        <v>8</v>
      </c>
      <c r="H14">
        <f>'D. 19-20 Enrolment by FN'!AB10</f>
        <v>0</v>
      </c>
      <c r="I14" t="str">
        <f>'D. 19-20 Enrolment by FN'!AY10</f>
        <v>Full-Day</v>
      </c>
      <c r="J14">
        <f>'D. 19-20 Enrolment by FN'!AC10</f>
        <v>0</v>
      </c>
      <c r="K14" t="str">
        <f>'D. 19-20 Enrolment by FN'!AZ10</f>
        <v>Full-Day</v>
      </c>
      <c r="L14">
        <f>SUM('D. 19-20 Enrolment by FN'!AD10:AQ10)</f>
        <v>341</v>
      </c>
      <c r="M14">
        <f>Table12[[#This Row],[Prov K4 Headcount]]+Table12[[#This Row],[Prov K5 Headcount]]+Table12[[#This Row],[FN Op K4 Headcount]]+Table12[[#This Row],[FN Op K5 Headcount]]</f>
        <v>0</v>
      </c>
      <c r="N14">
        <f>Table12[[#This Row],[Transported Prov Headcount Gr.1-12 &lt;22]]+Table12[[#This Row],[FN Operated Gr. 1-12 &lt;22]]</f>
        <v>349</v>
      </c>
      <c r="O14">
        <f>SUM(Table12[[#This Row],[Total Kindergarten Enrolment]:[Total Gr. 1-12 Enrolment &lt;22]])</f>
        <v>349</v>
      </c>
      <c r="P14">
        <f>ROUNDUP(IF((Table12[[#This Row],[TOTAL Headcount Enrolment &lt;22]]/47)&gt;6,6,Table12[[#This Row],[TOTAL Headcount Enrolment &lt;22]]/47),0)</f>
        <v>6</v>
      </c>
      <c r="Q14">
        <f>ROUNDUP(IF((Table12[[#This Row],[TOTAL Headcount Enrolment &lt;22]]/47)&gt;6,(Table12[[#This Row],[TOTAL Headcount Enrolment &lt;22]]-47*6)/71),0)</f>
        <v>1</v>
      </c>
      <c r="R14">
        <f>SUM(Table12[[#This Row],[47-Passenger Buses]:[71-Passenger Buses]])</f>
        <v>7</v>
      </c>
      <c r="S14">
        <v>1</v>
      </c>
      <c r="T14">
        <f>Table12[[#This Row],[Total Buses &amp; Drivers]]-Table12[[#This Row],[No. of Buses on Prov Routes]]</f>
        <v>6</v>
      </c>
      <c r="U14">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4">
        <f>ROUNDUP(IF(Table12[[#This Row],[Students requiring Half-Day Route]]/47&gt;6, 6+((Table12[[#This Row],[Students requiring Half-Day Route]]-47)*6)/71, (Table12[[#This Row],[Students requiring Half-Day Route]])/47), 0)</f>
        <v>0</v>
      </c>
      <c r="W14">
        <f>IF(OR(Table12[[#This Row],[Prov K5 Program Type]]="Half-day",Table12[[#This Row],[Prov K4 Program Type]]="Half-day"),1,0)</f>
        <v>0</v>
      </c>
      <c r="X14">
        <f>Table12[[#This Row],[Total Half-Day Routes]]-Table12[[#This Row],[Half-Day Buses on Prov Routes]]</f>
        <v>0</v>
      </c>
      <c r="Y14" s="1">
        <v>35</v>
      </c>
      <c r="Z14" s="1">
        <v>35.75</v>
      </c>
      <c r="AA14" s="253">
        <f t="array" ref="AA14">INDEX(TableAFNSchools[Remoteness Index (adjusted for Transportation)],MATCH(Table12[[#This Row],[Band '#]],TableAFNSchools[Band No '#],0))</f>
        <v>1.1100000000000001</v>
      </c>
      <c r="AB14" s="139">
        <f>ROUND(((Table12[[#This Row],[On-Reserve Kms (CAIS)]]*$AB$6)+Table12[[#This Row],[Off-Reserve Kms Prov Schools]])*Table12[[#This Row],[No. of Buses on Prov Routes]]*$AB$7*2*$X$5,0)</f>
        <v>25110</v>
      </c>
      <c r="AC14" s="139">
        <f>ROUND((Table12[[#This Row],[On-Reserve Kms (CAIS)]]*$AB$6)*Table12[[#This Row],[No. of Buses on FN School Routes]]*$AB$7*2*$X$5,0)</f>
        <v>72162</v>
      </c>
      <c r="AD14" s="139">
        <f>ROUND(((Table12[[#This Row],[On-Reserve Kms (CAIS)]]*$AB$6)+Table12[[#This Row],[Off-Reserve Kms Prov Schools]])*Table12[[#This Row],[Half-Day Buses on Prov Routes]]*$AB$7*$X$5,0)</f>
        <v>0</v>
      </c>
      <c r="AE14" s="139">
        <f>ROUND((Table12[[#This Row],[On-Reserve Kms (CAIS)]]*$AB$6)*Table12[[#This Row],[Half-Day Buses on FN Routes]]*$AB$7*$X$5,0)</f>
        <v>0</v>
      </c>
      <c r="AF14" s="139">
        <f>ROUND((Table12[[#This Row],[Total Buses &amp; Drivers]]*$AB$8*6*$X$6)+(Table12[[#This Row],[Total Half-Day Routes]]*$AB$8*2.5*$X$5),0)</f>
        <v>168497</v>
      </c>
      <c r="AG14" s="139">
        <f t="shared" si="0"/>
        <v>9634</v>
      </c>
      <c r="AH14" s="321">
        <f>ROUND((SUM(Table12[[#This Row],[Off-Reserve Routes]:[Extra Curricular &amp; Field Trips]]))*Table12[[#This Row],[Remoteness Factor]],0)</f>
        <v>305697</v>
      </c>
      <c r="AI14" s="139">
        <f>ROUND(Table12[[#This Row],[Bus Driver Salary]]*PensionContrPercent,0)</f>
        <v>38502</v>
      </c>
      <c r="AJ14" s="139">
        <f>IF(Table12[[#This Row],[Total Buses &amp; Drivers]]=1,$AF$6*2,Table12[[#This Row],[47-Passenger Buses]]*$AF$6)</f>
        <v>75498</v>
      </c>
      <c r="AK14" s="139">
        <f>Table12[[#This Row],[71-Passenger Buses]]*$AF$7</f>
        <v>12283</v>
      </c>
      <c r="AL14" s="74">
        <f t="shared" si="1"/>
        <v>8504</v>
      </c>
      <c r="AM14" s="19">
        <f>ROUND(SUM($AL$5:$AL$7)+((Table12[[#This Row],[Total Buses &amp; Drivers]]+1)*$AL$8)+'R. Travel Expenses'!C10,0)</f>
        <v>2323</v>
      </c>
      <c r="AN14" s="320">
        <f>ROUND(SUM(Table12[[#This Row],[Remoteness Applied]:[Bus Driver Training Support]]),0)</f>
        <v>442807</v>
      </c>
      <c r="AP14" s="26">
        <f>Table12[[#This Row],[Prov K4 Headcount]]+Table12[[#This Row],[Prov K5 Headcount]]+Table12[[#This Row],[Transported Prov Headcount Gr.1-12 &lt;22]]</f>
        <v>8</v>
      </c>
      <c r="AQ14" s="26">
        <f>Table12[[#This Row],[FN Op K4 Headcount]]+Table12[[#This Row],[FN Op K5 Headcount]]+Table12[[#This Row],[FN Operated Gr. 1-12 &lt;22]]</f>
        <v>341</v>
      </c>
      <c r="AR14" s="19">
        <f>ROUND((AQ14/(AQ14+AP14))*Table12[[#This Row],[TOTAL TRANSPORTATION]],0)</f>
        <v>432657</v>
      </c>
      <c r="AS14" s="19">
        <f>ROUND((AP14/(AQ14+AP14))*Table12[[#This Row],[TOTAL TRANSPORTATION]],0)</f>
        <v>10150</v>
      </c>
    </row>
    <row r="15" spans="1:45">
      <c r="A15">
        <f>'D. 19-20 Enrolment by FN'!A11</f>
        <v>273</v>
      </c>
      <c r="B15" t="str">
        <f>'D. 19-20 Enrolment by FN'!B11</f>
        <v>Roseau River</v>
      </c>
      <c r="C15">
        <f>'D. 19-20 Enrolment by FN'!BQ11</f>
        <v>0</v>
      </c>
      <c r="D15" t="str">
        <f>'D. 19-20 Enrolment by FN'!BR11</f>
        <v>None</v>
      </c>
      <c r="E15">
        <f>'D. 19-20 Enrolment by FN'!BS11</f>
        <v>1</v>
      </c>
      <c r="F15" t="str">
        <f>'D. 19-20 Enrolment by FN'!BT11</f>
        <v>None</v>
      </c>
      <c r="G15">
        <f>'D. 19-20 Enrolment by FN'!BV11</f>
        <v>108</v>
      </c>
      <c r="H15">
        <f>'D. 19-20 Enrolment by FN'!AB11</f>
        <v>0</v>
      </c>
      <c r="I15" t="str">
        <f>'D. 19-20 Enrolment by FN'!AY11</f>
        <v>Full-Day</v>
      </c>
      <c r="J15">
        <f>'D. 19-20 Enrolment by FN'!AC11</f>
        <v>0</v>
      </c>
      <c r="K15" t="str">
        <f>'D. 19-20 Enrolment by FN'!AZ11</f>
        <v>Full-Day</v>
      </c>
      <c r="L15">
        <f>SUM('D. 19-20 Enrolment by FN'!AD11:AQ11)</f>
        <v>132</v>
      </c>
      <c r="M15">
        <f>Table12[[#This Row],[Prov K4 Headcount]]+Table12[[#This Row],[Prov K5 Headcount]]+Table12[[#This Row],[FN Op K4 Headcount]]+Table12[[#This Row],[FN Op K5 Headcount]]</f>
        <v>1</v>
      </c>
      <c r="N15">
        <f>Table12[[#This Row],[Transported Prov Headcount Gr.1-12 &lt;22]]+Table12[[#This Row],[FN Operated Gr. 1-12 &lt;22]]</f>
        <v>240</v>
      </c>
      <c r="O15">
        <f>SUM(Table12[[#This Row],[Total Kindergarten Enrolment]:[Total Gr. 1-12 Enrolment &lt;22]])</f>
        <v>241</v>
      </c>
      <c r="P15">
        <f>ROUNDUP(IF((Table12[[#This Row],[TOTAL Headcount Enrolment &lt;22]]/47)&gt;6,6,Table12[[#This Row],[TOTAL Headcount Enrolment &lt;22]]/47),0)</f>
        <v>6</v>
      </c>
      <c r="Q15">
        <f>ROUNDUP(IF((Table12[[#This Row],[TOTAL Headcount Enrolment &lt;22]]/47)&gt;6,(Table12[[#This Row],[TOTAL Headcount Enrolment &lt;22]]-47*6)/71),0)</f>
        <v>0</v>
      </c>
      <c r="R15">
        <f>SUM(Table12[[#This Row],[47-Passenger Buses]:[71-Passenger Buses]])</f>
        <v>6</v>
      </c>
      <c r="S15">
        <v>3</v>
      </c>
      <c r="T15">
        <f>Table12[[#This Row],[Total Buses &amp; Drivers]]-Table12[[#This Row],[No. of Buses on Prov Routes]]</f>
        <v>3</v>
      </c>
      <c r="U15">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5">
        <f>ROUNDUP(IF(Table12[[#This Row],[Students requiring Half-Day Route]]/47&gt;6, 6+((Table12[[#This Row],[Students requiring Half-Day Route]]-47)*6)/71, (Table12[[#This Row],[Students requiring Half-Day Route]])/47), 0)</f>
        <v>0</v>
      </c>
      <c r="W15">
        <f>IF(OR(Table12[[#This Row],[Prov K5 Program Type]]="Half-day",Table12[[#This Row],[Prov K4 Program Type]]="Half-day"),1,0)</f>
        <v>0</v>
      </c>
      <c r="X15">
        <f>Table12[[#This Row],[Total Half-Day Routes]]-Table12[[#This Row],[Half-Day Buses on Prov Routes]]</f>
        <v>0</v>
      </c>
      <c r="Y15" s="1">
        <v>25</v>
      </c>
      <c r="Z15" s="1">
        <v>27.41</v>
      </c>
      <c r="AA15" s="253">
        <f t="array" ref="AA15">INDEX(TableAFNSchools[Remoteness Index (adjusted for Transportation)],MATCH(Table12[[#This Row],[Band '#]],TableAFNSchools[Band No '#],0))</f>
        <v>1.0900000000000001</v>
      </c>
      <c r="AB15" s="139">
        <f>ROUND(((Table12[[#This Row],[On-Reserve Kms (CAIS)]]*$AB$6)+Table12[[#This Row],[Off-Reserve Kms Prov Schools]])*Table12[[#This Row],[No. of Buses on Prov Routes]]*$AB$7*2*$X$5,0)</f>
        <v>55699</v>
      </c>
      <c r="AC15" s="139">
        <f>ROUND((Table12[[#This Row],[On-Reserve Kms (CAIS)]]*$AB$6)*Table12[[#This Row],[No. of Buses on FN School Routes]]*$AB$7*2*$X$5,0)</f>
        <v>27664</v>
      </c>
      <c r="AD15" s="139">
        <f>ROUND(((Table12[[#This Row],[On-Reserve Kms (CAIS)]]*$AB$6)+Table12[[#This Row],[Off-Reserve Kms Prov Schools]])*Table12[[#This Row],[Half-Day Buses on Prov Routes]]*$AB$7*$X$5,0)</f>
        <v>0</v>
      </c>
      <c r="AE15" s="139">
        <f>ROUND((Table12[[#This Row],[On-Reserve Kms (CAIS)]]*$AB$6)*Table12[[#This Row],[Half-Day Buses on FN Routes]]*$AB$7*$X$5,0)</f>
        <v>0</v>
      </c>
      <c r="AF15" s="139">
        <f>ROUND((Table12[[#This Row],[Total Buses &amp; Drivers]]*$AB$8*6*$X$6)+(Table12[[#This Row],[Total Half-Day Routes]]*$AB$8*2.5*$X$5),0)</f>
        <v>144426</v>
      </c>
      <c r="AG15" s="139">
        <f t="shared" si="0"/>
        <v>9634</v>
      </c>
      <c r="AH15" s="321">
        <f>ROUND((SUM(Table12[[#This Row],[Off-Reserve Routes]:[Extra Curricular &amp; Field Trips]]))*Table12[[#This Row],[Remoteness Factor]],0)</f>
        <v>258791</v>
      </c>
      <c r="AI15" s="139">
        <f>ROUND(Table12[[#This Row],[Bus Driver Salary]]*PensionContrPercent,0)</f>
        <v>33001</v>
      </c>
      <c r="AJ15" s="139">
        <f>IF(Table12[[#This Row],[Total Buses &amp; Drivers]]=1,$AF$6*2,Table12[[#This Row],[47-Passenger Buses]]*$AF$6)</f>
        <v>75498</v>
      </c>
      <c r="AK15" s="139">
        <f>Table12[[#This Row],[71-Passenger Buses]]*$AF$7</f>
        <v>0</v>
      </c>
      <c r="AL15" s="74">
        <f t="shared" si="1"/>
        <v>8504</v>
      </c>
      <c r="AM15" s="19">
        <f>ROUND(SUM($AL$5:$AL$7)+((Table12[[#This Row],[Total Buses &amp; Drivers]]+1)*$AL$8)+'R. Travel Expenses'!C11,0)</f>
        <v>2170</v>
      </c>
      <c r="AN15" s="320">
        <f>ROUND(SUM(Table12[[#This Row],[Remoteness Applied]:[Bus Driver Training Support]]),0)</f>
        <v>377964</v>
      </c>
      <c r="AP15" s="26">
        <f>Table12[[#This Row],[Prov K4 Headcount]]+Table12[[#This Row],[Prov K5 Headcount]]+Table12[[#This Row],[Transported Prov Headcount Gr.1-12 &lt;22]]</f>
        <v>109</v>
      </c>
      <c r="AQ15" s="26">
        <f>Table12[[#This Row],[FN Op K4 Headcount]]+Table12[[#This Row],[FN Op K5 Headcount]]+Table12[[#This Row],[FN Operated Gr. 1-12 &lt;22]]</f>
        <v>132</v>
      </c>
      <c r="AR15" s="19">
        <f>ROUND((AQ15/(AQ15+AP15))*Table12[[#This Row],[TOTAL TRANSPORTATION]],0)</f>
        <v>207018</v>
      </c>
      <c r="AS15" s="19">
        <f>ROUND((AP15/(AQ15+AP15))*Table12[[#This Row],[TOTAL TRANSPORTATION]],0)</f>
        <v>170946</v>
      </c>
    </row>
    <row r="16" spans="1:45">
      <c r="A16">
        <f>'D. 19-20 Enrolment by FN'!A12</f>
        <v>275</v>
      </c>
      <c r="B16" t="str">
        <f>'D. 19-20 Enrolment by FN'!B12</f>
        <v>Lake St. Martin</v>
      </c>
      <c r="C16">
        <f>'D. 19-20 Enrolment by FN'!BQ12</f>
        <v>0</v>
      </c>
      <c r="D16" t="str">
        <f>'D. 19-20 Enrolment by FN'!BR12</f>
        <v>None</v>
      </c>
      <c r="E16">
        <f>'D. 19-20 Enrolment by FN'!BS12</f>
        <v>0</v>
      </c>
      <c r="F16" t="str">
        <f>'D. 19-20 Enrolment by FN'!BT12</f>
        <v>None</v>
      </c>
      <c r="G16">
        <f>'D. 19-20 Enrolment by FN'!BV12</f>
        <v>7</v>
      </c>
      <c r="H16">
        <f>'D. 19-20 Enrolment by FN'!AB12</f>
        <v>0</v>
      </c>
      <c r="I16" t="str">
        <f>'D. 19-20 Enrolment by FN'!AY12</f>
        <v>Full-Day</v>
      </c>
      <c r="J16">
        <f>'D. 19-20 Enrolment by FN'!AC12</f>
        <v>0</v>
      </c>
      <c r="K16" t="str">
        <f>'D. 19-20 Enrolment by FN'!AZ12</f>
        <v>Full-Day</v>
      </c>
      <c r="L16">
        <f>SUM('D. 19-20 Enrolment by FN'!AD12:AQ12)</f>
        <v>356</v>
      </c>
      <c r="M16">
        <f>Table12[[#This Row],[Prov K4 Headcount]]+Table12[[#This Row],[Prov K5 Headcount]]+Table12[[#This Row],[FN Op K4 Headcount]]+Table12[[#This Row],[FN Op K5 Headcount]]</f>
        <v>0</v>
      </c>
      <c r="N16">
        <f>Table12[[#This Row],[Transported Prov Headcount Gr.1-12 &lt;22]]+Table12[[#This Row],[FN Operated Gr. 1-12 &lt;22]]</f>
        <v>363</v>
      </c>
      <c r="O16">
        <f>SUM(Table12[[#This Row],[Total Kindergarten Enrolment]:[Total Gr. 1-12 Enrolment &lt;22]])</f>
        <v>363</v>
      </c>
      <c r="P16">
        <f>ROUNDUP(IF((Table12[[#This Row],[TOTAL Headcount Enrolment &lt;22]]/47)&gt;6,6,Table12[[#This Row],[TOTAL Headcount Enrolment &lt;22]]/47),0)</f>
        <v>6</v>
      </c>
      <c r="Q16">
        <f>ROUNDUP(IF((Table12[[#This Row],[TOTAL Headcount Enrolment &lt;22]]/47)&gt;6,(Table12[[#This Row],[TOTAL Headcount Enrolment &lt;22]]-47*6)/71),0)</f>
        <v>2</v>
      </c>
      <c r="R16">
        <f>SUM(Table12[[#This Row],[47-Passenger Buses]:[71-Passenger Buses]])</f>
        <v>8</v>
      </c>
      <c r="S16">
        <v>1</v>
      </c>
      <c r="T16">
        <f>Table12[[#This Row],[Total Buses &amp; Drivers]]-Table12[[#This Row],[No. of Buses on Prov Routes]]</f>
        <v>7</v>
      </c>
      <c r="U16">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6">
        <f>ROUNDUP(IF(Table12[[#This Row],[Students requiring Half-Day Route]]/47&gt;6, 6+((Table12[[#This Row],[Students requiring Half-Day Route]]-47)*6)/71, (Table12[[#This Row],[Students requiring Half-Day Route]])/47), 0)</f>
        <v>0</v>
      </c>
      <c r="W16">
        <f>IF(OR(Table12[[#This Row],[Prov K5 Program Type]]="Half-day",Table12[[#This Row],[Prov K4 Program Type]]="Half-day"),1,0)</f>
        <v>0</v>
      </c>
      <c r="X16">
        <f>Table12[[#This Row],[Total Half-Day Routes]]-Table12[[#This Row],[Half-Day Buses on Prov Routes]]</f>
        <v>0</v>
      </c>
      <c r="Y16" s="1">
        <v>0</v>
      </c>
      <c r="Z16" s="1">
        <v>23.2</v>
      </c>
      <c r="AA16" s="253">
        <f t="array" ref="AA16">INDEX(TableAFNSchools[Remoteness Index (adjusted for Transportation)],MATCH(Table12[[#This Row],[Band '#]],TableAFNSchools[Band No '#],0))</f>
        <v>1.1100000000000001</v>
      </c>
      <c r="AB16" s="139">
        <f>ROUND(((Table12[[#This Row],[On-Reserve Kms (CAIS)]]*$AB$6)+Table12[[#This Row],[Off-Reserve Kms Prov Schools]])*Table12[[#This Row],[No. of Buses on Prov Routes]]*$AB$7*2*$X$5,0)</f>
        <v>7805</v>
      </c>
      <c r="AC16" s="139">
        <f>ROUND((Table12[[#This Row],[On-Reserve Kms (CAIS)]]*$AB$6)*Table12[[#This Row],[No. of Buses on FN School Routes]]*$AB$7*2*$X$5,0)</f>
        <v>54634</v>
      </c>
      <c r="AD16" s="139">
        <f>ROUND(((Table12[[#This Row],[On-Reserve Kms (CAIS)]]*$AB$6)+Table12[[#This Row],[Off-Reserve Kms Prov Schools]])*Table12[[#This Row],[Half-Day Buses on Prov Routes]]*$AB$7*$X$5,0)</f>
        <v>0</v>
      </c>
      <c r="AE16" s="139">
        <f>ROUND((Table12[[#This Row],[On-Reserve Kms (CAIS)]]*$AB$6)*Table12[[#This Row],[Half-Day Buses on FN Routes]]*$AB$7*$X$5,0)</f>
        <v>0</v>
      </c>
      <c r="AF16" s="139">
        <f>ROUND((Table12[[#This Row],[Total Buses &amp; Drivers]]*$AB$8*6*$X$6)+(Table12[[#This Row],[Total Half-Day Routes]]*$AB$8*2.5*$X$5),0)</f>
        <v>192568</v>
      </c>
      <c r="AG16" s="139">
        <f t="shared" si="0"/>
        <v>9634</v>
      </c>
      <c r="AH16" s="321">
        <f>ROUND((SUM(Table12[[#This Row],[Off-Reserve Routes]:[Extra Curricular &amp; Field Trips]]))*Table12[[#This Row],[Remoteness Factor]],0)</f>
        <v>293752</v>
      </c>
      <c r="AI16" s="139">
        <f>ROUND(Table12[[#This Row],[Bus Driver Salary]]*PensionContrPercent,0)</f>
        <v>44002</v>
      </c>
      <c r="AJ16" s="139">
        <f>IF(Table12[[#This Row],[Total Buses &amp; Drivers]]=1,$AF$6*2,Table12[[#This Row],[47-Passenger Buses]]*$AF$6)</f>
        <v>75498</v>
      </c>
      <c r="AK16" s="139">
        <f>Table12[[#This Row],[71-Passenger Buses]]*$AF$7</f>
        <v>24566</v>
      </c>
      <c r="AL16" s="74">
        <f t="shared" si="1"/>
        <v>8504</v>
      </c>
      <c r="AM16" s="19">
        <f>ROUND(SUM($AL$5:$AL$7)+((Table12[[#This Row],[Total Buses &amp; Drivers]]+1)*$AL$8)+'R. Travel Expenses'!C12,0)</f>
        <v>2394</v>
      </c>
      <c r="AN16" s="320">
        <f>ROUND(SUM(Table12[[#This Row],[Remoteness Applied]:[Bus Driver Training Support]]),0)</f>
        <v>448716</v>
      </c>
      <c r="AP16" s="26">
        <f>Table12[[#This Row],[Prov K4 Headcount]]+Table12[[#This Row],[Prov K5 Headcount]]+Table12[[#This Row],[Transported Prov Headcount Gr.1-12 &lt;22]]</f>
        <v>7</v>
      </c>
      <c r="AQ16" s="26">
        <f>Table12[[#This Row],[FN Op K4 Headcount]]+Table12[[#This Row],[FN Op K5 Headcount]]+Table12[[#This Row],[FN Operated Gr. 1-12 &lt;22]]</f>
        <v>356</v>
      </c>
      <c r="AR16" s="19">
        <f>ROUND((AQ16/(AQ16+AP16))*Table12[[#This Row],[TOTAL TRANSPORTATION]],0)</f>
        <v>440063</v>
      </c>
      <c r="AS16" s="19">
        <f>ROUND((AP16/(AQ16+AP16))*Table12[[#This Row],[TOTAL TRANSPORTATION]],0)</f>
        <v>8653</v>
      </c>
    </row>
    <row r="17" spans="1:45">
      <c r="A17">
        <f>'D. 19-20 Enrolment by FN'!A13</f>
        <v>286</v>
      </c>
      <c r="B17" t="str">
        <f>'D. 19-20 Enrolment by FN'!B13</f>
        <v>Keeseekoowenin</v>
      </c>
      <c r="C17">
        <f>'D. 19-20 Enrolment by FN'!BQ13</f>
        <v>0</v>
      </c>
      <c r="D17" t="str">
        <f>'D. 19-20 Enrolment by FN'!BR13</f>
        <v>None</v>
      </c>
      <c r="E17">
        <f>'D. 19-20 Enrolment by FN'!BS13</f>
        <v>0</v>
      </c>
      <c r="F17" t="str">
        <f>'D. 19-20 Enrolment by FN'!BT13</f>
        <v>None</v>
      </c>
      <c r="G17">
        <f>'D. 19-20 Enrolment by FN'!BV13</f>
        <v>37</v>
      </c>
      <c r="H17">
        <f>'D. 19-20 Enrolment by FN'!AB13</f>
        <v>0</v>
      </c>
      <c r="I17" t="str">
        <f>'D. 19-20 Enrolment by FN'!AY13</f>
        <v>Full-Day</v>
      </c>
      <c r="J17">
        <f>'D. 19-20 Enrolment by FN'!AC13</f>
        <v>0</v>
      </c>
      <c r="K17" t="str">
        <f>'D. 19-20 Enrolment by FN'!AZ13</f>
        <v>Full-Day</v>
      </c>
      <c r="L17">
        <f>SUM('D. 19-20 Enrolment by FN'!AD13:AQ13)</f>
        <v>69</v>
      </c>
      <c r="M17">
        <f>Table12[[#This Row],[Prov K4 Headcount]]+Table12[[#This Row],[Prov K5 Headcount]]+Table12[[#This Row],[FN Op K4 Headcount]]+Table12[[#This Row],[FN Op K5 Headcount]]</f>
        <v>0</v>
      </c>
      <c r="N17">
        <f>Table12[[#This Row],[Transported Prov Headcount Gr.1-12 &lt;22]]+Table12[[#This Row],[FN Operated Gr. 1-12 &lt;22]]</f>
        <v>106</v>
      </c>
      <c r="O17">
        <f>SUM(Table12[[#This Row],[Total Kindergarten Enrolment]:[Total Gr. 1-12 Enrolment &lt;22]])</f>
        <v>106</v>
      </c>
      <c r="P17">
        <f>ROUNDUP(IF((Table12[[#This Row],[TOTAL Headcount Enrolment &lt;22]]/47)&gt;6,6,Table12[[#This Row],[TOTAL Headcount Enrolment &lt;22]]/47),0)</f>
        <v>3</v>
      </c>
      <c r="Q17">
        <f>ROUNDUP(IF((Table12[[#This Row],[TOTAL Headcount Enrolment &lt;22]]/47)&gt;6,(Table12[[#This Row],[TOTAL Headcount Enrolment &lt;22]]-47*6)/71),0)</f>
        <v>0</v>
      </c>
      <c r="R17">
        <f>SUM(Table12[[#This Row],[47-Passenger Buses]:[71-Passenger Buses]])</f>
        <v>3</v>
      </c>
      <c r="S17">
        <v>1</v>
      </c>
      <c r="T17">
        <f>Table12[[#This Row],[Total Buses &amp; Drivers]]-Table12[[#This Row],[No. of Buses on Prov Routes]]</f>
        <v>2</v>
      </c>
      <c r="U17">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7">
        <f>ROUNDUP(IF(Table12[[#This Row],[Students requiring Half-Day Route]]/47&gt;6, 6+((Table12[[#This Row],[Students requiring Half-Day Route]]-47)*6)/71, (Table12[[#This Row],[Students requiring Half-Day Route]])/47), 0)</f>
        <v>0</v>
      </c>
      <c r="W17">
        <f>IF(OR(Table12[[#This Row],[Prov K5 Program Type]]="Half-day",Table12[[#This Row],[Prov K4 Program Type]]="Half-day"),1,0)</f>
        <v>0</v>
      </c>
      <c r="X17">
        <f>Table12[[#This Row],[Total Half-Day Routes]]-Table12[[#This Row],[Half-Day Buses on Prov Routes]]</f>
        <v>0</v>
      </c>
      <c r="Y17" s="1">
        <v>97</v>
      </c>
      <c r="Z17" s="1">
        <v>23.4</v>
      </c>
      <c r="AA17" s="253">
        <f t="array" ref="AA17">INDEX(TableAFNSchools[Remoteness Index (adjusted for Transportation)],MATCH(Table12[[#This Row],[Band '#]],TableAFNSchools[Band No '#],0))</f>
        <v>1.1100000000000001</v>
      </c>
      <c r="AB17" s="139">
        <f>ROUND(((Table12[[#This Row],[On-Reserve Kms (CAIS)]]*$AB$6)+Table12[[#This Row],[Off-Reserve Kms Prov Schools]])*Table12[[#This Row],[No. of Buses on Prov Routes]]*$AB$7*2*$X$5,0)</f>
        <v>44131</v>
      </c>
      <c r="AC17" s="139">
        <f>ROUND((Table12[[#This Row],[On-Reserve Kms (CAIS)]]*$AB$6)*Table12[[#This Row],[No. of Buses on FN School Routes]]*$AB$7*2*$X$5,0)</f>
        <v>15744</v>
      </c>
      <c r="AD17" s="139">
        <f>ROUND(((Table12[[#This Row],[On-Reserve Kms (CAIS)]]*$AB$6)+Table12[[#This Row],[Off-Reserve Kms Prov Schools]])*Table12[[#This Row],[Half-Day Buses on Prov Routes]]*$AB$7*$X$5,0)</f>
        <v>0</v>
      </c>
      <c r="AE17" s="139">
        <f>ROUND((Table12[[#This Row],[On-Reserve Kms (CAIS)]]*$AB$6)*Table12[[#This Row],[Half-Day Buses on FN Routes]]*$AB$7*$X$5,0)</f>
        <v>0</v>
      </c>
      <c r="AF17" s="139">
        <f>ROUND((Table12[[#This Row],[Total Buses &amp; Drivers]]*$AB$8*6*$X$6)+(Table12[[#This Row],[Total Half-Day Routes]]*$AB$8*2.5*$X$5),0)</f>
        <v>72213</v>
      </c>
      <c r="AG17" s="139">
        <f t="shared" si="0"/>
        <v>9634</v>
      </c>
      <c r="AH17" s="321">
        <f>ROUND((SUM(Table12[[#This Row],[Off-Reserve Routes]:[Extra Curricular &amp; Field Trips]]))*Table12[[#This Row],[Remoteness Factor]],0)</f>
        <v>157311</v>
      </c>
      <c r="AI17" s="139">
        <f>ROUND(Table12[[#This Row],[Bus Driver Salary]]*PensionContrPercent,0)</f>
        <v>16501</v>
      </c>
      <c r="AJ17" s="139">
        <f>IF(Table12[[#This Row],[Total Buses &amp; Drivers]]=1,$AF$6*2,Table12[[#This Row],[47-Passenger Buses]]*$AF$6)</f>
        <v>37749</v>
      </c>
      <c r="AK17" s="139">
        <f>Table12[[#This Row],[71-Passenger Buses]]*$AF$7</f>
        <v>0</v>
      </c>
      <c r="AL17" s="74">
        <f t="shared" si="1"/>
        <v>8504</v>
      </c>
      <c r="AM17" s="19">
        <f>ROUND(SUM($AL$5:$AL$7)+((Table12[[#This Row],[Total Buses &amp; Drivers]]+1)*$AL$8)+'R. Travel Expenses'!C13,0)</f>
        <v>2296</v>
      </c>
      <c r="AN17" s="320">
        <f>ROUND(SUM(Table12[[#This Row],[Remoteness Applied]:[Bus Driver Training Support]]),0)</f>
        <v>222361</v>
      </c>
      <c r="AP17" s="26">
        <f>Table12[[#This Row],[Prov K4 Headcount]]+Table12[[#This Row],[Prov K5 Headcount]]+Table12[[#This Row],[Transported Prov Headcount Gr.1-12 &lt;22]]</f>
        <v>37</v>
      </c>
      <c r="AQ17" s="26">
        <f>Table12[[#This Row],[FN Op K4 Headcount]]+Table12[[#This Row],[FN Op K5 Headcount]]+Table12[[#This Row],[FN Operated Gr. 1-12 &lt;22]]</f>
        <v>69</v>
      </c>
      <c r="AR17" s="19">
        <f>ROUND((AQ17/(AQ17+AP17))*Table12[[#This Row],[TOTAL TRANSPORTATION]],0)</f>
        <v>144744</v>
      </c>
      <c r="AS17" s="19">
        <f>ROUND((AP17/(AQ17+AP17))*Table12[[#This Row],[TOTAL TRANSPORTATION]],0)</f>
        <v>77617</v>
      </c>
    </row>
    <row r="18" spans="1:45">
      <c r="A18">
        <f>'D. 19-20 Enrolment by FN'!A14</f>
        <v>288</v>
      </c>
      <c r="B18" t="str">
        <f>'D. 19-20 Enrolment by FN'!B14</f>
        <v>Dakota Plains</v>
      </c>
      <c r="C18">
        <f>'D. 19-20 Enrolment by FN'!BQ14</f>
        <v>0</v>
      </c>
      <c r="D18" t="str">
        <f>'D. 19-20 Enrolment by FN'!BR14</f>
        <v>None</v>
      </c>
      <c r="E18">
        <f>'D. 19-20 Enrolment by FN'!BS14</f>
        <v>0</v>
      </c>
      <c r="F18" t="str">
        <f>'D. 19-20 Enrolment by FN'!BT14</f>
        <v>None</v>
      </c>
      <c r="G18">
        <f>'D. 19-20 Enrolment by FN'!BV14</f>
        <v>13</v>
      </c>
      <c r="H18">
        <f>'D. 19-20 Enrolment by FN'!AB14</f>
        <v>0</v>
      </c>
      <c r="I18" t="str">
        <f>'D. 19-20 Enrolment by FN'!AY14</f>
        <v>Full-Day</v>
      </c>
      <c r="J18">
        <f>'D. 19-20 Enrolment by FN'!AC14</f>
        <v>0</v>
      </c>
      <c r="K18" t="str">
        <f>'D. 19-20 Enrolment by FN'!AZ14</f>
        <v>Full-Day</v>
      </c>
      <c r="L18">
        <f>SUM('D. 19-20 Enrolment by FN'!AD14:AQ14)</f>
        <v>75</v>
      </c>
      <c r="M18">
        <f>Table12[[#This Row],[Prov K4 Headcount]]+Table12[[#This Row],[Prov K5 Headcount]]+Table12[[#This Row],[FN Op K4 Headcount]]+Table12[[#This Row],[FN Op K5 Headcount]]</f>
        <v>0</v>
      </c>
      <c r="N18">
        <f>Table12[[#This Row],[Transported Prov Headcount Gr.1-12 &lt;22]]+Table12[[#This Row],[FN Operated Gr. 1-12 &lt;22]]</f>
        <v>88</v>
      </c>
      <c r="O18">
        <f>SUM(Table12[[#This Row],[Total Kindergarten Enrolment]:[Total Gr. 1-12 Enrolment &lt;22]])</f>
        <v>88</v>
      </c>
      <c r="P18">
        <f>ROUNDUP(IF((Table12[[#This Row],[TOTAL Headcount Enrolment &lt;22]]/47)&gt;6,6,Table12[[#This Row],[TOTAL Headcount Enrolment &lt;22]]/47),0)</f>
        <v>2</v>
      </c>
      <c r="Q18">
        <f>ROUNDUP(IF((Table12[[#This Row],[TOTAL Headcount Enrolment &lt;22]]/47)&gt;6,(Table12[[#This Row],[TOTAL Headcount Enrolment &lt;22]]-47*6)/71),0)</f>
        <v>0</v>
      </c>
      <c r="R18">
        <f>SUM(Table12[[#This Row],[47-Passenger Buses]:[71-Passenger Buses]])</f>
        <v>2</v>
      </c>
      <c r="S18">
        <v>1</v>
      </c>
      <c r="T18">
        <f>Table12[[#This Row],[Total Buses &amp; Drivers]]-Table12[[#This Row],[No. of Buses on Prov Routes]]</f>
        <v>1</v>
      </c>
      <c r="U18">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18">
        <f>ROUNDUP(IF(Table12[[#This Row],[Students requiring Half-Day Route]]/47&gt;6, 6+((Table12[[#This Row],[Students requiring Half-Day Route]]-47)*6)/71, (Table12[[#This Row],[Students requiring Half-Day Route]])/47), 0)</f>
        <v>0</v>
      </c>
      <c r="W18">
        <f>IF(OR(Table12[[#This Row],[Prov K5 Program Type]]="Half-day",Table12[[#This Row],[Prov K4 Program Type]]="Half-day"),1,0)</f>
        <v>0</v>
      </c>
      <c r="X18">
        <f>Table12[[#This Row],[Total Half-Day Routes]]-Table12[[#This Row],[Half-Day Buses on Prov Routes]]</f>
        <v>0</v>
      </c>
      <c r="Y18" s="1">
        <v>57</v>
      </c>
      <c r="Z18" s="1">
        <v>17</v>
      </c>
      <c r="AA18" s="253">
        <f t="array" ref="AA18">INDEX(TableAFNSchools[Remoteness Index (adjusted for Transportation)],MATCH(Table12[[#This Row],[Band '#]],TableAFNSchools[Band No '#],0))</f>
        <v>1.06</v>
      </c>
      <c r="AB18" s="139">
        <f>ROUND(((Table12[[#This Row],[On-Reserve Kms (CAIS)]]*$AB$6)+Table12[[#This Row],[Off-Reserve Kms Prov Schools]])*Table12[[#This Row],[No. of Buses on Prov Routes]]*$AB$7*2*$X$5,0)</f>
        <v>27026</v>
      </c>
      <c r="AC18" s="139">
        <f>ROUND((Table12[[#This Row],[On-Reserve Kms (CAIS)]]*$AB$6)*Table12[[#This Row],[No. of Buses on FN School Routes]]*$AB$7*2*$X$5,0)</f>
        <v>5719</v>
      </c>
      <c r="AD18" s="139">
        <f>ROUND(((Table12[[#This Row],[On-Reserve Kms (CAIS)]]*$AB$6)+Table12[[#This Row],[Off-Reserve Kms Prov Schools]])*Table12[[#This Row],[Half-Day Buses on Prov Routes]]*$AB$7*$X$5,0)</f>
        <v>0</v>
      </c>
      <c r="AE18" s="139">
        <f>ROUND((Table12[[#This Row],[On-Reserve Kms (CAIS)]]*$AB$6)*Table12[[#This Row],[Half-Day Buses on FN Routes]]*$AB$7*$X$5,0)</f>
        <v>0</v>
      </c>
      <c r="AF18" s="139">
        <f>ROUND((Table12[[#This Row],[Total Buses &amp; Drivers]]*$AB$8*6*$X$6)+(Table12[[#This Row],[Total Half-Day Routes]]*$AB$8*2.5*$X$5),0)</f>
        <v>48142</v>
      </c>
      <c r="AG18" s="139">
        <f t="shared" si="0"/>
        <v>9634</v>
      </c>
      <c r="AH18" s="321">
        <f>ROUND((SUM(Table12[[#This Row],[Off-Reserve Routes]:[Extra Curricular &amp; Field Trips]]))*Table12[[#This Row],[Remoteness Factor]],0)</f>
        <v>95952</v>
      </c>
      <c r="AI18" s="139">
        <f>ROUND(Table12[[#This Row],[Bus Driver Salary]]*PensionContrPercent,0)</f>
        <v>11000</v>
      </c>
      <c r="AJ18" s="139">
        <f>IF(Table12[[#This Row],[Total Buses &amp; Drivers]]=1,$AF$6*2,Table12[[#This Row],[47-Passenger Buses]]*$AF$6)</f>
        <v>25166</v>
      </c>
      <c r="AK18" s="139">
        <f>Table12[[#This Row],[71-Passenger Buses]]*$AF$7</f>
        <v>0</v>
      </c>
      <c r="AL18" s="74">
        <f t="shared" si="1"/>
        <v>8504</v>
      </c>
      <c r="AM18" s="19">
        <f>ROUND(SUM($AL$5:$AL$7)+((Table12[[#This Row],[Total Buses &amp; Drivers]]+1)*$AL$8)+'R. Travel Expenses'!C14,0)</f>
        <v>2127</v>
      </c>
      <c r="AN18" s="320">
        <f>ROUND(SUM(Table12[[#This Row],[Remoteness Applied]:[Bus Driver Training Support]]),0)</f>
        <v>142749</v>
      </c>
      <c r="AP18" s="26">
        <f>Table12[[#This Row],[Prov K4 Headcount]]+Table12[[#This Row],[Prov K5 Headcount]]+Table12[[#This Row],[Transported Prov Headcount Gr.1-12 &lt;22]]</f>
        <v>13</v>
      </c>
      <c r="AQ18" s="26">
        <f>Table12[[#This Row],[FN Op K4 Headcount]]+Table12[[#This Row],[FN Op K5 Headcount]]+Table12[[#This Row],[FN Operated Gr. 1-12 &lt;22]]</f>
        <v>75</v>
      </c>
      <c r="AR18" s="19">
        <f>ROUND((AQ18/(AQ18+AP18))*Table12[[#This Row],[TOTAL TRANSPORTATION]],0)</f>
        <v>121661</v>
      </c>
      <c r="AS18" s="19">
        <f>ROUND((AP18/(AQ18+AP18))*Table12[[#This Row],[TOTAL TRANSPORTATION]],0)</f>
        <v>21088</v>
      </c>
    </row>
    <row r="19" spans="1:45">
      <c r="A19">
        <f>'D. 19-20 Enrolment by FN'!A15</f>
        <v>295</v>
      </c>
      <c r="B19" t="str">
        <f>'D. 19-20 Enrolment by FN'!B15</f>
        <v>Dakota Tipi</v>
      </c>
      <c r="C19">
        <f>'D. 19-20 Enrolment by FN'!BQ15</f>
        <v>0</v>
      </c>
      <c r="D19" t="str">
        <f>'D. 19-20 Enrolment by FN'!BR15</f>
        <v>None</v>
      </c>
      <c r="E19">
        <f>'D. 19-20 Enrolment by FN'!BS15</f>
        <v>4</v>
      </c>
      <c r="F19" t="str">
        <f>'D. 19-20 Enrolment by FN'!BT15</f>
        <v>Half-day</v>
      </c>
      <c r="G19">
        <f>'D. 19-20 Enrolment by FN'!BV15</f>
        <v>19</v>
      </c>
      <c r="H19">
        <f>'D. 19-20 Enrolment by FN'!AB15</f>
        <v>0</v>
      </c>
      <c r="I19" t="str">
        <f>'D. 19-20 Enrolment by FN'!AY15</f>
        <v>None</v>
      </c>
      <c r="J19">
        <f>'D. 19-20 Enrolment by FN'!AC15</f>
        <v>0</v>
      </c>
      <c r="K19" t="str">
        <f>'D. 19-20 Enrolment by FN'!AZ15</f>
        <v>None</v>
      </c>
      <c r="L19">
        <f>SUM('D. 19-20 Enrolment by FN'!AD15:AQ15)</f>
        <v>33</v>
      </c>
      <c r="M19">
        <f>Table12[[#This Row],[Prov K4 Headcount]]+Table12[[#This Row],[Prov K5 Headcount]]+Table12[[#This Row],[FN Op K4 Headcount]]+Table12[[#This Row],[FN Op K5 Headcount]]</f>
        <v>4</v>
      </c>
      <c r="N19">
        <f>Table12[[#This Row],[Transported Prov Headcount Gr.1-12 &lt;22]]+Table12[[#This Row],[FN Operated Gr. 1-12 &lt;22]]</f>
        <v>52</v>
      </c>
      <c r="O19">
        <f>SUM(Table12[[#This Row],[Total Kindergarten Enrolment]:[Total Gr. 1-12 Enrolment &lt;22]])</f>
        <v>56</v>
      </c>
      <c r="P19">
        <f>ROUNDUP(IF((Table12[[#This Row],[TOTAL Headcount Enrolment &lt;22]]/47)&gt;6,6,Table12[[#This Row],[TOTAL Headcount Enrolment &lt;22]]/47),0)</f>
        <v>2</v>
      </c>
      <c r="Q19">
        <f>ROUNDUP(IF((Table12[[#This Row],[TOTAL Headcount Enrolment &lt;22]]/47)&gt;6,(Table12[[#This Row],[TOTAL Headcount Enrolment &lt;22]]-47*6)/71),0)</f>
        <v>0</v>
      </c>
      <c r="R19">
        <f>SUM(Table12[[#This Row],[47-Passenger Buses]:[71-Passenger Buses]])</f>
        <v>2</v>
      </c>
      <c r="S19">
        <v>1</v>
      </c>
      <c r="T19">
        <f>Table12[[#This Row],[Total Buses &amp; Drivers]]-Table12[[#This Row],[No. of Buses on Prov Routes]]</f>
        <v>1</v>
      </c>
      <c r="U19">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4</v>
      </c>
      <c r="V19">
        <f>ROUNDUP(IF(Table12[[#This Row],[Students requiring Half-Day Route]]/47&gt;6, 6+((Table12[[#This Row],[Students requiring Half-Day Route]]-47)*6)/71, (Table12[[#This Row],[Students requiring Half-Day Route]])/47), 0)</f>
        <v>1</v>
      </c>
      <c r="W19">
        <f>IF(OR(Table12[[#This Row],[Prov K5 Program Type]]="Half-day",Table12[[#This Row],[Prov K4 Program Type]]="Half-day"),1,0)</f>
        <v>1</v>
      </c>
      <c r="X19">
        <f>Table12[[#This Row],[Total Half-Day Routes]]-Table12[[#This Row],[Half-Day Buses on Prov Routes]]</f>
        <v>0</v>
      </c>
      <c r="Y19" s="1">
        <v>12.4</v>
      </c>
      <c r="Z19" s="1">
        <v>2.9</v>
      </c>
      <c r="AA19" s="253">
        <v>1.06</v>
      </c>
      <c r="AB19" s="139">
        <f>ROUND(((Table12[[#This Row],[On-Reserve Kms (CAIS)]]*$AB$6)+Table12[[#This Row],[Off-Reserve Kms Prov Schools]])*Table12[[#This Row],[No. of Buses on Prov Routes]]*$AB$7*2*$X$5,0)</f>
        <v>5611</v>
      </c>
      <c r="AC19" s="139">
        <f>ROUND((Table12[[#This Row],[On-Reserve Kms (CAIS)]]*$AB$6)*Table12[[#This Row],[No. of Buses on FN School Routes]]*$AB$7*2*$X$5,0)</f>
        <v>976</v>
      </c>
      <c r="AD19" s="139">
        <f>ROUND(((Table12[[#This Row],[On-Reserve Kms (CAIS)]]*$AB$6)+Table12[[#This Row],[Off-Reserve Kms Prov Schools]])*Table12[[#This Row],[Half-Day Buses on Prov Routes]]*$AB$7*$X$5,0)</f>
        <v>2805</v>
      </c>
      <c r="AE19" s="139">
        <f>ROUND((Table12[[#This Row],[On-Reserve Kms (CAIS)]]*$AB$6)*Table12[[#This Row],[Half-Day Buses on FN Routes]]*$AB$7*$X$5,0)</f>
        <v>0</v>
      </c>
      <c r="AF19" s="139">
        <f>ROUND((Table12[[#This Row],[Total Buses &amp; Drivers]]*$AB$8*6*$X$6)+(Table12[[#This Row],[Total Half-Day Routes]]*$AB$8*2.5*$X$5),0)</f>
        <v>57920</v>
      </c>
      <c r="AG19" s="139">
        <f>ROUND($AF$5*$AB$7,0)</f>
        <v>9634</v>
      </c>
      <c r="AH19" s="321">
        <f>ROUND((SUM(Table12[[#This Row],[Off-Reserve Routes]:[Extra Curricular &amp; Field Trips]]))*Table12[[#This Row],[Remoteness Factor]],0)</f>
        <v>81563</v>
      </c>
      <c r="AI19" s="139">
        <f>ROUND(Table12[[#This Row],[Bus Driver Salary]]*PensionContrPercent,0)</f>
        <v>13235</v>
      </c>
      <c r="AJ19" s="139">
        <f>IF(Table12[[#This Row],[Total Buses &amp; Drivers]]=1,$AF$6*2,Table12[[#This Row],[47-Passenger Buses]]*$AF$6)</f>
        <v>25166</v>
      </c>
      <c r="AK19" s="139">
        <f>Table12[[#This Row],[71-Passenger Buses]]*$AF$7</f>
        <v>0</v>
      </c>
      <c r="AL19" s="74">
        <f>$AF$8</f>
        <v>8504</v>
      </c>
      <c r="AM19" s="19">
        <f>ROUND(SUM($AL$5:$AL$7)+((Table12[[#This Row],[Total Buses &amp; Drivers]]+1)*$AL$8)+'R. Travel Expenses'!C15,0)</f>
        <v>2127</v>
      </c>
      <c r="AN19" s="320">
        <f>ROUND(SUM(Table12[[#This Row],[Remoteness Applied]:[Bus Driver Training Support]]),0)</f>
        <v>130595</v>
      </c>
      <c r="AP19" s="26">
        <f>Table12[[#This Row],[Prov K4 Headcount]]+Table12[[#This Row],[Prov K5 Headcount]]+Table12[[#This Row],[Transported Prov Headcount Gr.1-12 &lt;22]]</f>
        <v>23</v>
      </c>
      <c r="AQ19" s="26">
        <f>Table12[[#This Row],[FN Op K4 Headcount]]+Table12[[#This Row],[FN Op K5 Headcount]]+Table12[[#This Row],[FN Operated Gr. 1-12 &lt;22]]</f>
        <v>33</v>
      </c>
      <c r="AR19" s="19">
        <f>ROUND((AQ19/(AQ19+AP19))*Table12[[#This Row],[TOTAL TRANSPORTATION]],0)</f>
        <v>76958</v>
      </c>
      <c r="AS19" s="19">
        <f>ROUND((AP19/(AQ19+AP19))*Table12[[#This Row],[TOTAL TRANSPORTATION]],0)</f>
        <v>53637</v>
      </c>
    </row>
    <row r="20" spans="1:45">
      <c r="A20">
        <f>'D. 19-20 Enrolment by FN'!A16</f>
        <v>304</v>
      </c>
      <c r="B20" t="str">
        <f>'D. 19-20 Enrolment by FN'!B16</f>
        <v>York Factory</v>
      </c>
      <c r="C20">
        <f>'D. 19-20 Enrolment by FN'!BQ16</f>
        <v>0</v>
      </c>
      <c r="D20" t="str">
        <f>'D. 19-20 Enrolment by FN'!BR16</f>
        <v>None</v>
      </c>
      <c r="E20">
        <f>'D. 19-20 Enrolment by FN'!BS16</f>
        <v>0</v>
      </c>
      <c r="F20" t="str">
        <f>'D. 19-20 Enrolment by FN'!BT16</f>
        <v>None</v>
      </c>
      <c r="G20">
        <f>'D. 19-20 Enrolment by FN'!BV16</f>
        <v>0</v>
      </c>
      <c r="H20">
        <f>'D. 19-20 Enrolment by FN'!AB16</f>
        <v>0</v>
      </c>
      <c r="I20" t="str">
        <f>'D. 19-20 Enrolment by FN'!AY16</f>
        <v>Full-Day</v>
      </c>
      <c r="J20">
        <f>'D. 19-20 Enrolment by FN'!AC16</f>
        <v>0</v>
      </c>
      <c r="K20" t="str">
        <f>'D. 19-20 Enrolment by FN'!AZ16</f>
        <v>Full-Day</v>
      </c>
      <c r="L20">
        <f>SUM('D. 19-20 Enrolment by FN'!AD16:AQ16)</f>
        <v>117</v>
      </c>
      <c r="M20">
        <f>Table12[[#This Row],[Prov K4 Headcount]]+Table12[[#This Row],[Prov K5 Headcount]]+Table12[[#This Row],[FN Op K4 Headcount]]+Table12[[#This Row],[FN Op K5 Headcount]]</f>
        <v>0</v>
      </c>
      <c r="N20">
        <f>Table12[[#This Row],[Transported Prov Headcount Gr.1-12 &lt;22]]+Table12[[#This Row],[FN Operated Gr. 1-12 &lt;22]]</f>
        <v>117</v>
      </c>
      <c r="O20">
        <f>SUM(Table12[[#This Row],[Total Kindergarten Enrolment]:[Total Gr. 1-12 Enrolment &lt;22]])</f>
        <v>117</v>
      </c>
      <c r="P20">
        <f>ROUNDUP(IF((Table12[[#This Row],[TOTAL Headcount Enrolment &lt;22]]/47)&gt;6,6,Table12[[#This Row],[TOTAL Headcount Enrolment &lt;22]]/47),0)</f>
        <v>3</v>
      </c>
      <c r="Q20">
        <f>ROUNDUP(IF((Table12[[#This Row],[TOTAL Headcount Enrolment &lt;22]]/47)&gt;6,(Table12[[#This Row],[TOTAL Headcount Enrolment &lt;22]]-47*6)/71),0)</f>
        <v>0</v>
      </c>
      <c r="R20">
        <f>SUM(Table12[[#This Row],[47-Passenger Buses]:[71-Passenger Buses]])</f>
        <v>3</v>
      </c>
      <c r="S20">
        <v>1</v>
      </c>
      <c r="T20">
        <f>Table12[[#This Row],[Total Buses &amp; Drivers]]-Table12[[#This Row],[No. of Buses on Prov Routes]]</f>
        <v>2</v>
      </c>
      <c r="U20">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20">
        <f>ROUNDUP(IF(Table12[[#This Row],[Students requiring Half-Day Route]]/47&gt;6, 6+((Table12[[#This Row],[Students requiring Half-Day Route]]-47)*6)/71, (Table12[[#This Row],[Students requiring Half-Day Route]])/47), 0)</f>
        <v>0</v>
      </c>
      <c r="W20">
        <f>IF(OR(Table12[[#This Row],[Prov K5 Program Type]]="Half-day",Table12[[#This Row],[Prov K4 Program Type]]="Half-day"),1,0)</f>
        <v>0</v>
      </c>
      <c r="X20">
        <f>Table12[[#This Row],[Total Half-Day Routes]]-Table12[[#This Row],[Half-Day Buses on Prov Routes]]</f>
        <v>0</v>
      </c>
      <c r="Y20" s="1">
        <v>0</v>
      </c>
      <c r="Z20" s="1">
        <v>11.5</v>
      </c>
      <c r="AA20" s="253">
        <f t="array" ref="AA20">INDEX(TableAFNSchools[Remoteness Index (adjusted for Transportation)],MATCH(Table12[[#This Row],[Band '#]],TableAFNSchools[Band No '#],0))</f>
        <v>1.3</v>
      </c>
      <c r="AB20" s="139">
        <f>ROUND(((Table12[[#This Row],[On-Reserve Kms (CAIS)]]*$AB$6)+Table12[[#This Row],[Off-Reserve Kms Prov Schools]])*Table12[[#This Row],[No. of Buses on Prov Routes]]*$AB$7*2*$X$5,0)</f>
        <v>3869</v>
      </c>
      <c r="AC20" s="139">
        <f>ROUND((Table12[[#This Row],[On-Reserve Kms (CAIS)]]*$AB$6)*Table12[[#This Row],[No. of Buses on FN School Routes]]*$AB$7*2*$X$5,0)</f>
        <v>7738</v>
      </c>
      <c r="AD20" s="139">
        <f>ROUND(((Table12[[#This Row],[On-Reserve Kms (CAIS)]]*$AB$6)+Table12[[#This Row],[Off-Reserve Kms Prov Schools]])*Table12[[#This Row],[Half-Day Buses on Prov Routes]]*$AB$7*$X$5,0)</f>
        <v>0</v>
      </c>
      <c r="AE20" s="139">
        <f>ROUND((Table12[[#This Row],[On-Reserve Kms (CAIS)]]*$AB$6)*Table12[[#This Row],[Half-Day Buses on FN Routes]]*$AB$7*$X$5,0)</f>
        <v>0</v>
      </c>
      <c r="AF20" s="139">
        <f>ROUND((Table12[[#This Row],[Total Buses &amp; Drivers]]*$AB$8*6*$X$6)+(Table12[[#This Row],[Total Half-Day Routes]]*$AB$8*2.5*$X$5),0)</f>
        <v>72213</v>
      </c>
      <c r="AG20" s="139">
        <f t="shared" si="0"/>
        <v>9634</v>
      </c>
      <c r="AH20" s="321">
        <f>ROUND((SUM(Table12[[#This Row],[Off-Reserve Routes]:[Extra Curricular &amp; Field Trips]]))*Table12[[#This Row],[Remoteness Factor]],0)</f>
        <v>121490</v>
      </c>
      <c r="AI20" s="139">
        <f>ROUND(Table12[[#This Row],[Bus Driver Salary]]*PensionContrPercent,0)</f>
        <v>16501</v>
      </c>
      <c r="AJ20" s="139">
        <f>IF(Table12[[#This Row],[Total Buses &amp; Drivers]]=1,$AF$6*2,Table12[[#This Row],[47-Passenger Buses]]*$AF$6)</f>
        <v>37749</v>
      </c>
      <c r="AK20" s="139">
        <f>Table12[[#This Row],[71-Passenger Buses]]*$AF$7</f>
        <v>0</v>
      </c>
      <c r="AL20" s="74">
        <f t="shared" si="1"/>
        <v>8504</v>
      </c>
      <c r="AM20" s="19">
        <f>ROUND(SUM($AL$5:$AL$7)+((Table12[[#This Row],[Total Buses &amp; Drivers]]+1)*$AL$8)+'R. Travel Expenses'!C16,0)</f>
        <v>3344</v>
      </c>
      <c r="AN20" s="320">
        <f>ROUND(SUM(Table12[[#This Row],[Remoteness Applied]:[Bus Driver Training Support]]),0)</f>
        <v>187588</v>
      </c>
      <c r="AP20" s="26">
        <f>Table12[[#This Row],[Prov K4 Headcount]]+Table12[[#This Row],[Prov K5 Headcount]]+Table12[[#This Row],[Transported Prov Headcount Gr.1-12 &lt;22]]</f>
        <v>0</v>
      </c>
      <c r="AQ20" s="26">
        <f>Table12[[#This Row],[FN Op K4 Headcount]]+Table12[[#This Row],[FN Op K5 Headcount]]+Table12[[#This Row],[FN Operated Gr. 1-12 &lt;22]]</f>
        <v>117</v>
      </c>
      <c r="AR20" s="19">
        <f>ROUND((AQ20/(AQ20+AP20))*Table12[[#This Row],[TOTAL TRANSPORTATION]],0)</f>
        <v>187588</v>
      </c>
      <c r="AS20" s="19">
        <f>ROUND((AP20/(AQ20+AP20))*Table12[[#This Row],[TOTAL TRANSPORTATION]],0)</f>
        <v>0</v>
      </c>
    </row>
    <row r="21" spans="1:45">
      <c r="A21">
        <f>'D. 19-20 Enrolment by FN'!A17</f>
        <v>305</v>
      </c>
      <c r="B21" t="str">
        <f>'D. 19-20 Enrolment by FN'!B17</f>
        <v>Fox Lake</v>
      </c>
      <c r="C21">
        <f>'D. 19-20 Enrolment by FN'!BQ17</f>
        <v>0</v>
      </c>
      <c r="D21" t="str">
        <f>'D. 19-20 Enrolment by FN'!BR17</f>
        <v>None</v>
      </c>
      <c r="E21">
        <f>'D. 19-20 Enrolment by FN'!BS17</f>
        <v>0</v>
      </c>
      <c r="F21" t="str">
        <f>'D. 19-20 Enrolment by FN'!BT17</f>
        <v>None</v>
      </c>
      <c r="G21">
        <f>'D. 19-20 Enrolment by FN'!BV17</f>
        <v>15</v>
      </c>
      <c r="H21">
        <f>'D. 19-20 Enrolment by FN'!AB17</f>
        <v>0</v>
      </c>
      <c r="I21" t="str">
        <f>'D. 19-20 Enrolment by FN'!AY17</f>
        <v>Full-Day</v>
      </c>
      <c r="J21">
        <f>'D. 19-20 Enrolment by FN'!AC17</f>
        <v>0</v>
      </c>
      <c r="K21" t="str">
        <f>'D. 19-20 Enrolment by FN'!AZ17</f>
        <v>Full-Day</v>
      </c>
      <c r="L21">
        <f>SUM('D. 19-20 Enrolment by FN'!AD17:AQ17)</f>
        <v>22</v>
      </c>
      <c r="M21">
        <f>Table12[[#This Row],[Prov K4 Headcount]]+Table12[[#This Row],[Prov K5 Headcount]]+Table12[[#This Row],[FN Op K4 Headcount]]+Table12[[#This Row],[FN Op K5 Headcount]]</f>
        <v>0</v>
      </c>
      <c r="N21">
        <f>Table12[[#This Row],[Transported Prov Headcount Gr.1-12 &lt;22]]+Table12[[#This Row],[FN Operated Gr. 1-12 &lt;22]]</f>
        <v>37</v>
      </c>
      <c r="O21">
        <f>SUM(Table12[[#This Row],[Total Kindergarten Enrolment]:[Total Gr. 1-12 Enrolment &lt;22]])</f>
        <v>37</v>
      </c>
      <c r="P21">
        <f>ROUNDUP(IF((Table12[[#This Row],[TOTAL Headcount Enrolment &lt;22]]/47)&gt;6,6,Table12[[#This Row],[TOTAL Headcount Enrolment &lt;22]]/47),0)</f>
        <v>1</v>
      </c>
      <c r="Q21">
        <f>ROUNDUP(IF((Table12[[#This Row],[TOTAL Headcount Enrolment &lt;22]]/47)&gt;6,(Table12[[#This Row],[TOTAL Headcount Enrolment &lt;22]]-47*6)/71),0)</f>
        <v>0</v>
      </c>
      <c r="R21">
        <f>SUM(Table12[[#This Row],[47-Passenger Buses]:[71-Passenger Buses]])</f>
        <v>1</v>
      </c>
      <c r="S21">
        <v>1</v>
      </c>
      <c r="T21">
        <f>Table12[[#This Row],[Total Buses &amp; Drivers]]-Table12[[#This Row],[No. of Buses on Prov Routes]]</f>
        <v>0</v>
      </c>
      <c r="U21">
        <f>IF(Table12[[#This Row],[Prov K4 Program Type]]="Half-day",Table12[[#This Row],[Prov K4 Headcount]],0)+IF(Table12[[#This Row],[Prov K5 Program Type]]="Half-day",Table12[[#This Row],[Prov K5 Headcount]],0)+IF(Table12[[#This Row],[FN K4 Program Type]]="Half-day",Table12[[#This Row],[FN Op K4 Headcount]],0)+IF(Table12[[#This Row],[FN K5 Program Type]]="Half-day",Table12[[#This Row],[FN Op K5 Headcount]],0)</f>
        <v>0</v>
      </c>
      <c r="V21">
        <f>ROUNDUP(IF(Table12[[#This Row],[Students requiring Half-Day Route]]/47&gt;6, 6+((Table12[[#This Row],[Students requiring Half-Day Route]]-47)*6)/71, (Table12[[#This Row],[Students requiring Half-Day Route]])/47), 0)</f>
        <v>0</v>
      </c>
      <c r="W21">
        <f>IF(OR(Table12[[#This Row],[Prov K5 Program Type]]="Half-day",Table12[[#This Row],[Prov K4 Program Type]]="Half-day"),1,0)</f>
        <v>0</v>
      </c>
      <c r="X21">
        <f>Table12[[#This Row],[Total Half-Day Routes]]-Table12[[#This Row],[Half-Day Buses on Prov Routes]]</f>
        <v>0</v>
      </c>
      <c r="Y21" s="1">
        <v>110</v>
      </c>
      <c r="Z21" s="1">
        <v>6.5</v>
      </c>
      <c r="AA21" s="253">
        <f t="array" ref="AA21">INDEX(TableAFNSchools[Remoteness Index (adjusted for Transportation)],MATCH(Table12[[#This Row],[Band '#]],TableAFNSchools[Band No '#],0))</f>
        <v>1.1499999999999999</v>
      </c>
      <c r="AB21" s="139">
        <f>ROUND(((Table12[[#This Row],[On-Reserve Kms (CAIS)]]*$AB$6)+Table12[[#This Row],[Off-Reserve Kms Prov Schools]])*Table12[[#This Row],[No. of Buses on Prov Routes]]*$AB$7*2*$X$5,0)</f>
        <v>43305</v>
      </c>
      <c r="AC21" s="139">
        <f>ROUND((Table12[[#This Row],[On-Reserve Kms (CAIS)]]*$AB$6)*Table12[[#This Row],[No. of Buses on FN School Routes]]*$AB$7*2*$X$5,0)</f>
        <v>0</v>
      </c>
      <c r="AD21" s="139">
        <f>ROUND(((Table12[[#This Row],[On-Reserve Kms (CAIS)]]*$AB$6)+Table12[[#This Row],[Off-Reserve Kms Prov Schools]])*Table12[[#This Row],[Half-Day Buses on Prov Routes]]*$AB$7*$X$5,0)</f>
        <v>0</v>
      </c>
      <c r="AE21" s="139">
        <f>ROUND((Table12[[#This Row],[On-Reserve Kms (CAIS)]]*$AB$6)*Table12[[#This Row],[Half-Day Buses on FN Routes]]*$AB$7*$X$5,0)</f>
        <v>0</v>
      </c>
      <c r="AF21" s="139">
        <f>ROUND((Table12[[#This Row],[Total Buses &amp; Drivers]]*$AB$8*6*$X$6)+(Table12[[#This Row],[Total Half-Day Routes]]*$AB$8*2.5*$X$5),0)</f>
        <v>24071</v>
      </c>
      <c r="AG21" s="139">
        <f t="shared" si="0"/>
        <v>9634</v>
      </c>
      <c r="AH21" s="321">
        <f>ROUND((SUM(Table12[[#This Row],[Off-Reserve Routes]:[Extra Curricular &amp; Field Trips]]))*Table12[[#This Row],[Remoteness Factor]],0)</f>
        <v>88562</v>
      </c>
      <c r="AI21" s="139">
        <f>ROUND(Table12[[#This Row],[Bus Driver Salary]]*PensionContrPercent,0)</f>
        <v>5500</v>
      </c>
      <c r="AJ21" s="139">
        <f>IF(Table12[[#This Row],[Total Buses &amp; Drivers]]=1,$AF$6*2,Table12[[#This Row],[47-Passenger Buses]]*$AF$6)</f>
        <v>25166</v>
      </c>
      <c r="AK21" s="139">
        <f>Table12[[#This Row],[71-Passenger Buses]]*$AF$7</f>
        <v>0</v>
      </c>
      <c r="AL21" s="74">
        <f t="shared" si="1"/>
        <v>8504</v>
      </c>
      <c r="AM21" s="19">
        <f>ROUND(SUM($AL$5:$AL$7)+((Table12[[#This Row],[Total Buses &amp; Drivers]]+1)*$AL$8)+'R. Travel Expenses'!C17,0)</f>
        <v>3191</v>
      </c>
      <c r="AN21" s="320">
        <f>ROUND(SUM(Table12[[#This Row],[Remoteness Applied]:[Bus Driver Training Support]]),0)</f>
        <v>130923</v>
      </c>
      <c r="AP21" s="26">
        <f>Table12[[#This Row],[Prov K4 Headcount]]+Table12[[#This Row],[Prov K5 Headcount]]+Table12[[#This Row],[Transported Prov Headcount Gr.1-12 &lt;22]]</f>
        <v>15</v>
      </c>
      <c r="AQ21" s="26">
        <f>Table12[[#This Row],[FN Op K4 Headcount]]+Table12[[#This Row],[FN Op K5 Headcount]]+Table12[[#This Row],[FN Operated Gr. 1-12 &lt;22]]</f>
        <v>22</v>
      </c>
      <c r="AR21" s="19">
        <f>ROUND((AQ21/(AQ21+AP21))*Table12[[#This Row],[TOTAL TRANSPORTATION]],0)</f>
        <v>77846</v>
      </c>
      <c r="AS21" s="19">
        <f>ROUND((AP21/(AQ21+AP21))*Table12[[#This Row],[TOTAL TRANSPORTATION]],0)</f>
        <v>53077</v>
      </c>
    </row>
    <row r="22" spans="1:45">
      <c r="A22" t="s">
        <v>72</v>
      </c>
      <c r="C22">
        <f>SUBTOTAL(109,Table12[Prov K4 Headcount])</f>
        <v>0</v>
      </c>
      <c r="E22">
        <f>SUBTOTAL(109,Table12[Prov K5 Headcount])</f>
        <v>5</v>
      </c>
      <c r="G22">
        <f>SUBTOTAL(109,Table12[Transported Prov Headcount Gr.1-12 &lt;22])</f>
        <v>263</v>
      </c>
      <c r="H22">
        <f>SUBTOTAL(109,Table12[FN Op K4 Headcount])</f>
        <v>0</v>
      </c>
      <c r="J22">
        <f>SUBTOTAL(109,Table12[FN Op K5 Headcount])</f>
        <v>0</v>
      </c>
      <c r="L22" s="88">
        <f>SUBTOTAL(109,Table12[FN Operated Gr. 1-12 &lt;22])</f>
        <v>1672</v>
      </c>
      <c r="M22">
        <f>SUBTOTAL(109,Table12[Total Kindergarten Enrolment])</f>
        <v>5</v>
      </c>
      <c r="N22" s="88">
        <f>SUBTOTAL(109,Table12[Total Gr. 1-12 Enrolment &lt;22])</f>
        <v>1935</v>
      </c>
      <c r="O22" s="88">
        <f>SUBTOTAL(109,Table12[TOTAL Headcount Enrolment &lt;22])</f>
        <v>1940</v>
      </c>
      <c r="P22" s="88">
        <f>SUBTOTAL(109,Table12[47-Passenger Buses])</f>
        <v>43</v>
      </c>
      <c r="Q22" s="88">
        <f>SUBTOTAL(109,Table12[71-Passenger Buses])</f>
        <v>3</v>
      </c>
      <c r="R22" s="88">
        <f>SUBTOTAL(109,Table12[Total Buses &amp; Drivers])</f>
        <v>46</v>
      </c>
      <c r="S22" s="88">
        <f>SUBTOTAL(109,Table12[No. of Buses on Prov Routes])</f>
        <v>13</v>
      </c>
      <c r="T22" s="88">
        <f>SUBTOTAL(109,Table12[No. of Buses on FN School Routes])</f>
        <v>33</v>
      </c>
      <c r="U22" s="88">
        <f>SUBTOTAL(109,Table12[Students requiring Half-Day Route])</f>
        <v>4</v>
      </c>
      <c r="V22" s="88">
        <f>SUBTOTAL(109,Table12[Total Half-Day Routes])</f>
        <v>1</v>
      </c>
      <c r="W22" s="88">
        <f>SUBTOTAL(109,Table12[Half-Day Buses on Prov Routes])</f>
        <v>2</v>
      </c>
      <c r="X22" s="88">
        <f>SUBTOTAL(109,Table12[Half-Day Buses on FN Routes])</f>
        <v>-1</v>
      </c>
      <c r="Y22" s="1">
        <f>SUBTOTAL(109,Table12[Off-Reserve Kms Prov Schools])</f>
        <v>578.4</v>
      </c>
      <c r="Z22" s="1">
        <f>SUBTOTAL(109,Table12[On-Reserve Kms (CAIS)])</f>
        <v>213.63</v>
      </c>
      <c r="AB22" s="74">
        <f>SUBTOTAL(109,Table12[Off-Reserve Routes])</f>
        <v>347718</v>
      </c>
      <c r="AC22" s="74">
        <f>SUBTOTAL(109,Table12[On-Reserve Routes])</f>
        <v>268802</v>
      </c>
      <c r="AD22" s="74">
        <f>SUBTOTAL(109,Table12[Half-Day Off-Reserve Routes])</f>
        <v>16258</v>
      </c>
      <c r="AE22" s="74">
        <f>SUBTOTAL(109,Table12[Half-Day On-Reserve Routes])</f>
        <v>-3734</v>
      </c>
      <c r="AF22" s="74">
        <f>SUBTOTAL(109,Table12[Bus Driver Salary])</f>
        <v>1117044</v>
      </c>
      <c r="AG22" s="74">
        <f>SUBTOTAL(109,Table12[Extra Curricular &amp; Field Trips])</f>
        <v>105974</v>
      </c>
      <c r="AH22" s="322">
        <f>SUBTOTAL(109,Table12[Remoteness Applied])</f>
        <v>2088822</v>
      </c>
      <c r="AI22" s="74">
        <f>SUBTOTAL(109,Table12[[Bus Driver Benefits ]])</f>
        <v>255245</v>
      </c>
      <c r="AJ22" s="74">
        <f>SUBTOTAL(109,Table12[47-Passenger Recap])</f>
        <v>553652</v>
      </c>
      <c r="AK22" s="74">
        <f>SUBTOTAL(109,Table12[71-Passenger Recap])</f>
        <v>36849</v>
      </c>
      <c r="AL22" s="74">
        <f>SUBTOTAL(109,Table12[Bus Modifications])</f>
        <v>93544</v>
      </c>
      <c r="AM22" s="19">
        <f>SUBTOTAL(109,Table12[Bus Driver Training Support])</f>
        <v>26891</v>
      </c>
      <c r="AN22" s="74">
        <f>SUBTOTAL(109,Table12[TOTAL TRANSPORTATION])</f>
        <v>3055003</v>
      </c>
      <c r="AP22" s="1484">
        <f>SUM(AP11:AP21)</f>
        <v>268</v>
      </c>
      <c r="AQ22" s="1484">
        <f>SUM(AQ11:AQ21)</f>
        <v>1672</v>
      </c>
      <c r="AR22" s="1484">
        <f>SUM(AR11:AR21)</f>
        <v>2557727</v>
      </c>
      <c r="AS22" s="1484">
        <f>SUM(AS11:AS21)</f>
        <v>497276</v>
      </c>
    </row>
  </sheetData>
  <hyperlinks>
    <hyperlink ref="AC4" location="'R. 2017-18 Transp Rates'!A1" display="See Tab R. 2017-18 Transportation Rates for details" xr:uid="{00000000-0004-0000-3100-000000000000}"/>
  </hyperlinks>
  <pageMargins left="0.7" right="0.7" top="0.75" bottom="0.75" header="0.3" footer="0.3"/>
  <pageSetup orientation="portrait" r:id="rId1"/>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tint="0.39997558519241921"/>
  </sheetPr>
  <dimension ref="A3:O47"/>
  <sheetViews>
    <sheetView workbookViewId="0"/>
  </sheetViews>
  <sheetFormatPr baseColWidth="10" defaultColWidth="9" defaultRowHeight="14"/>
  <cols>
    <col min="1" max="1" width="11.19921875" customWidth="1"/>
    <col min="2" max="2" width="21" customWidth="1"/>
    <col min="3" max="3" width="11.19921875" customWidth="1"/>
    <col min="4" max="4" width="24.3984375" customWidth="1"/>
    <col min="5" max="5" width="12.59765625" customWidth="1"/>
    <col min="6" max="6" width="22.796875" customWidth="1"/>
    <col min="7" max="7" width="13.796875" customWidth="1"/>
    <col min="8" max="8" width="20.19921875" customWidth="1"/>
    <col min="9" max="9" width="15.796875" customWidth="1"/>
    <col min="10" max="10" width="16" customWidth="1"/>
    <col min="11" max="11" width="14.19921875" customWidth="1"/>
    <col min="12" max="12" width="15.796875" customWidth="1"/>
    <col min="13" max="13" width="19" customWidth="1"/>
    <col min="14" max="14" width="16.59765625" customWidth="1"/>
    <col min="15" max="15" width="17.796875" customWidth="1"/>
    <col min="16" max="16" width="19" customWidth="1"/>
    <col min="17" max="17" width="15.796875" customWidth="1"/>
    <col min="18" max="18" width="21.796875" customWidth="1"/>
  </cols>
  <sheetData>
    <row r="3" spans="1:15" ht="19">
      <c r="A3" s="33" t="s">
        <v>960</v>
      </c>
    </row>
    <row r="4" spans="1:15" ht="15">
      <c r="B4" s="1226" t="s">
        <v>471</v>
      </c>
      <c r="C4" s="1226" t="s">
        <v>472</v>
      </c>
      <c r="D4" s="1226" t="s">
        <v>473</v>
      </c>
      <c r="E4" s="1226" t="s">
        <v>474</v>
      </c>
      <c r="G4" s="104"/>
      <c r="H4" s="101"/>
      <c r="I4" s="104"/>
      <c r="L4" s="92"/>
    </row>
    <row r="5" spans="1:15" ht="30">
      <c r="A5" s="92"/>
      <c r="B5" s="1230" t="s">
        <v>961</v>
      </c>
      <c r="C5" s="1227">
        <f>'H. PHP Rates'!C7+'H. PHP Rates'!C8+'H. PHP Rates'!C9+'H. PHP Rates'!C10+'H. PHP Rates'!C12+'H. PHP Rates'!C14+'H. PHP Rates'!C15</f>
        <v>13925.79</v>
      </c>
      <c r="D5" s="874"/>
      <c r="E5" s="875"/>
      <c r="H5" s="101"/>
      <c r="I5" s="104"/>
      <c r="J5" s="101"/>
    </row>
    <row r="6" spans="1:15" ht="15">
      <c r="A6" s="92"/>
      <c r="B6" s="1230" t="s">
        <v>962</v>
      </c>
      <c r="C6" s="1227">
        <f>'H. PHP Rates'!I16</f>
        <v>21357.07</v>
      </c>
      <c r="D6" s="874"/>
      <c r="E6" s="875"/>
      <c r="H6" s="101"/>
      <c r="I6" s="104"/>
      <c r="J6" s="101"/>
    </row>
    <row r="7" spans="1:15">
      <c r="B7" s="1274" t="s">
        <v>478</v>
      </c>
      <c r="C7" s="1228"/>
      <c r="D7" s="1229">
        <v>1238</v>
      </c>
      <c r="E7" s="1229">
        <v>4087</v>
      </c>
      <c r="H7" s="101"/>
      <c r="I7" s="104"/>
      <c r="J7" s="101"/>
    </row>
    <row r="8" spans="1:15" ht="15">
      <c r="B8" s="1230" t="s">
        <v>479</v>
      </c>
      <c r="C8" s="1229"/>
      <c r="D8" s="1229">
        <f>'H. PHP Rates'!C13</f>
        <v>162.29</v>
      </c>
      <c r="E8" s="1229">
        <f>'H. PHP Rates'!D13</f>
        <v>540.97</v>
      </c>
    </row>
    <row r="9" spans="1:15" ht="15">
      <c r="B9" s="1230" t="s">
        <v>480</v>
      </c>
      <c r="C9" s="1227">
        <f>'H. PHP Rates'!C7+'H. PHP Rates'!C8+'H. PHP Rates'!C9+'H. PHP Rates'!C10+'H. PHP Rates'!C14+'H. PHP Rates'!C15</f>
        <v>13831.79</v>
      </c>
      <c r="D9" s="874"/>
      <c r="E9" s="875"/>
    </row>
    <row r="11" spans="1:15" ht="47.75" customHeight="1">
      <c r="A11" s="117" t="s">
        <v>963</v>
      </c>
      <c r="B11" s="117" t="s">
        <v>481</v>
      </c>
      <c r="C11" s="117" t="s">
        <v>375</v>
      </c>
      <c r="D11" s="117" t="s">
        <v>331</v>
      </c>
      <c r="E11" s="117" t="s">
        <v>338</v>
      </c>
      <c r="F11" s="117" t="s">
        <v>482</v>
      </c>
      <c r="G11" s="117" t="s">
        <v>483</v>
      </c>
      <c r="H11" s="117" t="s">
        <v>484</v>
      </c>
      <c r="I11" s="117" t="s">
        <v>485</v>
      </c>
      <c r="J11" s="117" t="s">
        <v>486</v>
      </c>
      <c r="K11" s="117" t="s">
        <v>487</v>
      </c>
      <c r="L11" s="117" t="s">
        <v>964</v>
      </c>
      <c r="M11" s="117" t="s">
        <v>479</v>
      </c>
      <c r="N11" s="117" t="s">
        <v>489</v>
      </c>
      <c r="O11" s="122" t="s">
        <v>965</v>
      </c>
    </row>
    <row r="12" spans="1:15" ht="15">
      <c r="A12" s="51">
        <v>261</v>
      </c>
      <c r="B12" t="s">
        <v>733</v>
      </c>
      <c r="C12">
        <v>3370</v>
      </c>
      <c r="D12" t="s">
        <v>966</v>
      </c>
      <c r="E12" t="s">
        <v>666</v>
      </c>
      <c r="F12" t="str">
        <f>INDEX(TableAFNSchools[North/South of 53rd Parallel &amp; Fly-in = North],MATCH(StuAccomUnder18[[#This Row],[Band Number]],TableAFNSchools[Band No '#],0))</f>
        <v>South</v>
      </c>
      <c r="G12">
        <v>0</v>
      </c>
      <c r="H12">
        <v>0</v>
      </c>
      <c r="I12">
        <f>'B.1 Accommmodation Data'!H8</f>
        <v>0</v>
      </c>
      <c r="J12">
        <f>'B.1 Accommmodation Data'!J8</f>
        <v>0</v>
      </c>
      <c r="K12" s="74">
        <f>($C$5*StuAccomUnder18[[#This Row],[Mandatory PHP &lt;18 Headcount]])+($C$6*(StuAccomUnder18[[#This Row],[Student Residence &lt;18 Headcount]]+StuAccomUnder18[[#This Row],[Boarding School &lt;18 Headcount]]))</f>
        <v>0</v>
      </c>
      <c r="L12" s="74">
        <f>IF(StuAccomUnder18[[#This Row],[FN of  Res. North/South (North of 53 parallel)]]="South",StuAccomUnder18[[#This Row],[Mandatory PHP &lt;18 Headcount]]*$D$7,INDEX('VTA Data'!$L$4:$L$6,MATCH(StuAccomUnder18[[#This Row],[Band Number]],'VTA Data'!$A$4:$A$6,0))*StuAccomUnder18[[#This Row],[Mandatory PHP &lt;18 Headcount]])</f>
        <v>0</v>
      </c>
      <c r="M12" s="87">
        <f>IF(StuAccomUnder18[[#This Row],[FN of  Res. North/South (North of 53 parallel)]]="South",StuAccomUnder18[[#This Row],[Mandatory PHP &lt;18 Headcount]]*$D$8,IF(StuAccomUnder18[[#This Row],[FN of  Res. North/South (North of 53 parallel)]]="North",StuAccomUnder18[[#This Row],[Mandatory PHP &lt;18 Headcount]]*$E$8,0))</f>
        <v>0</v>
      </c>
      <c r="N12" s="87">
        <f>$C$9*StuAccomUnder18[[#This Row],[5-Day Room &amp; Board &lt;18 Headcount]]</f>
        <v>0</v>
      </c>
      <c r="O12" s="106">
        <f t="shared" ref="O12:O41" si="0">ROUND(SUM(K12:N12),0)</f>
        <v>0</v>
      </c>
    </row>
    <row r="13" spans="1:15" ht="15">
      <c r="A13" s="51">
        <v>267</v>
      </c>
      <c r="B13" t="s">
        <v>392</v>
      </c>
      <c r="C13">
        <v>3282</v>
      </c>
      <c r="D13" t="s">
        <v>967</v>
      </c>
      <c r="E13" t="s">
        <v>666</v>
      </c>
      <c r="F13" t="str">
        <f>INDEX(TableAFNSchools[North/South of 53rd Parallel &amp; Fly-in = North],MATCH(StuAccomUnder18[[#This Row],[Band Number]],TableAFNSchools[Band No '#],0))</f>
        <v>North</v>
      </c>
      <c r="G13">
        <v>3</v>
      </c>
      <c r="H13">
        <v>0</v>
      </c>
      <c r="I13">
        <f>'B.1 Accommmodation Data'!H9</f>
        <v>0</v>
      </c>
      <c r="J13">
        <f>'B.1 Accommmodation Data'!J9</f>
        <v>0</v>
      </c>
      <c r="K13" s="74">
        <f>($C$5*StuAccomUnder18[[#This Row],[Mandatory PHP &lt;18 Headcount]])+($C$6*(StuAccomUnder18[[#This Row],[Student Residence &lt;18 Headcount]]+StuAccomUnder18[[#This Row],[Boarding School &lt;18 Headcount]]))</f>
        <v>41777.370000000003</v>
      </c>
      <c r="L13" s="74">
        <f>IF(StuAccomUnder18[[#This Row],[FN of  Res. North/South (North of 53 parallel)]]="South",StuAccomUnder18[[#This Row],[Mandatory PHP &lt;18 Headcount]]*$D$7,INDEX('VTA Data'!$L$4:$L$6,MATCH(StuAccomUnder18[[#This Row],[Band Number]],'VTA Data'!$A$4:$A$6,0))*StuAccomUnder18[[#This Row],[Mandatory PHP &lt;18 Headcount]])</f>
        <v>20733</v>
      </c>
      <c r="M13" s="87">
        <f>IF(StuAccomUnder18[[#This Row],[FN of  Res. North/South (North of 53 parallel)]]="South",StuAccomUnder18[[#This Row],[Mandatory PHP &lt;18 Headcount]]*$D$8,IF(StuAccomUnder18[[#This Row],[FN of  Res. North/South (North of 53 parallel)]]="North",StuAccomUnder18[[#This Row],[Mandatory PHP &lt;18 Headcount]]*$E$8,0))</f>
        <v>1622.91</v>
      </c>
      <c r="N13" s="87">
        <f>$C$9*StuAccomUnder18[[#This Row],[5-Day Room &amp; Board &lt;18 Headcount]]</f>
        <v>0</v>
      </c>
      <c r="O13" s="106">
        <f t="shared" si="0"/>
        <v>64133</v>
      </c>
    </row>
    <row r="14" spans="1:15" ht="15">
      <c r="A14" s="51">
        <v>267</v>
      </c>
      <c r="B14" t="s">
        <v>392</v>
      </c>
      <c r="C14">
        <v>3310</v>
      </c>
      <c r="D14" t="s">
        <v>968</v>
      </c>
      <c r="E14" t="s">
        <v>666</v>
      </c>
      <c r="F14" t="str">
        <f>INDEX(TableAFNSchools[North/South of 53rd Parallel &amp; Fly-in = North],MATCH(StuAccomUnder18[[#This Row],[Band Number]],TableAFNSchools[Band No '#],0))</f>
        <v>North</v>
      </c>
      <c r="G14">
        <v>0</v>
      </c>
      <c r="H14">
        <v>0</v>
      </c>
      <c r="I14">
        <f>'B.1 Accommmodation Data'!H10</f>
        <v>0</v>
      </c>
      <c r="J14">
        <f>'B.1 Accommmodation Data'!J10</f>
        <v>0</v>
      </c>
      <c r="K14" s="74">
        <f>($C$5*StuAccomUnder18[[#This Row],[Mandatory PHP &lt;18 Headcount]])+($C$6*(StuAccomUnder18[[#This Row],[Student Residence &lt;18 Headcount]]+StuAccomUnder18[[#This Row],[Boarding School &lt;18 Headcount]]))</f>
        <v>0</v>
      </c>
      <c r="L14" s="74">
        <f>IF(StuAccomUnder18[[#This Row],[FN of  Res. North/South (North of 53 parallel)]]="South",StuAccomUnder18[[#This Row],[Mandatory PHP &lt;18 Headcount]]*$D$7,INDEX('VTA Data'!$L$4:$L$6,MATCH(StuAccomUnder18[[#This Row],[Band Number]],'VTA Data'!$A$4:$A$6,0))*StuAccomUnder18[[#This Row],[Mandatory PHP &lt;18 Headcount]])</f>
        <v>0</v>
      </c>
      <c r="M14" s="87">
        <f>IF(StuAccomUnder18[[#This Row],[FN of  Res. North/South (North of 53 parallel)]]="South",StuAccomUnder18[[#This Row],[Mandatory PHP &lt;18 Headcount]]*$D$8,IF(StuAccomUnder18[[#This Row],[FN of  Res. North/South (North of 53 parallel)]]="North",StuAccomUnder18[[#This Row],[Mandatory PHP &lt;18 Headcount]]*$E$8,0))</f>
        <v>0</v>
      </c>
      <c r="N14" s="87">
        <f>$C$9*StuAccomUnder18[[#This Row],[5-Day Room &amp; Board &lt;18 Headcount]]</f>
        <v>0</v>
      </c>
      <c r="O14" s="106">
        <f t="shared" si="0"/>
        <v>0</v>
      </c>
    </row>
    <row r="15" spans="1:15" ht="15">
      <c r="A15" s="51">
        <v>267</v>
      </c>
      <c r="B15" t="s">
        <v>392</v>
      </c>
      <c r="C15">
        <v>3362</v>
      </c>
      <c r="D15" t="s">
        <v>969</v>
      </c>
      <c r="E15" t="s">
        <v>666</v>
      </c>
      <c r="F15" t="str">
        <f>INDEX(TableAFNSchools[North/South of 53rd Parallel &amp; Fly-in = North],MATCH(StuAccomUnder18[[#This Row],[Band Number]],TableAFNSchools[Band No '#],0))</f>
        <v>North</v>
      </c>
      <c r="G15">
        <v>2</v>
      </c>
      <c r="H15">
        <v>0</v>
      </c>
      <c r="I15">
        <f>'B.1 Accommmodation Data'!H11</f>
        <v>0</v>
      </c>
      <c r="J15">
        <f>'B.1 Accommmodation Data'!J11</f>
        <v>0</v>
      </c>
      <c r="K15" s="74">
        <f>($C$5*StuAccomUnder18[[#This Row],[Mandatory PHP &lt;18 Headcount]])+($C$6*(StuAccomUnder18[[#This Row],[Student Residence &lt;18 Headcount]]+StuAccomUnder18[[#This Row],[Boarding School &lt;18 Headcount]]))</f>
        <v>27851.58</v>
      </c>
      <c r="L15" s="74">
        <f>IF(StuAccomUnder18[[#This Row],[FN of  Res. North/South (North of 53 parallel)]]="South",StuAccomUnder18[[#This Row],[Mandatory PHP &lt;18 Headcount]]*$D$7,INDEX('VTA Data'!$L$4:$L$6,MATCH(StuAccomUnder18[[#This Row],[Band Number]],'VTA Data'!$A$4:$A$6,0))*StuAccomUnder18[[#This Row],[Mandatory PHP &lt;18 Headcount]])</f>
        <v>13822</v>
      </c>
      <c r="M15" s="87">
        <f>IF(StuAccomUnder18[[#This Row],[FN of  Res. North/South (North of 53 parallel)]]="South",StuAccomUnder18[[#This Row],[Mandatory PHP &lt;18 Headcount]]*$D$8,IF(StuAccomUnder18[[#This Row],[FN of  Res. North/South (North of 53 parallel)]]="North",StuAccomUnder18[[#This Row],[Mandatory PHP &lt;18 Headcount]]*$E$8,0))</f>
        <v>1081.94</v>
      </c>
      <c r="N15" s="87">
        <f>$C$9*StuAccomUnder18[[#This Row],[5-Day Room &amp; Board &lt;18 Headcount]]</f>
        <v>0</v>
      </c>
      <c r="O15" s="106">
        <f t="shared" si="0"/>
        <v>42756</v>
      </c>
    </row>
    <row r="16" spans="1:15" ht="15">
      <c r="A16" s="51">
        <v>267</v>
      </c>
      <c r="B16" t="s">
        <v>392</v>
      </c>
      <c r="C16">
        <v>3395</v>
      </c>
      <c r="D16" t="s">
        <v>970</v>
      </c>
      <c r="E16" t="s">
        <v>666</v>
      </c>
      <c r="F16" t="str">
        <f>INDEX(TableAFNSchools[North/South of 53rd Parallel &amp; Fly-in = North],MATCH(StuAccomUnder18[[#This Row],[Band Number]],TableAFNSchools[Band No '#],0))</f>
        <v>North</v>
      </c>
      <c r="G16">
        <v>0</v>
      </c>
      <c r="H16">
        <v>0</v>
      </c>
      <c r="I16">
        <f>'B.1 Accommmodation Data'!H12</f>
        <v>0</v>
      </c>
      <c r="J16">
        <f>'B.1 Accommmodation Data'!J12</f>
        <v>0</v>
      </c>
      <c r="K16" s="74">
        <f>($C$5*StuAccomUnder18[[#This Row],[Mandatory PHP &lt;18 Headcount]])+($C$6*(StuAccomUnder18[[#This Row],[Student Residence &lt;18 Headcount]]+StuAccomUnder18[[#This Row],[Boarding School &lt;18 Headcount]]))</f>
        <v>0</v>
      </c>
      <c r="L16" s="74">
        <f>IF(StuAccomUnder18[[#This Row],[FN of  Res. North/South (North of 53 parallel)]]="South",StuAccomUnder18[[#This Row],[Mandatory PHP &lt;18 Headcount]]*$D$7,INDEX('VTA Data'!$L$4:$L$6,MATCH(StuAccomUnder18[[#This Row],[Band Number]],'VTA Data'!$A$4:$A$6,0))*StuAccomUnder18[[#This Row],[Mandatory PHP &lt;18 Headcount]])</f>
        <v>0</v>
      </c>
      <c r="M16" s="87">
        <f>IF(StuAccomUnder18[[#This Row],[FN of  Res. North/South (North of 53 parallel)]]="South",StuAccomUnder18[[#This Row],[Mandatory PHP &lt;18 Headcount]]*$D$8,IF(StuAccomUnder18[[#This Row],[FN of  Res. North/South (North of 53 parallel)]]="North",StuAccomUnder18[[#This Row],[Mandatory PHP &lt;18 Headcount]]*$E$8,0))</f>
        <v>0</v>
      </c>
      <c r="N16" s="87">
        <f>$C$9*StuAccomUnder18[[#This Row],[5-Day Room &amp; Board &lt;18 Headcount]]</f>
        <v>0</v>
      </c>
      <c r="O16" s="106">
        <f t="shared" si="0"/>
        <v>0</v>
      </c>
    </row>
    <row r="17" spans="1:15" ht="15">
      <c r="A17" s="51">
        <v>267</v>
      </c>
      <c r="B17" t="s">
        <v>392</v>
      </c>
      <c r="C17">
        <v>5725</v>
      </c>
      <c r="D17" t="s">
        <v>971</v>
      </c>
      <c r="E17" t="s">
        <v>666</v>
      </c>
      <c r="F17" t="str">
        <f>INDEX(TableAFNSchools[North/South of 53rd Parallel &amp; Fly-in = North],MATCH(StuAccomUnder18[[#This Row],[Band Number]],TableAFNSchools[Band No '#],0))</f>
        <v>North</v>
      </c>
      <c r="G17">
        <v>2</v>
      </c>
      <c r="H17">
        <v>0</v>
      </c>
      <c r="I17">
        <f>'B.1 Accommmodation Data'!H13</f>
        <v>0</v>
      </c>
      <c r="J17">
        <f>'B.1 Accommmodation Data'!J13</f>
        <v>0</v>
      </c>
      <c r="K17" s="74">
        <f>($C$5*StuAccomUnder18[[#This Row],[Mandatory PHP &lt;18 Headcount]])+($C$6*(StuAccomUnder18[[#This Row],[Student Residence &lt;18 Headcount]]+StuAccomUnder18[[#This Row],[Boarding School &lt;18 Headcount]]))</f>
        <v>27851.58</v>
      </c>
      <c r="L17" s="74">
        <f>IF(StuAccomUnder18[[#This Row],[FN of  Res. North/South (North of 53 parallel)]]="South",StuAccomUnder18[[#This Row],[Mandatory PHP &lt;18 Headcount]]*$D$7,INDEX('VTA Data'!$L$4:$L$6,MATCH(StuAccomUnder18[[#This Row],[Band Number]],'VTA Data'!$A$4:$A$6,0))*StuAccomUnder18[[#This Row],[Mandatory PHP &lt;18 Headcount]])</f>
        <v>13822</v>
      </c>
      <c r="M17" s="87">
        <f>IF(StuAccomUnder18[[#This Row],[FN of  Res. North/South (North of 53 parallel)]]="South",StuAccomUnder18[[#This Row],[Mandatory PHP &lt;18 Headcount]]*$D$8,IF(StuAccomUnder18[[#This Row],[FN of  Res. North/South (North of 53 parallel)]]="North",StuAccomUnder18[[#This Row],[Mandatory PHP &lt;18 Headcount]]*$E$8,0))</f>
        <v>1081.94</v>
      </c>
      <c r="N17" s="87">
        <f>$C$9*StuAccomUnder18[[#This Row],[5-Day Room &amp; Board &lt;18 Headcount]]</f>
        <v>0</v>
      </c>
      <c r="O17" s="106">
        <f t="shared" si="0"/>
        <v>42756</v>
      </c>
    </row>
    <row r="18" spans="1:15" ht="15">
      <c r="A18" s="51">
        <v>267</v>
      </c>
      <c r="B18" t="s">
        <v>392</v>
      </c>
      <c r="C18">
        <v>7502</v>
      </c>
      <c r="D18" t="s">
        <v>972</v>
      </c>
      <c r="E18" t="s">
        <v>973</v>
      </c>
      <c r="F18" t="str">
        <f>INDEX(TableAFNSchools[North/South of 53rd Parallel &amp; Fly-in = North],MATCH(StuAccomUnder18[[#This Row],[Band Number]],TableAFNSchools[Band No '#],0))</f>
        <v>North</v>
      </c>
      <c r="G18">
        <v>0</v>
      </c>
      <c r="H18">
        <v>4</v>
      </c>
      <c r="I18">
        <f>'B.1 Accommmodation Data'!H14</f>
        <v>0</v>
      </c>
      <c r="J18">
        <f>'B.1 Accommmodation Data'!J14</f>
        <v>0</v>
      </c>
      <c r="K18" s="74">
        <f>($C$5*StuAccomUnder18[[#This Row],[Mandatory PHP &lt;18 Headcount]])+($C$6*(StuAccomUnder18[[#This Row],[Student Residence &lt;18 Headcount]]+StuAccomUnder18[[#This Row],[Boarding School &lt;18 Headcount]]))</f>
        <v>85428.28</v>
      </c>
      <c r="L18" s="74">
        <f>IF(StuAccomUnder18[[#This Row],[FN of  Res. North/South (North of 53 parallel)]]="South",StuAccomUnder18[[#This Row],[Mandatory PHP &lt;18 Headcount]]*$D$7,INDEX('VTA Data'!$L$4:$L$6,MATCH(StuAccomUnder18[[#This Row],[Band Number]],'VTA Data'!$A$4:$A$6,0))*StuAccomUnder18[[#This Row],[Mandatory PHP &lt;18 Headcount]])</f>
        <v>0</v>
      </c>
      <c r="M18" s="87">
        <f>IF(StuAccomUnder18[[#This Row],[FN of  Res. North/South (North of 53 parallel)]]="South",StuAccomUnder18[[#This Row],[Mandatory PHP &lt;18 Headcount]]*$D$8,IF(StuAccomUnder18[[#This Row],[FN of  Res. North/South (North of 53 parallel)]]="North",StuAccomUnder18[[#This Row],[Mandatory PHP &lt;18 Headcount]]*$E$8,0))</f>
        <v>0</v>
      </c>
      <c r="N18" s="87">
        <f>$C$9*StuAccomUnder18[[#This Row],[5-Day Room &amp; Board &lt;18 Headcount]]</f>
        <v>0</v>
      </c>
      <c r="O18" s="106">
        <f t="shared" si="0"/>
        <v>85428</v>
      </c>
    </row>
    <row r="19" spans="1:15" ht="15">
      <c r="A19" s="51">
        <v>267</v>
      </c>
      <c r="B19" t="s">
        <v>392</v>
      </c>
      <c r="C19">
        <v>2460008</v>
      </c>
      <c r="D19" t="s">
        <v>974</v>
      </c>
      <c r="E19" t="s">
        <v>973</v>
      </c>
      <c r="F19" t="str">
        <f>INDEX(TableAFNSchools[North/South of 53rd Parallel &amp; Fly-in = North],MATCH(StuAccomUnder18[[#This Row],[Band Number]],TableAFNSchools[Band No '#],0))</f>
        <v>North</v>
      </c>
      <c r="G19">
        <v>0</v>
      </c>
      <c r="H19">
        <v>0</v>
      </c>
      <c r="I19">
        <f>'B.1 Accommmodation Data'!H15</f>
        <v>0</v>
      </c>
      <c r="J19">
        <f>'B.1 Accommmodation Data'!J15</f>
        <v>0</v>
      </c>
      <c r="K19" s="74">
        <f>($C$5*StuAccomUnder18[[#This Row],[Mandatory PHP &lt;18 Headcount]])+($C$6*(StuAccomUnder18[[#This Row],[Student Residence &lt;18 Headcount]]+StuAccomUnder18[[#This Row],[Boarding School &lt;18 Headcount]]))</f>
        <v>0</v>
      </c>
      <c r="L19" s="74">
        <f>IF(StuAccomUnder18[[#This Row],[FN of  Res. North/South (North of 53 parallel)]]="South",StuAccomUnder18[[#This Row],[Mandatory PHP &lt;18 Headcount]]*$D$7,INDEX('VTA Data'!$L$4:$L$6,MATCH(StuAccomUnder18[[#This Row],[Band Number]],'VTA Data'!$A$4:$A$6,0))*StuAccomUnder18[[#This Row],[Mandatory PHP &lt;18 Headcount]])</f>
        <v>0</v>
      </c>
      <c r="M19" s="87">
        <f>IF(StuAccomUnder18[[#This Row],[FN of  Res. North/South (North of 53 parallel)]]="South",StuAccomUnder18[[#This Row],[Mandatory PHP &lt;18 Headcount]]*$D$8,IF(StuAccomUnder18[[#This Row],[FN of  Res. North/South (North of 53 parallel)]]="North",StuAccomUnder18[[#This Row],[Mandatory PHP &lt;18 Headcount]]*$E$8,0))</f>
        <v>0</v>
      </c>
      <c r="N19" s="87">
        <f>$C$9*StuAccomUnder18[[#This Row],[5-Day Room &amp; Board &lt;18 Headcount]]</f>
        <v>0</v>
      </c>
      <c r="O19" s="106">
        <f t="shared" si="0"/>
        <v>0</v>
      </c>
    </row>
    <row r="20" spans="1:15" ht="15">
      <c r="A20" s="51">
        <v>271</v>
      </c>
      <c r="B20" t="s">
        <v>396</v>
      </c>
      <c r="C20">
        <v>3395</v>
      </c>
      <c r="D20" t="s">
        <v>970</v>
      </c>
      <c r="E20" t="s">
        <v>666</v>
      </c>
      <c r="F20" t="str">
        <f>INDEX(TableAFNSchools[North/South of 53rd Parallel &amp; Fly-in = North],MATCH(StuAccomUnder18[[#This Row],[Band Number]],TableAFNSchools[Band No '#],0))</f>
        <v>South</v>
      </c>
      <c r="G20">
        <v>1</v>
      </c>
      <c r="H20">
        <v>0</v>
      </c>
      <c r="I20">
        <f>'B.1 Accommmodation Data'!H16</f>
        <v>0</v>
      </c>
      <c r="J20">
        <f>'B.1 Accommmodation Data'!J16</f>
        <v>0</v>
      </c>
      <c r="K20" s="74">
        <f>($C$5*StuAccomUnder18[[#This Row],[Mandatory PHP &lt;18 Headcount]])+($C$6*(StuAccomUnder18[[#This Row],[Student Residence &lt;18 Headcount]]+StuAccomUnder18[[#This Row],[Boarding School &lt;18 Headcount]]))</f>
        <v>13925.79</v>
      </c>
      <c r="L20" s="74">
        <f>IF(StuAccomUnder18[[#This Row],[FN of  Res. North/South (North of 53 parallel)]]="South",StuAccomUnder18[[#This Row],[Mandatory PHP &lt;18 Headcount]]*$D$7,INDEX('VTA Data'!$L$4:$L$6,MATCH(StuAccomUnder18[[#This Row],[Band Number]],'VTA Data'!$A$4:$A$6,0))*StuAccomUnder18[[#This Row],[Mandatory PHP &lt;18 Headcount]])</f>
        <v>1238</v>
      </c>
      <c r="M20" s="87">
        <f>IF(StuAccomUnder18[[#This Row],[FN of  Res. North/South (North of 53 parallel)]]="South",StuAccomUnder18[[#This Row],[Mandatory PHP &lt;18 Headcount]]*$D$8,IF(StuAccomUnder18[[#This Row],[FN of  Res. North/South (North of 53 parallel)]]="North",StuAccomUnder18[[#This Row],[Mandatory PHP &lt;18 Headcount]]*$E$8,0))</f>
        <v>162.29</v>
      </c>
      <c r="N20" s="87">
        <f>$C$9*StuAccomUnder18[[#This Row],[5-Day Room &amp; Board &lt;18 Headcount]]</f>
        <v>0</v>
      </c>
      <c r="O20" s="106">
        <f t="shared" si="0"/>
        <v>15326</v>
      </c>
    </row>
    <row r="21" spans="1:15" ht="15">
      <c r="A21" s="51">
        <v>271</v>
      </c>
      <c r="B21" t="s">
        <v>396</v>
      </c>
      <c r="C21">
        <v>7832</v>
      </c>
      <c r="D21" t="s">
        <v>975</v>
      </c>
      <c r="E21" t="s">
        <v>666</v>
      </c>
      <c r="F21" t="str">
        <f>INDEX(TableAFNSchools[North/South of 53rd Parallel &amp; Fly-in = North],MATCH(StuAccomUnder18[[#This Row],[Band Number]],TableAFNSchools[Band No '#],0))</f>
        <v>South</v>
      </c>
      <c r="G21">
        <v>0</v>
      </c>
      <c r="H21">
        <v>0</v>
      </c>
      <c r="I21">
        <f>'B.1 Accommmodation Data'!H17</f>
        <v>0</v>
      </c>
      <c r="J21">
        <f>'B.1 Accommmodation Data'!J17</f>
        <v>0</v>
      </c>
      <c r="K21" s="74">
        <f>($C$5*StuAccomUnder18[[#This Row],[Mandatory PHP &lt;18 Headcount]])+($C$6*(StuAccomUnder18[[#This Row],[Student Residence &lt;18 Headcount]]+StuAccomUnder18[[#This Row],[Boarding School &lt;18 Headcount]]))</f>
        <v>0</v>
      </c>
      <c r="L21" s="74">
        <f>IF(StuAccomUnder18[[#This Row],[FN of  Res. North/South (North of 53 parallel)]]="South",StuAccomUnder18[[#This Row],[Mandatory PHP &lt;18 Headcount]]*$D$7,INDEX('VTA Data'!$L$4:$L$6,MATCH(StuAccomUnder18[[#This Row],[Band Number]],'VTA Data'!$A$4:$A$6,0))*StuAccomUnder18[[#This Row],[Mandatory PHP &lt;18 Headcount]])</f>
        <v>0</v>
      </c>
      <c r="M21" s="87">
        <f>IF(StuAccomUnder18[[#This Row],[FN of  Res. North/South (North of 53 parallel)]]="South",StuAccomUnder18[[#This Row],[Mandatory PHP &lt;18 Headcount]]*$D$8,IF(StuAccomUnder18[[#This Row],[FN of  Res. North/South (North of 53 parallel)]]="North",StuAccomUnder18[[#This Row],[Mandatory PHP &lt;18 Headcount]]*$E$8,0))</f>
        <v>0</v>
      </c>
      <c r="N21" s="87">
        <f>$C$9*StuAccomUnder18[[#This Row],[5-Day Room &amp; Board &lt;18 Headcount]]</f>
        <v>0</v>
      </c>
      <c r="O21" s="106">
        <f t="shared" si="0"/>
        <v>0</v>
      </c>
    </row>
    <row r="22" spans="1:15" ht="15">
      <c r="A22" s="51">
        <v>272</v>
      </c>
      <c r="B22" t="s">
        <v>734</v>
      </c>
      <c r="C22">
        <v>3282</v>
      </c>
      <c r="D22" t="s">
        <v>967</v>
      </c>
      <c r="E22" t="s">
        <v>666</v>
      </c>
      <c r="F22" t="str">
        <f>INDEX(TableAFNSchools[North/South of 53rd Parallel &amp; Fly-in = North],MATCH(StuAccomUnder18[[#This Row],[Band Number]],TableAFNSchools[Band No '#],0))</f>
        <v>South</v>
      </c>
      <c r="G22">
        <v>1</v>
      </c>
      <c r="H22">
        <v>0</v>
      </c>
      <c r="I22">
        <f>'B.1 Accommmodation Data'!H18</f>
        <v>0</v>
      </c>
      <c r="J22">
        <f>'B.1 Accommmodation Data'!J18</f>
        <v>0</v>
      </c>
      <c r="K22" s="74">
        <f>($C$5*StuAccomUnder18[[#This Row],[Mandatory PHP &lt;18 Headcount]])+($C$6*(StuAccomUnder18[[#This Row],[Student Residence &lt;18 Headcount]]+StuAccomUnder18[[#This Row],[Boarding School &lt;18 Headcount]]))</f>
        <v>13925.79</v>
      </c>
      <c r="L22" s="74">
        <f>IF(StuAccomUnder18[[#This Row],[FN of  Res. North/South (North of 53 parallel)]]="South",StuAccomUnder18[[#This Row],[Mandatory PHP &lt;18 Headcount]]*$D$7,INDEX('VTA Data'!$L$4:$L$6,MATCH(StuAccomUnder18[[#This Row],[Band Number]],'VTA Data'!$A$4:$A$6,0))*StuAccomUnder18[[#This Row],[Mandatory PHP &lt;18 Headcount]])</f>
        <v>1238</v>
      </c>
      <c r="M22" s="87">
        <f>IF(StuAccomUnder18[[#This Row],[FN of  Res. North/South (North of 53 parallel)]]="South",StuAccomUnder18[[#This Row],[Mandatory PHP &lt;18 Headcount]]*$D$8,IF(StuAccomUnder18[[#This Row],[FN of  Res. North/South (North of 53 parallel)]]="North",StuAccomUnder18[[#This Row],[Mandatory PHP &lt;18 Headcount]]*$E$8,0))</f>
        <v>162.29</v>
      </c>
      <c r="N22" s="87">
        <f>$C$9*StuAccomUnder18[[#This Row],[5-Day Room &amp; Board &lt;18 Headcount]]</f>
        <v>0</v>
      </c>
      <c r="O22" s="106">
        <f t="shared" si="0"/>
        <v>15326</v>
      </c>
    </row>
    <row r="23" spans="1:15" ht="15">
      <c r="A23" s="51">
        <v>272</v>
      </c>
      <c r="B23" t="s">
        <v>734</v>
      </c>
      <c r="C23">
        <v>3362</v>
      </c>
      <c r="D23" t="s">
        <v>969</v>
      </c>
      <c r="E23" t="s">
        <v>666</v>
      </c>
      <c r="F23" t="str">
        <f>INDEX(TableAFNSchools[North/South of 53rd Parallel &amp; Fly-in = North],MATCH(StuAccomUnder18[[#This Row],[Band Number]],TableAFNSchools[Band No '#],0))</f>
        <v>South</v>
      </c>
      <c r="G23">
        <v>1</v>
      </c>
      <c r="H23">
        <v>0</v>
      </c>
      <c r="I23">
        <f>'B.1 Accommmodation Data'!H19</f>
        <v>0</v>
      </c>
      <c r="J23">
        <f>'B.1 Accommmodation Data'!J19</f>
        <v>0</v>
      </c>
      <c r="K23" s="74">
        <f>($C$5*StuAccomUnder18[[#This Row],[Mandatory PHP &lt;18 Headcount]])+($C$6*(StuAccomUnder18[[#This Row],[Student Residence &lt;18 Headcount]]+StuAccomUnder18[[#This Row],[Boarding School &lt;18 Headcount]]))</f>
        <v>13925.79</v>
      </c>
      <c r="L23" s="74">
        <f>IF(StuAccomUnder18[[#This Row],[FN of  Res. North/South (North of 53 parallel)]]="South",StuAccomUnder18[[#This Row],[Mandatory PHP &lt;18 Headcount]]*$D$7,INDEX('VTA Data'!$L$4:$L$6,MATCH(StuAccomUnder18[[#This Row],[Band Number]],'VTA Data'!$A$4:$A$6,0))*StuAccomUnder18[[#This Row],[Mandatory PHP &lt;18 Headcount]])</f>
        <v>1238</v>
      </c>
      <c r="M23" s="87">
        <f>IF(StuAccomUnder18[[#This Row],[FN of  Res. North/South (North of 53 parallel)]]="South",StuAccomUnder18[[#This Row],[Mandatory PHP &lt;18 Headcount]]*$D$8,IF(StuAccomUnder18[[#This Row],[FN of  Res. North/South (North of 53 parallel)]]="North",StuAccomUnder18[[#This Row],[Mandatory PHP &lt;18 Headcount]]*$E$8,0))</f>
        <v>162.29</v>
      </c>
      <c r="N23" s="87">
        <f>$C$9*StuAccomUnder18[[#This Row],[5-Day Room &amp; Board &lt;18 Headcount]]</f>
        <v>0</v>
      </c>
      <c r="O23" s="106">
        <f t="shared" si="0"/>
        <v>15326</v>
      </c>
    </row>
    <row r="24" spans="1:15" ht="15">
      <c r="A24" s="51">
        <v>272</v>
      </c>
      <c r="B24" t="s">
        <v>734</v>
      </c>
      <c r="C24">
        <v>3372</v>
      </c>
      <c r="D24" t="s">
        <v>976</v>
      </c>
      <c r="E24" t="s">
        <v>666</v>
      </c>
      <c r="F24" t="str">
        <f>INDEX(TableAFNSchools[North/South of 53rd Parallel &amp; Fly-in = North],MATCH(StuAccomUnder18[[#This Row],[Band Number]],TableAFNSchools[Band No '#],0))</f>
        <v>South</v>
      </c>
      <c r="G24">
        <v>1</v>
      </c>
      <c r="H24">
        <v>0</v>
      </c>
      <c r="I24">
        <f>'B.1 Accommmodation Data'!H20</f>
        <v>0</v>
      </c>
      <c r="J24">
        <f>'B.1 Accommmodation Data'!J20</f>
        <v>0</v>
      </c>
      <c r="K24" s="74">
        <f>($C$5*StuAccomUnder18[[#This Row],[Mandatory PHP &lt;18 Headcount]])+($C$6*(StuAccomUnder18[[#This Row],[Student Residence &lt;18 Headcount]]+StuAccomUnder18[[#This Row],[Boarding School &lt;18 Headcount]]))</f>
        <v>13925.79</v>
      </c>
      <c r="L24" s="74">
        <f>IF(StuAccomUnder18[[#This Row],[FN of  Res. North/South (North of 53 parallel)]]="South",StuAccomUnder18[[#This Row],[Mandatory PHP &lt;18 Headcount]]*$D$7,INDEX('VTA Data'!$L$4:$L$6,MATCH(StuAccomUnder18[[#This Row],[Band Number]],'VTA Data'!$A$4:$A$6,0))*StuAccomUnder18[[#This Row],[Mandatory PHP &lt;18 Headcount]])</f>
        <v>1238</v>
      </c>
      <c r="M24" s="87">
        <f>IF(StuAccomUnder18[[#This Row],[FN of  Res. North/South (North of 53 parallel)]]="South",StuAccomUnder18[[#This Row],[Mandatory PHP &lt;18 Headcount]]*$D$8,IF(StuAccomUnder18[[#This Row],[FN of  Res. North/South (North of 53 parallel)]]="North",StuAccomUnder18[[#This Row],[Mandatory PHP &lt;18 Headcount]]*$E$8,0))</f>
        <v>162.29</v>
      </c>
      <c r="N24" s="87">
        <f>$C$9*StuAccomUnder18[[#This Row],[5-Day Room &amp; Board &lt;18 Headcount]]</f>
        <v>0</v>
      </c>
      <c r="O24" s="106">
        <f t="shared" si="0"/>
        <v>15326</v>
      </c>
    </row>
    <row r="25" spans="1:15" ht="15">
      <c r="A25" s="51">
        <v>272</v>
      </c>
      <c r="B25" t="s">
        <v>734</v>
      </c>
      <c r="C25">
        <v>3395</v>
      </c>
      <c r="D25" t="s">
        <v>970</v>
      </c>
      <c r="E25" t="s">
        <v>666</v>
      </c>
      <c r="F25" t="str">
        <f>INDEX(TableAFNSchools[North/South of 53rd Parallel &amp; Fly-in = North],MATCH(StuAccomUnder18[[#This Row],[Band Number]],TableAFNSchools[Band No '#],0))</f>
        <v>South</v>
      </c>
      <c r="G25">
        <v>2</v>
      </c>
      <c r="H25">
        <v>0</v>
      </c>
      <c r="I25">
        <f>'B.1 Accommmodation Data'!H21</f>
        <v>0</v>
      </c>
      <c r="J25">
        <f>'B.1 Accommmodation Data'!J21</f>
        <v>0</v>
      </c>
      <c r="K25" s="74">
        <f>($C$5*StuAccomUnder18[[#This Row],[Mandatory PHP &lt;18 Headcount]])+($C$6*(StuAccomUnder18[[#This Row],[Student Residence &lt;18 Headcount]]+StuAccomUnder18[[#This Row],[Boarding School &lt;18 Headcount]]))</f>
        <v>27851.58</v>
      </c>
      <c r="L25" s="74">
        <f>IF(StuAccomUnder18[[#This Row],[FN of  Res. North/South (North of 53 parallel)]]="South",StuAccomUnder18[[#This Row],[Mandatory PHP &lt;18 Headcount]]*$D$7,INDEX('VTA Data'!$L$4:$L$6,MATCH(StuAccomUnder18[[#This Row],[Band Number]],'VTA Data'!$A$4:$A$6,0))*StuAccomUnder18[[#This Row],[Mandatory PHP &lt;18 Headcount]])</f>
        <v>2476</v>
      </c>
      <c r="M25" s="87">
        <f>IF(StuAccomUnder18[[#This Row],[FN of  Res. North/South (North of 53 parallel)]]="South",StuAccomUnder18[[#This Row],[Mandatory PHP &lt;18 Headcount]]*$D$8,IF(StuAccomUnder18[[#This Row],[FN of  Res. North/South (North of 53 parallel)]]="North",StuAccomUnder18[[#This Row],[Mandatory PHP &lt;18 Headcount]]*$E$8,0))</f>
        <v>324.58</v>
      </c>
      <c r="N25" s="87">
        <f>$C$9*StuAccomUnder18[[#This Row],[5-Day Room &amp; Board &lt;18 Headcount]]</f>
        <v>0</v>
      </c>
      <c r="O25" s="106">
        <f t="shared" si="0"/>
        <v>30652</v>
      </c>
    </row>
    <row r="26" spans="1:15" ht="15">
      <c r="A26" s="51">
        <v>275</v>
      </c>
      <c r="B26" t="s">
        <v>390</v>
      </c>
      <c r="C26">
        <v>3282</v>
      </c>
      <c r="D26" t="s">
        <v>967</v>
      </c>
      <c r="E26" t="s">
        <v>666</v>
      </c>
      <c r="F26" t="str">
        <f>INDEX(TableAFNSchools[North/South of 53rd Parallel &amp; Fly-in = North],MATCH(StuAccomUnder18[[#This Row],[Band Number]],TableAFNSchools[Band No '#],0))</f>
        <v>South</v>
      </c>
      <c r="G26">
        <v>2</v>
      </c>
      <c r="H26">
        <v>0</v>
      </c>
      <c r="I26">
        <f>'B.1 Accommmodation Data'!H22</f>
        <v>0</v>
      </c>
      <c r="J26">
        <f>'B.1 Accommmodation Data'!J22</f>
        <v>0</v>
      </c>
      <c r="K26" s="74">
        <f>($C$5*StuAccomUnder18[[#This Row],[Mandatory PHP &lt;18 Headcount]])+($C$6*(StuAccomUnder18[[#This Row],[Student Residence &lt;18 Headcount]]+StuAccomUnder18[[#This Row],[Boarding School &lt;18 Headcount]]))</f>
        <v>27851.58</v>
      </c>
      <c r="L26" s="74">
        <f>IF(StuAccomUnder18[[#This Row],[FN of  Res. North/South (North of 53 parallel)]]="South",StuAccomUnder18[[#This Row],[Mandatory PHP &lt;18 Headcount]]*$D$7,INDEX('VTA Data'!$L$4:$L$6,MATCH(StuAccomUnder18[[#This Row],[Band Number]],'VTA Data'!$A$4:$A$6,0))*StuAccomUnder18[[#This Row],[Mandatory PHP &lt;18 Headcount]])</f>
        <v>2476</v>
      </c>
      <c r="M26" s="87">
        <f>IF(StuAccomUnder18[[#This Row],[FN of  Res. North/South (North of 53 parallel)]]="South",StuAccomUnder18[[#This Row],[Mandatory PHP &lt;18 Headcount]]*$D$8,IF(StuAccomUnder18[[#This Row],[FN of  Res. North/South (North of 53 parallel)]]="North",StuAccomUnder18[[#This Row],[Mandatory PHP &lt;18 Headcount]]*$E$8,0))</f>
        <v>324.58</v>
      </c>
      <c r="N26" s="87">
        <f>$C$9*StuAccomUnder18[[#This Row],[5-Day Room &amp; Board &lt;18 Headcount]]</f>
        <v>0</v>
      </c>
      <c r="O26" s="106">
        <f t="shared" si="0"/>
        <v>30652</v>
      </c>
    </row>
    <row r="27" spans="1:15" ht="15">
      <c r="A27" s="51">
        <v>275</v>
      </c>
      <c r="B27" t="s">
        <v>390</v>
      </c>
      <c r="C27">
        <v>3303</v>
      </c>
      <c r="D27" t="s">
        <v>977</v>
      </c>
      <c r="E27" t="s">
        <v>666</v>
      </c>
      <c r="F27" t="str">
        <f>INDEX(TableAFNSchools[North/South of 53rd Parallel &amp; Fly-in = North],MATCH(StuAccomUnder18[[#This Row],[Band Number]],TableAFNSchools[Band No '#],0))</f>
        <v>South</v>
      </c>
      <c r="G27">
        <v>1</v>
      </c>
      <c r="H27">
        <v>0</v>
      </c>
      <c r="I27">
        <f>'B.1 Accommmodation Data'!H23</f>
        <v>0</v>
      </c>
      <c r="J27">
        <f>'B.1 Accommmodation Data'!J23</f>
        <v>0</v>
      </c>
      <c r="K27" s="74">
        <f>($C$5*StuAccomUnder18[[#This Row],[Mandatory PHP &lt;18 Headcount]])+($C$6*(StuAccomUnder18[[#This Row],[Student Residence &lt;18 Headcount]]+StuAccomUnder18[[#This Row],[Boarding School &lt;18 Headcount]]))</f>
        <v>13925.79</v>
      </c>
      <c r="L27" s="74">
        <f>IF(StuAccomUnder18[[#This Row],[FN of  Res. North/South (North of 53 parallel)]]="South",StuAccomUnder18[[#This Row],[Mandatory PHP &lt;18 Headcount]]*$D$7,INDEX('VTA Data'!$L$4:$L$6,MATCH(StuAccomUnder18[[#This Row],[Band Number]],'VTA Data'!$A$4:$A$6,0))*StuAccomUnder18[[#This Row],[Mandatory PHP &lt;18 Headcount]])</f>
        <v>1238</v>
      </c>
      <c r="M27" s="87">
        <f>IF(StuAccomUnder18[[#This Row],[FN of  Res. North/South (North of 53 parallel)]]="South",StuAccomUnder18[[#This Row],[Mandatory PHP &lt;18 Headcount]]*$D$8,IF(StuAccomUnder18[[#This Row],[FN of  Res. North/South (North of 53 parallel)]]="North",StuAccomUnder18[[#This Row],[Mandatory PHP &lt;18 Headcount]]*$E$8,0))</f>
        <v>162.29</v>
      </c>
      <c r="N27" s="87">
        <f>$C$9*StuAccomUnder18[[#This Row],[5-Day Room &amp; Board &lt;18 Headcount]]</f>
        <v>0</v>
      </c>
      <c r="O27" s="106">
        <f t="shared" si="0"/>
        <v>15326</v>
      </c>
    </row>
    <row r="28" spans="1:15" ht="15">
      <c r="A28" s="51">
        <v>275</v>
      </c>
      <c r="B28" t="s">
        <v>390</v>
      </c>
      <c r="C28">
        <v>3310</v>
      </c>
      <c r="D28" t="s">
        <v>968</v>
      </c>
      <c r="E28" t="s">
        <v>666</v>
      </c>
      <c r="F28" t="str">
        <f>INDEX(TableAFNSchools[North/South of 53rd Parallel &amp; Fly-in = North],MATCH(StuAccomUnder18[[#This Row],[Band Number]],TableAFNSchools[Band No '#],0))</f>
        <v>South</v>
      </c>
      <c r="G28">
        <v>2</v>
      </c>
      <c r="H28">
        <v>0</v>
      </c>
      <c r="I28">
        <f>'B.1 Accommmodation Data'!H24</f>
        <v>0</v>
      </c>
      <c r="J28">
        <f>'B.1 Accommmodation Data'!J24</f>
        <v>0</v>
      </c>
      <c r="K28" s="74">
        <f>($C$5*StuAccomUnder18[[#This Row],[Mandatory PHP &lt;18 Headcount]])+($C$6*(StuAccomUnder18[[#This Row],[Student Residence &lt;18 Headcount]]+StuAccomUnder18[[#This Row],[Boarding School &lt;18 Headcount]]))</f>
        <v>27851.58</v>
      </c>
      <c r="L28" s="74">
        <f>IF(StuAccomUnder18[[#This Row],[FN of  Res. North/South (North of 53 parallel)]]="South",StuAccomUnder18[[#This Row],[Mandatory PHP &lt;18 Headcount]]*$D$7,INDEX('VTA Data'!$L$4:$L$6,MATCH(StuAccomUnder18[[#This Row],[Band Number]],'VTA Data'!$A$4:$A$6,0))*StuAccomUnder18[[#This Row],[Mandatory PHP &lt;18 Headcount]])</f>
        <v>2476</v>
      </c>
      <c r="M28" s="87">
        <f>IF(StuAccomUnder18[[#This Row],[FN of  Res. North/South (North of 53 parallel)]]="South",StuAccomUnder18[[#This Row],[Mandatory PHP &lt;18 Headcount]]*$D$8,IF(StuAccomUnder18[[#This Row],[FN of  Res. North/South (North of 53 parallel)]]="North",StuAccomUnder18[[#This Row],[Mandatory PHP &lt;18 Headcount]]*$E$8,0))</f>
        <v>324.58</v>
      </c>
      <c r="N28" s="87">
        <f>$C$9*StuAccomUnder18[[#This Row],[5-Day Room &amp; Board &lt;18 Headcount]]</f>
        <v>0</v>
      </c>
      <c r="O28" s="106">
        <f t="shared" si="0"/>
        <v>30652</v>
      </c>
    </row>
    <row r="29" spans="1:15" ht="15">
      <c r="A29" s="51">
        <v>275</v>
      </c>
      <c r="B29" t="s">
        <v>390</v>
      </c>
      <c r="C29">
        <v>3342</v>
      </c>
      <c r="D29" t="s">
        <v>978</v>
      </c>
      <c r="E29" t="s">
        <v>666</v>
      </c>
      <c r="F29" t="str">
        <f>INDEX(TableAFNSchools[North/South of 53rd Parallel &amp; Fly-in = North],MATCH(StuAccomUnder18[[#This Row],[Band Number]],TableAFNSchools[Band No '#],0))</f>
        <v>South</v>
      </c>
      <c r="G29">
        <v>1</v>
      </c>
      <c r="H29">
        <v>0</v>
      </c>
      <c r="I29">
        <f>'B.1 Accommmodation Data'!H25</f>
        <v>0</v>
      </c>
      <c r="J29">
        <f>'B.1 Accommmodation Data'!J25</f>
        <v>0</v>
      </c>
      <c r="K29" s="74">
        <f>($C$5*StuAccomUnder18[[#This Row],[Mandatory PHP &lt;18 Headcount]])+($C$6*(StuAccomUnder18[[#This Row],[Student Residence &lt;18 Headcount]]+StuAccomUnder18[[#This Row],[Boarding School &lt;18 Headcount]]))</f>
        <v>13925.79</v>
      </c>
      <c r="L29" s="74">
        <f>IF(StuAccomUnder18[[#This Row],[FN of  Res. North/South (North of 53 parallel)]]="South",StuAccomUnder18[[#This Row],[Mandatory PHP &lt;18 Headcount]]*$D$7,INDEX('VTA Data'!$L$4:$L$6,MATCH(StuAccomUnder18[[#This Row],[Band Number]],'VTA Data'!$A$4:$A$6,0))*StuAccomUnder18[[#This Row],[Mandatory PHP &lt;18 Headcount]])</f>
        <v>1238</v>
      </c>
      <c r="M29" s="87">
        <f>IF(StuAccomUnder18[[#This Row],[FN of  Res. North/South (North of 53 parallel)]]="South",StuAccomUnder18[[#This Row],[Mandatory PHP &lt;18 Headcount]]*$D$8,IF(StuAccomUnder18[[#This Row],[FN of  Res. North/South (North of 53 parallel)]]="North",StuAccomUnder18[[#This Row],[Mandatory PHP &lt;18 Headcount]]*$E$8,0))</f>
        <v>162.29</v>
      </c>
      <c r="N29" s="87">
        <f>$C$9*StuAccomUnder18[[#This Row],[5-Day Room &amp; Board &lt;18 Headcount]]</f>
        <v>0</v>
      </c>
      <c r="O29" s="106">
        <f t="shared" si="0"/>
        <v>15326</v>
      </c>
    </row>
    <row r="30" spans="1:15" ht="15">
      <c r="A30" s="51">
        <v>275</v>
      </c>
      <c r="B30" t="s">
        <v>390</v>
      </c>
      <c r="C30">
        <v>3395</v>
      </c>
      <c r="D30" t="s">
        <v>970</v>
      </c>
      <c r="E30" t="s">
        <v>666</v>
      </c>
      <c r="F30" t="str">
        <f>INDEX(TableAFNSchools[North/South of 53rd Parallel &amp; Fly-in = North],MATCH(StuAccomUnder18[[#This Row],[Band Number]],TableAFNSchools[Band No '#],0))</f>
        <v>South</v>
      </c>
      <c r="G30">
        <v>2</v>
      </c>
      <c r="H30">
        <v>0</v>
      </c>
      <c r="I30">
        <f>'B.1 Accommmodation Data'!H26</f>
        <v>0</v>
      </c>
      <c r="J30">
        <f>'B.1 Accommmodation Data'!J26</f>
        <v>0</v>
      </c>
      <c r="K30" s="74">
        <f>($C$5*StuAccomUnder18[[#This Row],[Mandatory PHP &lt;18 Headcount]])+($C$6*(StuAccomUnder18[[#This Row],[Student Residence &lt;18 Headcount]]+StuAccomUnder18[[#This Row],[Boarding School &lt;18 Headcount]]))</f>
        <v>27851.58</v>
      </c>
      <c r="L30" s="74">
        <f>IF(StuAccomUnder18[[#This Row],[FN of  Res. North/South (North of 53 parallel)]]="South",StuAccomUnder18[[#This Row],[Mandatory PHP &lt;18 Headcount]]*$D$7,INDEX('VTA Data'!$L$4:$L$6,MATCH(StuAccomUnder18[[#This Row],[Band Number]],'VTA Data'!$A$4:$A$6,0))*StuAccomUnder18[[#This Row],[Mandatory PHP &lt;18 Headcount]])</f>
        <v>2476</v>
      </c>
      <c r="M30" s="87">
        <f>IF(StuAccomUnder18[[#This Row],[FN of  Res. North/South (North of 53 parallel)]]="South",StuAccomUnder18[[#This Row],[Mandatory PHP &lt;18 Headcount]]*$D$8,IF(StuAccomUnder18[[#This Row],[FN of  Res. North/South (North of 53 parallel)]]="North",StuAccomUnder18[[#This Row],[Mandatory PHP &lt;18 Headcount]]*$E$8,0))</f>
        <v>324.58</v>
      </c>
      <c r="N30" s="87">
        <f>$C$9*StuAccomUnder18[[#This Row],[5-Day Room &amp; Board &lt;18 Headcount]]</f>
        <v>0</v>
      </c>
      <c r="O30" s="106">
        <f t="shared" si="0"/>
        <v>30652</v>
      </c>
    </row>
    <row r="31" spans="1:15" ht="15">
      <c r="A31" s="51">
        <v>275</v>
      </c>
      <c r="B31" t="s">
        <v>390</v>
      </c>
      <c r="C31">
        <v>3400</v>
      </c>
      <c r="D31" t="s">
        <v>979</v>
      </c>
      <c r="E31" t="s">
        <v>666</v>
      </c>
      <c r="F31" t="str">
        <f>INDEX(TableAFNSchools[North/South of 53rd Parallel &amp; Fly-in = North],MATCH(StuAccomUnder18[[#This Row],[Band Number]],TableAFNSchools[Band No '#],0))</f>
        <v>South</v>
      </c>
      <c r="G31">
        <v>1</v>
      </c>
      <c r="H31">
        <v>0</v>
      </c>
      <c r="I31">
        <f>'B.1 Accommmodation Data'!H27</f>
        <v>0</v>
      </c>
      <c r="J31">
        <f>'B.1 Accommmodation Data'!J27</f>
        <v>0</v>
      </c>
      <c r="K31" s="74">
        <f>($C$5*StuAccomUnder18[[#This Row],[Mandatory PHP &lt;18 Headcount]])+($C$6*(StuAccomUnder18[[#This Row],[Student Residence &lt;18 Headcount]]+StuAccomUnder18[[#This Row],[Boarding School &lt;18 Headcount]]))</f>
        <v>13925.79</v>
      </c>
      <c r="L31" s="74">
        <f>IF(StuAccomUnder18[[#This Row],[FN of  Res. North/South (North of 53 parallel)]]="South",StuAccomUnder18[[#This Row],[Mandatory PHP &lt;18 Headcount]]*$D$7,INDEX('VTA Data'!$L$4:$L$6,MATCH(StuAccomUnder18[[#This Row],[Band Number]],'VTA Data'!$A$4:$A$6,0))*StuAccomUnder18[[#This Row],[Mandatory PHP &lt;18 Headcount]])</f>
        <v>1238</v>
      </c>
      <c r="M31" s="87">
        <f>IF(StuAccomUnder18[[#This Row],[FN of  Res. North/South (North of 53 parallel)]]="South",StuAccomUnder18[[#This Row],[Mandatory PHP &lt;18 Headcount]]*$D$8,IF(StuAccomUnder18[[#This Row],[FN of  Res. North/South (North of 53 parallel)]]="North",StuAccomUnder18[[#This Row],[Mandatory PHP &lt;18 Headcount]]*$E$8,0))</f>
        <v>162.29</v>
      </c>
      <c r="N31" s="87">
        <f>$C$9*StuAccomUnder18[[#This Row],[5-Day Room &amp; Board &lt;18 Headcount]]</f>
        <v>0</v>
      </c>
      <c r="O31" s="106">
        <f t="shared" si="0"/>
        <v>15326</v>
      </c>
    </row>
    <row r="32" spans="1:15" ht="15">
      <c r="A32" s="51">
        <v>275</v>
      </c>
      <c r="B32" t="s">
        <v>390</v>
      </c>
      <c r="C32">
        <v>3460</v>
      </c>
      <c r="D32" t="s">
        <v>980</v>
      </c>
      <c r="E32" t="s">
        <v>666</v>
      </c>
      <c r="F32" t="str">
        <f>INDEX(TableAFNSchools[North/South of 53rd Parallel &amp; Fly-in = North],MATCH(StuAccomUnder18[[#This Row],[Band Number]],TableAFNSchools[Band No '#],0))</f>
        <v>South</v>
      </c>
      <c r="G32">
        <v>1</v>
      </c>
      <c r="H32">
        <v>0</v>
      </c>
      <c r="I32">
        <f>'B.1 Accommmodation Data'!H28</f>
        <v>0</v>
      </c>
      <c r="J32">
        <f>'B.1 Accommmodation Data'!J28</f>
        <v>0</v>
      </c>
      <c r="K32" s="74">
        <f>($C$5*StuAccomUnder18[[#This Row],[Mandatory PHP &lt;18 Headcount]])+($C$6*(StuAccomUnder18[[#This Row],[Student Residence &lt;18 Headcount]]+StuAccomUnder18[[#This Row],[Boarding School &lt;18 Headcount]]))</f>
        <v>13925.79</v>
      </c>
      <c r="L32" s="74">
        <f>IF(StuAccomUnder18[[#This Row],[FN of  Res. North/South (North of 53 parallel)]]="South",StuAccomUnder18[[#This Row],[Mandatory PHP &lt;18 Headcount]]*$D$7,INDEX('VTA Data'!$L$4:$L$6,MATCH(StuAccomUnder18[[#This Row],[Band Number]],'VTA Data'!$A$4:$A$6,0))*StuAccomUnder18[[#This Row],[Mandatory PHP &lt;18 Headcount]])</f>
        <v>1238</v>
      </c>
      <c r="M32" s="87">
        <f>IF(StuAccomUnder18[[#This Row],[FN of  Res. North/South (North of 53 parallel)]]="South",StuAccomUnder18[[#This Row],[Mandatory PHP &lt;18 Headcount]]*$D$8,IF(StuAccomUnder18[[#This Row],[FN of  Res. North/South (North of 53 parallel)]]="North",StuAccomUnder18[[#This Row],[Mandatory PHP &lt;18 Headcount]]*$E$8,0))</f>
        <v>162.29</v>
      </c>
      <c r="N32" s="87">
        <f>$C$9*StuAccomUnder18[[#This Row],[5-Day Room &amp; Board &lt;18 Headcount]]</f>
        <v>0</v>
      </c>
      <c r="O32" s="106">
        <f t="shared" si="0"/>
        <v>15326</v>
      </c>
    </row>
    <row r="33" spans="1:15" ht="15">
      <c r="A33" s="51">
        <v>275</v>
      </c>
      <c r="B33" t="s">
        <v>390</v>
      </c>
      <c r="C33">
        <v>5725</v>
      </c>
      <c r="D33" t="s">
        <v>971</v>
      </c>
      <c r="E33" t="s">
        <v>666</v>
      </c>
      <c r="F33" t="str">
        <f>INDEX(TableAFNSchools[North/South of 53rd Parallel &amp; Fly-in = North],MATCH(StuAccomUnder18[[#This Row],[Band Number]],TableAFNSchools[Band No '#],0))</f>
        <v>South</v>
      </c>
      <c r="G33">
        <v>4</v>
      </c>
      <c r="H33">
        <v>0</v>
      </c>
      <c r="I33">
        <f>'B.1 Accommmodation Data'!H29</f>
        <v>0</v>
      </c>
      <c r="J33">
        <f>'B.1 Accommmodation Data'!J29</f>
        <v>0</v>
      </c>
      <c r="K33" s="74">
        <f>($C$5*StuAccomUnder18[[#This Row],[Mandatory PHP &lt;18 Headcount]])+($C$6*(StuAccomUnder18[[#This Row],[Student Residence &lt;18 Headcount]]+StuAccomUnder18[[#This Row],[Boarding School &lt;18 Headcount]]))</f>
        <v>55703.16</v>
      </c>
      <c r="L33" s="74">
        <f>IF(StuAccomUnder18[[#This Row],[FN of  Res. North/South (North of 53 parallel)]]="South",StuAccomUnder18[[#This Row],[Mandatory PHP &lt;18 Headcount]]*$D$7,INDEX('VTA Data'!$L$4:$L$6,MATCH(StuAccomUnder18[[#This Row],[Band Number]],'VTA Data'!$A$4:$A$6,0))*StuAccomUnder18[[#This Row],[Mandatory PHP &lt;18 Headcount]])</f>
        <v>4952</v>
      </c>
      <c r="M33" s="87">
        <f>IF(StuAccomUnder18[[#This Row],[FN of  Res. North/South (North of 53 parallel)]]="South",StuAccomUnder18[[#This Row],[Mandatory PHP &lt;18 Headcount]]*$D$8,IF(StuAccomUnder18[[#This Row],[FN of  Res. North/South (North of 53 parallel)]]="North",StuAccomUnder18[[#This Row],[Mandatory PHP &lt;18 Headcount]]*$E$8,0))</f>
        <v>649.16</v>
      </c>
      <c r="N33" s="87">
        <f>$C$9*StuAccomUnder18[[#This Row],[5-Day Room &amp; Board &lt;18 Headcount]]</f>
        <v>0</v>
      </c>
      <c r="O33" s="106">
        <f t="shared" si="0"/>
        <v>61304</v>
      </c>
    </row>
    <row r="34" spans="1:15" ht="15">
      <c r="A34" s="51">
        <v>275</v>
      </c>
      <c r="B34" t="s">
        <v>390</v>
      </c>
      <c r="C34">
        <v>5736</v>
      </c>
      <c r="D34" t="s">
        <v>981</v>
      </c>
      <c r="E34" t="s">
        <v>666</v>
      </c>
      <c r="F34" t="str">
        <f>INDEX(TableAFNSchools[North/South of 53rd Parallel &amp; Fly-in = North],MATCH(StuAccomUnder18[[#This Row],[Band Number]],TableAFNSchools[Band No '#],0))</f>
        <v>South</v>
      </c>
      <c r="G34">
        <v>1</v>
      </c>
      <c r="H34">
        <v>0</v>
      </c>
      <c r="I34">
        <f>'B.1 Accommmodation Data'!H30</f>
        <v>0</v>
      </c>
      <c r="J34">
        <f>'B.1 Accommmodation Data'!J30</f>
        <v>0</v>
      </c>
      <c r="K34" s="74">
        <f>($C$5*StuAccomUnder18[[#This Row],[Mandatory PHP &lt;18 Headcount]])+($C$6*(StuAccomUnder18[[#This Row],[Student Residence &lt;18 Headcount]]+StuAccomUnder18[[#This Row],[Boarding School &lt;18 Headcount]]))</f>
        <v>13925.79</v>
      </c>
      <c r="L34" s="74">
        <f>IF(StuAccomUnder18[[#This Row],[FN of  Res. North/South (North of 53 parallel)]]="South",StuAccomUnder18[[#This Row],[Mandatory PHP &lt;18 Headcount]]*$D$7,INDEX('VTA Data'!$L$4:$L$6,MATCH(StuAccomUnder18[[#This Row],[Band Number]],'VTA Data'!$A$4:$A$6,0))*StuAccomUnder18[[#This Row],[Mandatory PHP &lt;18 Headcount]])</f>
        <v>1238</v>
      </c>
      <c r="M34" s="87">
        <f>IF(StuAccomUnder18[[#This Row],[FN of  Res. North/South (North of 53 parallel)]]="South",StuAccomUnder18[[#This Row],[Mandatory PHP &lt;18 Headcount]]*$D$8,IF(StuAccomUnder18[[#This Row],[FN of  Res. North/South (North of 53 parallel)]]="North",StuAccomUnder18[[#This Row],[Mandatory PHP &lt;18 Headcount]]*$E$8,0))</f>
        <v>162.29</v>
      </c>
      <c r="N34" s="87">
        <f>$C$9*StuAccomUnder18[[#This Row],[5-Day Room &amp; Board &lt;18 Headcount]]</f>
        <v>0</v>
      </c>
      <c r="O34" s="106">
        <f t="shared" si="0"/>
        <v>15326</v>
      </c>
    </row>
    <row r="35" spans="1:15" ht="15">
      <c r="A35" s="51">
        <v>286</v>
      </c>
      <c r="B35" t="s">
        <v>406</v>
      </c>
      <c r="C35">
        <v>3310</v>
      </c>
      <c r="D35" t="s">
        <v>968</v>
      </c>
      <c r="E35" t="s">
        <v>666</v>
      </c>
      <c r="F35" t="str">
        <f>INDEX(TableAFNSchools[North/South of 53rd Parallel &amp; Fly-in = North],MATCH(StuAccomUnder18[[#This Row],[Band Number]],TableAFNSchools[Band No '#],0))</f>
        <v>South</v>
      </c>
      <c r="G35">
        <v>0</v>
      </c>
      <c r="H35">
        <v>0</v>
      </c>
      <c r="I35">
        <f>'B.1 Accommmodation Data'!H31</f>
        <v>0</v>
      </c>
      <c r="J35">
        <f>'B.1 Accommmodation Data'!J31</f>
        <v>0</v>
      </c>
      <c r="K35" s="74">
        <f>($C$5*StuAccomUnder18[[#This Row],[Mandatory PHP &lt;18 Headcount]])+($C$6*(StuAccomUnder18[[#This Row],[Student Residence &lt;18 Headcount]]+StuAccomUnder18[[#This Row],[Boarding School &lt;18 Headcount]]))</f>
        <v>0</v>
      </c>
      <c r="L35" s="74">
        <f>IF(StuAccomUnder18[[#This Row],[FN of  Res. North/South (North of 53 parallel)]]="South",StuAccomUnder18[[#This Row],[Mandatory PHP &lt;18 Headcount]]*$D$7,INDEX('VTA Data'!$L$4:$L$6,MATCH(StuAccomUnder18[[#This Row],[Band Number]],'VTA Data'!$A$4:$A$6,0))*StuAccomUnder18[[#This Row],[Mandatory PHP &lt;18 Headcount]])</f>
        <v>0</v>
      </c>
      <c r="M35" s="87">
        <f>IF(StuAccomUnder18[[#This Row],[FN of  Res. North/South (North of 53 parallel)]]="South",StuAccomUnder18[[#This Row],[Mandatory PHP &lt;18 Headcount]]*$D$8,IF(StuAccomUnder18[[#This Row],[FN of  Res. North/South (North of 53 parallel)]]="North",StuAccomUnder18[[#This Row],[Mandatory PHP &lt;18 Headcount]]*$E$8,0))</f>
        <v>0</v>
      </c>
      <c r="N35" s="87">
        <f>$C$9*StuAccomUnder18[[#This Row],[5-Day Room &amp; Board &lt;18 Headcount]]</f>
        <v>0</v>
      </c>
      <c r="O35" s="106">
        <f t="shared" si="0"/>
        <v>0</v>
      </c>
    </row>
    <row r="36" spans="1:15" ht="15">
      <c r="A36" s="51">
        <v>304</v>
      </c>
      <c r="B36" t="s">
        <v>641</v>
      </c>
      <c r="C36">
        <v>1758</v>
      </c>
      <c r="D36" t="s">
        <v>982</v>
      </c>
      <c r="E36" t="s">
        <v>666</v>
      </c>
      <c r="F36" t="str">
        <f>INDEX(TableAFNSchools[North/South of 53rd Parallel &amp; Fly-in = North],MATCH(StuAccomUnder18[[#This Row],[Band Number]],TableAFNSchools[Band No '#],0))</f>
        <v>North</v>
      </c>
      <c r="G36">
        <v>0</v>
      </c>
      <c r="H36">
        <v>2</v>
      </c>
      <c r="I36">
        <f>'B.1 Accommmodation Data'!H32</f>
        <v>0</v>
      </c>
      <c r="J36">
        <f>'B.1 Accommmodation Data'!J32</f>
        <v>0</v>
      </c>
      <c r="K36" s="74">
        <f>($C$5*StuAccomUnder18[[#This Row],[Mandatory PHP &lt;18 Headcount]])+($C$6*(StuAccomUnder18[[#This Row],[Student Residence &lt;18 Headcount]]+StuAccomUnder18[[#This Row],[Boarding School &lt;18 Headcount]]))</f>
        <v>42714.14</v>
      </c>
      <c r="L36" s="74">
        <f>IF(StuAccomUnder18[[#This Row],[FN of  Res. North/South (North of 53 parallel)]]="South",StuAccomUnder18[[#This Row],[Mandatory PHP &lt;18 Headcount]]*$D$7,INDEX('VTA Data'!$L$4:$L$6,MATCH(StuAccomUnder18[[#This Row],[Band Number]],'VTA Data'!$A$4:$A$6,0))*StuAccomUnder18[[#This Row],[Mandatory PHP &lt;18 Headcount]])</f>
        <v>0</v>
      </c>
      <c r="M36" s="87">
        <f>IF(StuAccomUnder18[[#This Row],[FN of  Res. North/South (North of 53 parallel)]]="South",StuAccomUnder18[[#This Row],[Mandatory PHP &lt;18 Headcount]]*$D$8,IF(StuAccomUnder18[[#This Row],[FN of  Res. North/South (North of 53 parallel)]]="North",StuAccomUnder18[[#This Row],[Mandatory PHP &lt;18 Headcount]]*$E$8,0))</f>
        <v>0</v>
      </c>
      <c r="N36" s="87">
        <f>$C$9*StuAccomUnder18[[#This Row],[5-Day Room &amp; Board &lt;18 Headcount]]</f>
        <v>0</v>
      </c>
      <c r="O36" s="106">
        <f t="shared" si="0"/>
        <v>42714</v>
      </c>
    </row>
    <row r="37" spans="1:15" ht="15">
      <c r="A37" s="51">
        <v>304</v>
      </c>
      <c r="B37" t="s">
        <v>641</v>
      </c>
      <c r="C37">
        <v>1761</v>
      </c>
      <c r="D37" t="s">
        <v>983</v>
      </c>
      <c r="E37" t="s">
        <v>666</v>
      </c>
      <c r="F37" t="str">
        <f>INDEX(TableAFNSchools[North/South of 53rd Parallel &amp; Fly-in = North],MATCH(StuAccomUnder18[[#This Row],[Band Number]],TableAFNSchools[Band No '#],0))</f>
        <v>North</v>
      </c>
      <c r="G37">
        <v>0</v>
      </c>
      <c r="H37">
        <v>0</v>
      </c>
      <c r="I37">
        <f>'B.1 Accommmodation Data'!H33</f>
        <v>0</v>
      </c>
      <c r="J37">
        <f>'B.1 Accommmodation Data'!J33</f>
        <v>0</v>
      </c>
      <c r="K37" s="74">
        <f>($C$5*StuAccomUnder18[[#This Row],[Mandatory PHP &lt;18 Headcount]])+($C$6*(StuAccomUnder18[[#This Row],[Student Residence &lt;18 Headcount]]+StuAccomUnder18[[#This Row],[Boarding School &lt;18 Headcount]]))</f>
        <v>0</v>
      </c>
      <c r="L37" s="74">
        <f>IF(StuAccomUnder18[[#This Row],[FN of  Res. North/South (North of 53 parallel)]]="South",StuAccomUnder18[[#This Row],[Mandatory PHP &lt;18 Headcount]]*$D$7,INDEX('VTA Data'!$L$4:$L$6,MATCH(StuAccomUnder18[[#This Row],[Band Number]],'VTA Data'!$A$4:$A$6,0))*StuAccomUnder18[[#This Row],[Mandatory PHP &lt;18 Headcount]])</f>
        <v>0</v>
      </c>
      <c r="M37" s="87">
        <f>IF(StuAccomUnder18[[#This Row],[FN of  Res. North/South (North of 53 parallel)]]="South",StuAccomUnder18[[#This Row],[Mandatory PHP &lt;18 Headcount]]*$D$8,IF(StuAccomUnder18[[#This Row],[FN of  Res. North/South (North of 53 parallel)]]="North",StuAccomUnder18[[#This Row],[Mandatory PHP &lt;18 Headcount]]*$E$8,0))</f>
        <v>0</v>
      </c>
      <c r="N37" s="87">
        <f>$C$9*StuAccomUnder18[[#This Row],[5-Day Room &amp; Board &lt;18 Headcount]]</f>
        <v>0</v>
      </c>
      <c r="O37" s="106">
        <f t="shared" si="0"/>
        <v>0</v>
      </c>
    </row>
    <row r="38" spans="1:15" ht="15">
      <c r="A38" s="51">
        <v>304</v>
      </c>
      <c r="B38" t="s">
        <v>641</v>
      </c>
      <c r="C38">
        <v>1765</v>
      </c>
      <c r="D38" t="s">
        <v>984</v>
      </c>
      <c r="E38" t="s">
        <v>666</v>
      </c>
      <c r="F38" t="str">
        <f>INDEX(TableAFNSchools[North/South of 53rd Parallel &amp; Fly-in = North],MATCH(StuAccomUnder18[[#This Row],[Band Number]],TableAFNSchools[Band No '#],0))</f>
        <v>North</v>
      </c>
      <c r="G38">
        <v>1</v>
      </c>
      <c r="H38">
        <v>0</v>
      </c>
      <c r="I38">
        <f>'B.1 Accommmodation Data'!H34</f>
        <v>0</v>
      </c>
      <c r="J38">
        <f>'B.1 Accommmodation Data'!J34</f>
        <v>0</v>
      </c>
      <c r="K38" s="74">
        <f>($C$5*StuAccomUnder18[[#This Row],[Mandatory PHP &lt;18 Headcount]])+($C$6*(StuAccomUnder18[[#This Row],[Student Residence &lt;18 Headcount]]+StuAccomUnder18[[#This Row],[Boarding School &lt;18 Headcount]]))</f>
        <v>13925.79</v>
      </c>
      <c r="L38" s="74">
        <f>IF(StuAccomUnder18[[#This Row],[FN of  Res. North/South (North of 53 parallel)]]="South",StuAccomUnder18[[#This Row],[Mandatory PHP &lt;18 Headcount]]*$D$7,INDEX('VTA Data'!$L$4:$L$6,MATCH(StuAccomUnder18[[#This Row],[Band Number]],'VTA Data'!$A$4:$A$6,0))*StuAccomUnder18[[#This Row],[Mandatory PHP &lt;18 Headcount]])</f>
        <v>10005</v>
      </c>
      <c r="M38" s="87">
        <f>IF(StuAccomUnder18[[#This Row],[FN of  Res. North/South (North of 53 parallel)]]="South",StuAccomUnder18[[#This Row],[Mandatory PHP &lt;18 Headcount]]*$D$8,IF(StuAccomUnder18[[#This Row],[FN of  Res. North/South (North of 53 parallel)]]="North",StuAccomUnder18[[#This Row],[Mandatory PHP &lt;18 Headcount]]*$E$8,0))</f>
        <v>540.97</v>
      </c>
      <c r="N38" s="87">
        <f>$C$9*StuAccomUnder18[[#This Row],[5-Day Room &amp; Board &lt;18 Headcount]]</f>
        <v>0</v>
      </c>
      <c r="O38" s="106">
        <f t="shared" si="0"/>
        <v>24472</v>
      </c>
    </row>
    <row r="39" spans="1:15" ht="15">
      <c r="A39" s="51">
        <v>304</v>
      </c>
      <c r="B39" t="s">
        <v>641</v>
      </c>
      <c r="C39">
        <v>3395</v>
      </c>
      <c r="D39" t="s">
        <v>970</v>
      </c>
      <c r="E39" t="s">
        <v>666</v>
      </c>
      <c r="F39" t="str">
        <f>INDEX(TableAFNSchools[North/South of 53rd Parallel &amp; Fly-in = North],MATCH(StuAccomUnder18[[#This Row],[Band Number]],TableAFNSchools[Band No '#],0))</f>
        <v>North</v>
      </c>
      <c r="G39">
        <v>0</v>
      </c>
      <c r="H39">
        <v>0</v>
      </c>
      <c r="I39">
        <f>'B.1 Accommmodation Data'!H35</f>
        <v>0</v>
      </c>
      <c r="J39">
        <f>'B.1 Accommmodation Data'!J35</f>
        <v>0</v>
      </c>
      <c r="K39" s="74">
        <f>($C$5*StuAccomUnder18[[#This Row],[Mandatory PHP &lt;18 Headcount]])+($C$6*(StuAccomUnder18[[#This Row],[Student Residence &lt;18 Headcount]]+StuAccomUnder18[[#This Row],[Boarding School &lt;18 Headcount]]))</f>
        <v>0</v>
      </c>
      <c r="L39" s="74">
        <f>IF(StuAccomUnder18[[#This Row],[FN of  Res. North/South (North of 53 parallel)]]="South",StuAccomUnder18[[#This Row],[Mandatory PHP &lt;18 Headcount]]*$D$7,INDEX('VTA Data'!$L$4:$L$6,MATCH(StuAccomUnder18[[#This Row],[Band Number]],'VTA Data'!$A$4:$A$6,0))*StuAccomUnder18[[#This Row],[Mandatory PHP &lt;18 Headcount]])</f>
        <v>0</v>
      </c>
      <c r="M39" s="87">
        <f>IF(StuAccomUnder18[[#This Row],[FN of  Res. North/South (North of 53 parallel)]]="South",StuAccomUnder18[[#This Row],[Mandatory PHP &lt;18 Headcount]]*$D$8,IF(StuAccomUnder18[[#This Row],[FN of  Res. North/South (North of 53 parallel)]]="North",StuAccomUnder18[[#This Row],[Mandatory PHP &lt;18 Headcount]]*$E$8,0))</f>
        <v>0</v>
      </c>
      <c r="N39" s="87">
        <f>$C$9*StuAccomUnder18[[#This Row],[5-Day Room &amp; Board &lt;18 Headcount]]</f>
        <v>0</v>
      </c>
      <c r="O39" s="106">
        <f t="shared" si="0"/>
        <v>0</v>
      </c>
    </row>
    <row r="40" spans="1:15" ht="15">
      <c r="A40" s="51">
        <v>304</v>
      </c>
      <c r="B40" t="s">
        <v>641</v>
      </c>
      <c r="C40">
        <v>3478</v>
      </c>
      <c r="D40" t="s">
        <v>985</v>
      </c>
      <c r="E40" t="s">
        <v>666</v>
      </c>
      <c r="F40" t="str">
        <f>INDEX(TableAFNSchools[North/South of 53rd Parallel &amp; Fly-in = North],MATCH(StuAccomUnder18[[#This Row],[Band Number]],TableAFNSchools[Band No '#],0))</f>
        <v>North</v>
      </c>
      <c r="G40">
        <v>1</v>
      </c>
      <c r="H40">
        <v>0</v>
      </c>
      <c r="I40">
        <f>'B.1 Accommmodation Data'!H36</f>
        <v>0</v>
      </c>
      <c r="J40">
        <f>'B.1 Accommmodation Data'!J36</f>
        <v>0</v>
      </c>
      <c r="K40" s="74">
        <f>($C$5*StuAccomUnder18[[#This Row],[Mandatory PHP &lt;18 Headcount]])+($C$6*(StuAccomUnder18[[#This Row],[Student Residence &lt;18 Headcount]]+StuAccomUnder18[[#This Row],[Boarding School &lt;18 Headcount]]))</f>
        <v>13925.79</v>
      </c>
      <c r="L40" s="74">
        <f>IF(StuAccomUnder18[[#This Row],[FN of  Res. North/South (North of 53 parallel)]]="South",StuAccomUnder18[[#This Row],[Mandatory PHP &lt;18 Headcount]]*$D$7,INDEX('VTA Data'!$L$4:$L$6,MATCH(StuAccomUnder18[[#This Row],[Band Number]],'VTA Data'!$A$4:$A$6,0))*StuAccomUnder18[[#This Row],[Mandatory PHP &lt;18 Headcount]])</f>
        <v>10005</v>
      </c>
      <c r="M40" s="87">
        <f>IF(StuAccomUnder18[[#This Row],[FN of  Res. North/South (North of 53 parallel)]]="South",StuAccomUnder18[[#This Row],[Mandatory PHP &lt;18 Headcount]]*$D$8,IF(StuAccomUnder18[[#This Row],[FN of  Res. North/South (North of 53 parallel)]]="North",StuAccomUnder18[[#This Row],[Mandatory PHP &lt;18 Headcount]]*$E$8,0))</f>
        <v>540.97</v>
      </c>
      <c r="N40" s="87">
        <f>$C$9*StuAccomUnder18[[#This Row],[5-Day Room &amp; Board &lt;18 Headcount]]</f>
        <v>0</v>
      </c>
      <c r="O40" s="106">
        <f t="shared" si="0"/>
        <v>24472</v>
      </c>
    </row>
    <row r="41" spans="1:15" ht="15">
      <c r="A41" s="51">
        <v>304</v>
      </c>
      <c r="B41" t="s">
        <v>641</v>
      </c>
      <c r="C41">
        <v>3548</v>
      </c>
      <c r="D41" t="s">
        <v>986</v>
      </c>
      <c r="E41" t="s">
        <v>666</v>
      </c>
      <c r="F41" t="str">
        <f>INDEX(TableAFNSchools[North/South of 53rd Parallel &amp; Fly-in = North],MATCH(StuAccomUnder18[[#This Row],[Band Number]],TableAFNSchools[Band No '#],0))</f>
        <v>North</v>
      </c>
      <c r="G41">
        <v>8</v>
      </c>
      <c r="H41">
        <v>0</v>
      </c>
      <c r="I41">
        <f>'B.1 Accommmodation Data'!H37</f>
        <v>0</v>
      </c>
      <c r="J41">
        <f>'B.1 Accommmodation Data'!J37</f>
        <v>0</v>
      </c>
      <c r="K41" s="74">
        <f>($C$5*StuAccomUnder18[[#This Row],[Mandatory PHP &lt;18 Headcount]])+($C$6*(StuAccomUnder18[[#This Row],[Student Residence &lt;18 Headcount]]+StuAccomUnder18[[#This Row],[Boarding School &lt;18 Headcount]]))</f>
        <v>111406.32</v>
      </c>
      <c r="L41" s="74">
        <f>IF(StuAccomUnder18[[#This Row],[FN of  Res. North/South (North of 53 parallel)]]="South",StuAccomUnder18[[#This Row],[Mandatory PHP &lt;18 Headcount]]*$D$7,INDEX('VTA Data'!$L$4:$L$6,MATCH(StuAccomUnder18[[#This Row],[Band Number]],'VTA Data'!$A$4:$A$6,0))*StuAccomUnder18[[#This Row],[Mandatory PHP &lt;18 Headcount]])</f>
        <v>80040</v>
      </c>
      <c r="M41" s="87">
        <f>IF(StuAccomUnder18[[#This Row],[FN of  Res. North/South (North of 53 parallel)]]="South",StuAccomUnder18[[#This Row],[Mandatory PHP &lt;18 Headcount]]*$D$8,IF(StuAccomUnder18[[#This Row],[FN of  Res. North/South (North of 53 parallel)]]="North",StuAccomUnder18[[#This Row],[Mandatory PHP &lt;18 Headcount]]*$E$8,0))</f>
        <v>4327.76</v>
      </c>
      <c r="N41" s="87">
        <f>$C$9*StuAccomUnder18[[#This Row],[5-Day Room &amp; Board &lt;18 Headcount]]</f>
        <v>0</v>
      </c>
      <c r="O41" s="106">
        <f t="shared" si="0"/>
        <v>195774</v>
      </c>
    </row>
    <row r="42" spans="1:15" ht="15">
      <c r="A42" t="s">
        <v>72</v>
      </c>
      <c r="G42">
        <f>SUBTOTAL(109,StuAccomUnder18[Mandatory PHP &lt;18 Headcount])</f>
        <v>38</v>
      </c>
      <c r="H42">
        <f>SUBTOTAL(109,StuAccomUnder18[Student Residence &lt;18 Headcount])</f>
        <v>6</v>
      </c>
      <c r="I42">
        <f>SUBTOTAL(109,StuAccomUnder18[Boarding School &lt;18 Headcount])</f>
        <v>0</v>
      </c>
      <c r="J42">
        <f>SUBTOTAL(109,StuAccomUnder18[5-Day Room &amp; Board &lt;18 Headcount])</f>
        <v>0</v>
      </c>
      <c r="K42" s="74">
        <f>SUBTOTAL(109,StuAccomUnder18[PHP &amp; Residence Set Per Student Amount])</f>
        <v>657322.43999999994</v>
      </c>
      <c r="L42" s="74">
        <f>SUBTOTAL(109,StuAccomUnder18[PHP Seasonal Transportation])</f>
        <v>174425</v>
      </c>
      <c r="M42" s="74">
        <f>SUBTOTAL(109,StuAccomUnder18[Travel Chaperones])</f>
        <v>12604.58</v>
      </c>
      <c r="N42" s="74">
        <f>SUBTOTAL(109,StuAccomUnder18[5-Day Room &amp; Board Rate])</f>
        <v>0</v>
      </c>
      <c r="O42" s="106">
        <f>SUBTOTAL(109,StuAccomUnder18[TOTAL Student Accommodation &lt;18])</f>
        <v>844351</v>
      </c>
    </row>
    <row r="47" spans="1:15">
      <c r="M47">
        <f>StuAccomUnder18[[#Totals],[TOTAL Student Accommodation &lt;18]]+StudAccom1821[[#Totals],[TOTAL 18-21 PHP/Student Accommodation]]</f>
        <v>1551990</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6" tint="0.39997558519241921"/>
  </sheetPr>
  <dimension ref="A1:P98"/>
  <sheetViews>
    <sheetView topLeftCell="A11" workbookViewId="0"/>
  </sheetViews>
  <sheetFormatPr baseColWidth="10" defaultColWidth="9.19921875" defaultRowHeight="14"/>
  <cols>
    <col min="1" max="1" width="13.796875" customWidth="1"/>
    <col min="2" max="2" width="21" customWidth="1"/>
    <col min="3" max="3" width="11.19921875" customWidth="1"/>
    <col min="4" max="4" width="15.796875" customWidth="1"/>
    <col min="5" max="5" width="9.796875" customWidth="1"/>
    <col min="6" max="6" width="14" customWidth="1"/>
    <col min="7" max="7" width="16.3984375" customWidth="1"/>
    <col min="8" max="8" width="21.796875" customWidth="1"/>
    <col min="9" max="9" width="14.59765625" customWidth="1"/>
    <col min="10" max="10" width="15.796875" customWidth="1"/>
    <col min="11" max="11" width="17.19921875" customWidth="1"/>
    <col min="12" max="12" width="18.19921875" customWidth="1"/>
    <col min="13" max="13" width="21" customWidth="1"/>
    <col min="14" max="14" width="20.796875" customWidth="1"/>
    <col min="15" max="15" width="17.59765625" customWidth="1"/>
    <col min="16" max="16" width="6.19921875" customWidth="1"/>
    <col min="17" max="17" width="24.796875" customWidth="1"/>
  </cols>
  <sheetData>
    <row r="1" spans="1:16">
      <c r="A1" t="s">
        <v>987</v>
      </c>
      <c r="E1" t="s">
        <v>277</v>
      </c>
    </row>
    <row r="2" spans="1:16" ht="25.5" customHeight="1">
      <c r="A2" s="33" t="s">
        <v>988</v>
      </c>
    </row>
    <row r="4" spans="1:16" ht="15">
      <c r="B4" s="1226" t="s">
        <v>471</v>
      </c>
      <c r="C4" s="1226" t="s">
        <v>472</v>
      </c>
      <c r="D4" s="1226" t="s">
        <v>473</v>
      </c>
      <c r="E4" s="1226" t="s">
        <v>474</v>
      </c>
    </row>
    <row r="5" spans="1:16" ht="30">
      <c r="B5" s="1230" t="s">
        <v>961</v>
      </c>
      <c r="C5" s="1227">
        <f>'4. Accommodation &lt;18'!C5</f>
        <v>13925.79</v>
      </c>
      <c r="D5" s="874"/>
      <c r="E5" s="875"/>
    </row>
    <row r="6" spans="1:16" ht="30">
      <c r="B6" s="1230" t="s">
        <v>989</v>
      </c>
      <c r="C6" s="1227">
        <f>'4. Accommodation &lt;18'!C6</f>
        <v>21357.07</v>
      </c>
      <c r="D6" s="874"/>
      <c r="E6" s="875"/>
    </row>
    <row r="7" spans="1:16">
      <c r="B7" s="1274" t="s">
        <v>478</v>
      </c>
      <c r="C7" s="1228"/>
      <c r="D7" s="1229">
        <f>'4. Accommodation &lt;18'!D7</f>
        <v>1238</v>
      </c>
      <c r="E7" s="1229">
        <f>'4. Accommodation &lt;18'!E7</f>
        <v>4087</v>
      </c>
    </row>
    <row r="8" spans="1:16" ht="15">
      <c r="B8" s="1230" t="s">
        <v>480</v>
      </c>
      <c r="C8" s="1227">
        <f>'H. PHP Rates'!C7+'H. PHP Rates'!C8+'H. PHP Rates'!C9+'H. PHP Rates'!C10+'H. PHP Rates'!C14+'H. PHP Rates'!C15</f>
        <v>13831.79</v>
      </c>
      <c r="D8" s="874"/>
      <c r="E8" s="875"/>
    </row>
    <row r="9" spans="1:16">
      <c r="A9" s="121"/>
    </row>
    <row r="10" spans="1:16">
      <c r="A10" s="72"/>
      <c r="B10" s="72"/>
      <c r="C10" s="72"/>
      <c r="D10" s="72"/>
      <c r="E10" s="72"/>
      <c r="F10" s="72"/>
      <c r="G10" s="72"/>
      <c r="H10" s="72"/>
      <c r="I10" s="72"/>
      <c r="J10" s="72"/>
      <c r="K10" s="72"/>
      <c r="L10" s="72"/>
      <c r="M10" s="72"/>
      <c r="N10" s="72"/>
    </row>
    <row r="11" spans="1:16" ht="60">
      <c r="A11" s="493" t="s">
        <v>739</v>
      </c>
      <c r="B11" s="493" t="s">
        <v>481</v>
      </c>
      <c r="C11" s="493" t="s">
        <v>375</v>
      </c>
      <c r="D11" s="493" t="s">
        <v>331</v>
      </c>
      <c r="E11" s="493" t="s">
        <v>338</v>
      </c>
      <c r="F11" s="493" t="s">
        <v>482</v>
      </c>
      <c r="G11" s="114" t="s">
        <v>990</v>
      </c>
      <c r="H11" s="114" t="s">
        <v>991</v>
      </c>
      <c r="I11" s="114" t="s">
        <v>992</v>
      </c>
      <c r="J11" s="114" t="s">
        <v>993</v>
      </c>
      <c r="K11" s="114" t="s">
        <v>487</v>
      </c>
      <c r="L11" s="114" t="s">
        <v>488</v>
      </c>
      <c r="M11" s="114" t="s">
        <v>489</v>
      </c>
      <c r="N11" s="132" t="s">
        <v>994</v>
      </c>
    </row>
    <row r="12" spans="1:16">
      <c r="A12" s="617">
        <v>261</v>
      </c>
      <c r="B12" t="s">
        <v>733</v>
      </c>
      <c r="C12">
        <v>3370</v>
      </c>
      <c r="D12" t="s">
        <v>966</v>
      </c>
      <c r="E12" t="s">
        <v>666</v>
      </c>
      <c r="F12" t="str">
        <f>INDEX(TableAFNSchools[North/South of 53rd Parallel &amp; Fly-in = North],MATCH(StudAccom1821[[#This Row],[Band No.]],TableAFNSchools[Band No '#],0))</f>
        <v>South</v>
      </c>
      <c r="G12">
        <v>1</v>
      </c>
      <c r="H12">
        <v>0</v>
      </c>
      <c r="I12">
        <f>'B.1 Accommmodation Data'!M8</f>
        <v>0</v>
      </c>
      <c r="J12">
        <f>'B.1 Accommmodation Data'!O8</f>
        <v>0</v>
      </c>
      <c r="K12" s="74">
        <f>($C$5*StudAccom1821[[#This Row],[Mandatory PHP 18-21 Headcount]])+($C$6*(StudAccom1821[[#This Row],[Student Residence 18-21 Headcount]]+StudAccom1821[[#This Row],[Boarding School 18-21 Headcount]]))</f>
        <v>13925.79</v>
      </c>
      <c r="L12" s="74">
        <f>IF(StudAccom1821[[#This Row],[FN of  Res. North/South (North of 53 parallel)]]="South",StudAccom1821[[#This Row],[Mandatory PHP 18-21 Headcount]]*$D$7,INDEX('VTA Data'!$L$4:$L$6,MATCH(StudAccom1821[[#This Row],[Band No.]],'VTA Data'!$A$4:$A$6,0))*StudAccom1821[[#This Row],[Mandatory PHP 18-21 Headcount]])</f>
        <v>1238</v>
      </c>
      <c r="M12" s="87">
        <f>$C$8*StudAccom1821[[#This Row],[5-Day Room &amp; Board 18-21 Headcount]]</f>
        <v>0</v>
      </c>
      <c r="N12" s="87">
        <f t="shared" ref="N12:N37" si="0">ROUND(SUM(K12:M12),0)</f>
        <v>15164</v>
      </c>
    </row>
    <row r="13" spans="1:16">
      <c r="A13">
        <v>267</v>
      </c>
      <c r="B13" t="s">
        <v>392</v>
      </c>
      <c r="C13">
        <v>3282</v>
      </c>
      <c r="D13" t="s">
        <v>967</v>
      </c>
      <c r="E13" t="s">
        <v>666</v>
      </c>
      <c r="F13" t="str">
        <f>INDEX(TableAFNSchools[North/South of 53rd Parallel &amp; Fly-in = North],MATCH(StudAccom1821[[#This Row],[Band No.]],TableAFNSchools[Band No '#],0))</f>
        <v>North</v>
      </c>
      <c r="G13">
        <v>3</v>
      </c>
      <c r="H13">
        <v>0</v>
      </c>
      <c r="I13">
        <f>'B.1 Accommmodation Data'!M9</f>
        <v>0</v>
      </c>
      <c r="J13">
        <f>'B.1 Accommmodation Data'!O9</f>
        <v>0</v>
      </c>
      <c r="K13" s="139">
        <f>($C$5*StudAccom1821[[#This Row],[Mandatory PHP 18-21 Headcount]])+($C$6*(StudAccom1821[[#This Row],[Student Residence 18-21 Headcount]]+StudAccom1821[[#This Row],[Boarding School 18-21 Headcount]]))</f>
        <v>41777.370000000003</v>
      </c>
      <c r="L13" s="139">
        <f>IF(StudAccom1821[[#This Row],[FN of  Res. North/South (North of 53 parallel)]]="South",StudAccom1821[[#This Row],[Mandatory PHP 18-21 Headcount]]*$D$7,INDEX('VTA Data'!$L$4:$L$6,MATCH(StudAccom1821[[#This Row],[Band No.]],'VTA Data'!$A$4:$A$6,0))*StudAccom1821[[#This Row],[Mandatory PHP 18-21 Headcount]])</f>
        <v>20733</v>
      </c>
      <c r="M13" s="139">
        <f>$C$8*StudAccom1821[[#This Row],[5-Day Room &amp; Board 18-21 Headcount]]</f>
        <v>0</v>
      </c>
      <c r="N13" s="400">
        <f t="shared" si="0"/>
        <v>62510</v>
      </c>
    </row>
    <row r="14" spans="1:16">
      <c r="A14">
        <v>267</v>
      </c>
      <c r="B14" t="s">
        <v>392</v>
      </c>
      <c r="C14">
        <v>3310</v>
      </c>
      <c r="D14" t="s">
        <v>968</v>
      </c>
      <c r="E14" t="s">
        <v>666</v>
      </c>
      <c r="F14" t="str">
        <f>INDEX(TableAFNSchools[North/South of 53rd Parallel &amp; Fly-in = North],MATCH(StudAccom1821[[#This Row],[Band No.]],TableAFNSchools[Band No '#],0))</f>
        <v>North</v>
      </c>
      <c r="G14">
        <v>1</v>
      </c>
      <c r="H14">
        <v>0</v>
      </c>
      <c r="I14">
        <f>'B.1 Accommmodation Data'!M10</f>
        <v>0</v>
      </c>
      <c r="J14">
        <f>'B.1 Accommmodation Data'!O10</f>
        <v>0</v>
      </c>
      <c r="K14" s="139">
        <f>($C$5*StudAccom1821[[#This Row],[Mandatory PHP 18-21 Headcount]])+($C$6*(StudAccom1821[[#This Row],[Student Residence 18-21 Headcount]]+StudAccom1821[[#This Row],[Boarding School 18-21 Headcount]]))</f>
        <v>13925.79</v>
      </c>
      <c r="L14" s="139">
        <f>IF(StudAccom1821[[#This Row],[FN of  Res. North/South (North of 53 parallel)]]="South",StudAccom1821[[#This Row],[Mandatory PHP 18-21 Headcount]]*$D$7,INDEX('VTA Data'!$L$4:$L$6,MATCH(StudAccom1821[[#This Row],[Band No.]],'VTA Data'!$A$4:$A$6,0))*StudAccom1821[[#This Row],[Mandatory PHP 18-21 Headcount]])</f>
        <v>6911</v>
      </c>
      <c r="M14" s="139">
        <f>$C$8*StudAccom1821[[#This Row],[5-Day Room &amp; Board 18-21 Headcount]]</f>
        <v>0</v>
      </c>
      <c r="N14" s="400">
        <f t="shared" si="0"/>
        <v>20837</v>
      </c>
      <c r="P14">
        <v>1</v>
      </c>
    </row>
    <row r="15" spans="1:16">
      <c r="A15">
        <v>267</v>
      </c>
      <c r="B15" t="s">
        <v>392</v>
      </c>
      <c r="C15">
        <v>3362</v>
      </c>
      <c r="D15" t="s">
        <v>969</v>
      </c>
      <c r="E15" t="s">
        <v>666</v>
      </c>
      <c r="F15" t="str">
        <f>INDEX(TableAFNSchools[North/South of 53rd Parallel &amp; Fly-in = North],MATCH(StudAccom1821[[#This Row],[Band No.]],TableAFNSchools[Band No '#],0))</f>
        <v>North</v>
      </c>
      <c r="G15">
        <v>1</v>
      </c>
      <c r="H15">
        <v>0</v>
      </c>
      <c r="I15">
        <f>'B.1 Accommmodation Data'!M11</f>
        <v>0</v>
      </c>
      <c r="J15">
        <f>'B.1 Accommmodation Data'!O11</f>
        <v>0</v>
      </c>
      <c r="K15" s="139">
        <f>($C$5*StudAccom1821[[#This Row],[Mandatory PHP 18-21 Headcount]])+($C$6*(StudAccom1821[[#This Row],[Student Residence 18-21 Headcount]]+StudAccom1821[[#This Row],[Boarding School 18-21 Headcount]]))</f>
        <v>13925.79</v>
      </c>
      <c r="L15" s="139">
        <f>IF(StudAccom1821[[#This Row],[FN of  Res. North/South (North of 53 parallel)]]="South",StudAccom1821[[#This Row],[Mandatory PHP 18-21 Headcount]]*$D$7,INDEX('VTA Data'!$L$4:$L$6,MATCH(StudAccom1821[[#This Row],[Band No.]],'VTA Data'!$A$4:$A$6,0))*StudAccom1821[[#This Row],[Mandatory PHP 18-21 Headcount]])</f>
        <v>6911</v>
      </c>
      <c r="M15" s="139">
        <f>$C$8*StudAccom1821[[#This Row],[5-Day Room &amp; Board 18-21 Headcount]]</f>
        <v>0</v>
      </c>
      <c r="N15" s="400">
        <f t="shared" si="0"/>
        <v>20837</v>
      </c>
    </row>
    <row r="16" spans="1:16">
      <c r="A16">
        <v>267</v>
      </c>
      <c r="B16" t="s">
        <v>392</v>
      </c>
      <c r="C16">
        <v>3395</v>
      </c>
      <c r="D16" t="s">
        <v>970</v>
      </c>
      <c r="E16" t="s">
        <v>666</v>
      </c>
      <c r="F16" t="str">
        <f>INDEX(TableAFNSchools[North/South of 53rd Parallel &amp; Fly-in = North],MATCH(StudAccom1821[[#This Row],[Band No.]],TableAFNSchools[Band No '#],0))</f>
        <v>North</v>
      </c>
      <c r="G16">
        <v>3</v>
      </c>
      <c r="H16">
        <v>0</v>
      </c>
      <c r="I16">
        <f>'B.1 Accommmodation Data'!M12</f>
        <v>0</v>
      </c>
      <c r="J16">
        <f>'B.1 Accommmodation Data'!O12</f>
        <v>0</v>
      </c>
      <c r="K16" s="139">
        <f>($C$5*StudAccom1821[[#This Row],[Mandatory PHP 18-21 Headcount]])+($C$6*(StudAccom1821[[#This Row],[Student Residence 18-21 Headcount]]+StudAccom1821[[#This Row],[Boarding School 18-21 Headcount]]))</f>
        <v>41777.370000000003</v>
      </c>
      <c r="L16" s="139">
        <f>IF(StudAccom1821[[#This Row],[FN of  Res. North/South (North of 53 parallel)]]="South",StudAccom1821[[#This Row],[Mandatory PHP 18-21 Headcount]]*$D$7,INDEX('VTA Data'!$L$4:$L$6,MATCH(StudAccom1821[[#This Row],[Band No.]],'VTA Data'!$A$4:$A$6,0))*StudAccom1821[[#This Row],[Mandatory PHP 18-21 Headcount]])</f>
        <v>20733</v>
      </c>
      <c r="M16" s="139">
        <f>$C$8*StudAccom1821[[#This Row],[5-Day Room &amp; Board 18-21 Headcount]]</f>
        <v>0</v>
      </c>
      <c r="N16" s="400">
        <f t="shared" si="0"/>
        <v>62510</v>
      </c>
    </row>
    <row r="17" spans="1:14">
      <c r="A17">
        <v>267</v>
      </c>
      <c r="B17" t="s">
        <v>392</v>
      </c>
      <c r="C17">
        <v>5725</v>
      </c>
      <c r="D17" t="s">
        <v>971</v>
      </c>
      <c r="E17" t="s">
        <v>666</v>
      </c>
      <c r="F17" t="str">
        <f>INDEX(TableAFNSchools[North/South of 53rd Parallel &amp; Fly-in = North],MATCH(StudAccom1821[[#This Row],[Band No.]],TableAFNSchools[Band No '#],0))</f>
        <v>North</v>
      </c>
      <c r="G17">
        <v>0</v>
      </c>
      <c r="H17">
        <v>0</v>
      </c>
      <c r="I17">
        <f>'B.1 Accommmodation Data'!M13</f>
        <v>0</v>
      </c>
      <c r="J17">
        <f>'B.1 Accommmodation Data'!O13</f>
        <v>0</v>
      </c>
      <c r="K17" s="139">
        <f>($C$5*StudAccom1821[[#This Row],[Mandatory PHP 18-21 Headcount]])+($C$6*(StudAccom1821[[#This Row],[Student Residence 18-21 Headcount]]+StudAccom1821[[#This Row],[Boarding School 18-21 Headcount]]))</f>
        <v>0</v>
      </c>
      <c r="L17" s="139">
        <f>IF(StudAccom1821[[#This Row],[FN of  Res. North/South (North of 53 parallel)]]="South",StudAccom1821[[#This Row],[Mandatory PHP 18-21 Headcount]]*$D$7,INDEX('VTA Data'!$L$4:$L$6,MATCH(StudAccom1821[[#This Row],[Band No.]],'VTA Data'!$A$4:$A$6,0))*StudAccom1821[[#This Row],[Mandatory PHP 18-21 Headcount]])</f>
        <v>0</v>
      </c>
      <c r="M17" s="139">
        <f>$C$8*StudAccom1821[[#This Row],[5-Day Room &amp; Board 18-21 Headcount]]</f>
        <v>0</v>
      </c>
      <c r="N17" s="400">
        <f t="shared" si="0"/>
        <v>0</v>
      </c>
    </row>
    <row r="18" spans="1:14">
      <c r="A18">
        <v>267</v>
      </c>
      <c r="B18" t="s">
        <v>392</v>
      </c>
      <c r="C18">
        <v>7502</v>
      </c>
      <c r="D18" t="s">
        <v>972</v>
      </c>
      <c r="E18" t="s">
        <v>973</v>
      </c>
      <c r="F18" t="str">
        <f>INDEX(TableAFNSchools[North/South of 53rd Parallel &amp; Fly-in = North],MATCH(StudAccom1821[[#This Row],[Band No.]],TableAFNSchools[Band No '#],0))</f>
        <v>North</v>
      </c>
      <c r="G18">
        <v>0</v>
      </c>
      <c r="H18">
        <v>0</v>
      </c>
      <c r="I18">
        <f>'B.1 Accommmodation Data'!M15</f>
        <v>0</v>
      </c>
      <c r="J18">
        <f>'B.1 Accommmodation Data'!O15</f>
        <v>0</v>
      </c>
      <c r="K18" s="139">
        <f>($C$5*StudAccom1821[[#This Row],[Mandatory PHP 18-21 Headcount]])+($C$6*(StudAccom1821[[#This Row],[Student Residence 18-21 Headcount]]+StudAccom1821[[#This Row],[Boarding School 18-21 Headcount]]))</f>
        <v>0</v>
      </c>
      <c r="L18" s="139">
        <f>IF(StudAccom1821[[#This Row],[FN of  Res. North/South (North of 53 parallel)]]="South",StudAccom1821[[#This Row],[Mandatory PHP 18-21 Headcount]]*$D$7,INDEX('VTA Data'!$L$4:$L$6,MATCH(StudAccom1821[[#This Row],[Band No.]],'VTA Data'!$A$4:$A$6,0))*StudAccom1821[[#This Row],[Mandatory PHP 18-21 Headcount]])</f>
        <v>0</v>
      </c>
      <c r="M18" s="139">
        <f>$C$8*StudAccom1821[[#This Row],[5-Day Room &amp; Board 18-21 Headcount]]</f>
        <v>0</v>
      </c>
      <c r="N18" s="400">
        <f t="shared" si="0"/>
        <v>0</v>
      </c>
    </row>
    <row r="19" spans="1:14">
      <c r="A19">
        <v>267</v>
      </c>
      <c r="B19" t="s">
        <v>392</v>
      </c>
      <c r="C19">
        <v>2460008</v>
      </c>
      <c r="D19" t="s">
        <v>974</v>
      </c>
      <c r="E19" t="s">
        <v>973</v>
      </c>
      <c r="F19" t="str">
        <f>INDEX(TableAFNSchools[North/South of 53rd Parallel &amp; Fly-in = North],MATCH(StudAccom1821[[#This Row],[Band No.]],TableAFNSchools[Band No '#],0))</f>
        <v>North</v>
      </c>
      <c r="G19">
        <v>6</v>
      </c>
      <c r="H19">
        <v>0</v>
      </c>
      <c r="I19">
        <f>'B.1 Accommmodation Data'!M16</f>
        <v>0</v>
      </c>
      <c r="J19">
        <f>'B.1 Accommmodation Data'!O16</f>
        <v>0</v>
      </c>
      <c r="K19" s="139">
        <f>($C$5*StudAccom1821[[#This Row],[Mandatory PHP 18-21 Headcount]])+($C$6*(StudAccom1821[[#This Row],[Student Residence 18-21 Headcount]]+StudAccom1821[[#This Row],[Boarding School 18-21 Headcount]]))</f>
        <v>83554.740000000005</v>
      </c>
      <c r="L19" s="139">
        <f>IF(StudAccom1821[[#This Row],[FN of  Res. North/South (North of 53 parallel)]]="South",StudAccom1821[[#This Row],[Mandatory PHP 18-21 Headcount]]*$D$7,INDEX('VTA Data'!$L$4:$L$6,MATCH(StudAccom1821[[#This Row],[Band No.]],'VTA Data'!$A$4:$A$6,0))*StudAccom1821[[#This Row],[Mandatory PHP 18-21 Headcount]])</f>
        <v>41466</v>
      </c>
      <c r="M19" s="139">
        <f>$C$8*StudAccom1821[[#This Row],[5-Day Room &amp; Board 18-21 Headcount]]</f>
        <v>0</v>
      </c>
      <c r="N19" s="400">
        <f t="shared" si="0"/>
        <v>125021</v>
      </c>
    </row>
    <row r="20" spans="1:14">
      <c r="A20">
        <v>271</v>
      </c>
      <c r="B20" t="s">
        <v>396</v>
      </c>
      <c r="C20">
        <v>3395</v>
      </c>
      <c r="D20" t="s">
        <v>970</v>
      </c>
      <c r="E20" t="s">
        <v>666</v>
      </c>
      <c r="F20" t="str">
        <f>INDEX(TableAFNSchools[North/South of 53rd Parallel &amp; Fly-in = North],MATCH(StudAccom1821[[#This Row],[Band No.]],TableAFNSchools[Band No '#],0))</f>
        <v>South</v>
      </c>
      <c r="G20">
        <v>2</v>
      </c>
      <c r="H20">
        <v>0</v>
      </c>
      <c r="I20">
        <f>'B.1 Accommmodation Data'!M17</f>
        <v>0</v>
      </c>
      <c r="J20">
        <f>'B.1 Accommmodation Data'!O17</f>
        <v>0</v>
      </c>
      <c r="K20" s="139">
        <f>($C$5*StudAccom1821[[#This Row],[Mandatory PHP 18-21 Headcount]])+($C$6*(StudAccom1821[[#This Row],[Student Residence 18-21 Headcount]]+StudAccom1821[[#This Row],[Boarding School 18-21 Headcount]]))</f>
        <v>27851.58</v>
      </c>
      <c r="L20" s="139">
        <f>IF(StudAccom1821[[#This Row],[FN of  Res. North/South (North of 53 parallel)]]="South",StudAccom1821[[#This Row],[Mandatory PHP 18-21 Headcount]]*$D$7,INDEX('VTA Data'!$L$4:$L$6,MATCH(StudAccom1821[[#This Row],[Band No.]],'VTA Data'!$A$4:$A$6,0))*StudAccom1821[[#This Row],[Mandatory PHP 18-21 Headcount]])</f>
        <v>2476</v>
      </c>
      <c r="M20" s="139">
        <f>$C$8*StudAccom1821[[#This Row],[5-Day Room &amp; Board 18-21 Headcount]]</f>
        <v>0</v>
      </c>
      <c r="N20" s="400">
        <f t="shared" si="0"/>
        <v>30328</v>
      </c>
    </row>
    <row r="21" spans="1:14">
      <c r="A21">
        <v>271</v>
      </c>
      <c r="B21" t="s">
        <v>396</v>
      </c>
      <c r="C21">
        <v>7832</v>
      </c>
      <c r="D21" t="s">
        <v>975</v>
      </c>
      <c r="E21" t="s">
        <v>666</v>
      </c>
      <c r="F21" t="str">
        <f>INDEX(TableAFNSchools[North/South of 53rd Parallel &amp; Fly-in = North],MATCH(StudAccom1821[[#This Row],[Band No.]],TableAFNSchools[Band No '#],0))</f>
        <v>South</v>
      </c>
      <c r="G21">
        <v>1</v>
      </c>
      <c r="H21">
        <v>0</v>
      </c>
      <c r="I21">
        <f>'B.1 Accommmodation Data'!M18</f>
        <v>0</v>
      </c>
      <c r="J21">
        <f>'B.1 Accommmodation Data'!O18</f>
        <v>0</v>
      </c>
      <c r="K21" s="139">
        <f>($C$5*StudAccom1821[[#This Row],[Mandatory PHP 18-21 Headcount]])+($C$6*(StudAccom1821[[#This Row],[Student Residence 18-21 Headcount]]+StudAccom1821[[#This Row],[Boarding School 18-21 Headcount]]))</f>
        <v>13925.79</v>
      </c>
      <c r="L21" s="139">
        <f>IF(StudAccom1821[[#This Row],[FN of  Res. North/South (North of 53 parallel)]]="South",StudAccom1821[[#This Row],[Mandatory PHP 18-21 Headcount]]*$D$7,INDEX('VTA Data'!$L$4:$L$6,MATCH(StudAccom1821[[#This Row],[Band No.]],'VTA Data'!$A$4:$A$6,0))*StudAccom1821[[#This Row],[Mandatory PHP 18-21 Headcount]])</f>
        <v>1238</v>
      </c>
      <c r="M21" s="139">
        <f>$C$8*StudAccom1821[[#This Row],[5-Day Room &amp; Board 18-21 Headcount]]</f>
        <v>0</v>
      </c>
      <c r="N21" s="400">
        <f t="shared" si="0"/>
        <v>15164</v>
      </c>
    </row>
    <row r="22" spans="1:14">
      <c r="A22">
        <v>272</v>
      </c>
      <c r="B22" t="s">
        <v>734</v>
      </c>
      <c r="C22">
        <v>3282</v>
      </c>
      <c r="D22" t="s">
        <v>967</v>
      </c>
      <c r="E22" t="s">
        <v>666</v>
      </c>
      <c r="F22" t="str">
        <f>INDEX(TableAFNSchools[North/South of 53rd Parallel &amp; Fly-in = North],MATCH(StudAccom1821[[#This Row],[Band No.]],TableAFNSchools[Band No '#],0))</f>
        <v>South</v>
      </c>
      <c r="G22">
        <v>1</v>
      </c>
      <c r="H22">
        <v>0</v>
      </c>
      <c r="I22">
        <f>'B.1 Accommmodation Data'!M19</f>
        <v>0</v>
      </c>
      <c r="J22">
        <f>'B.1 Accommmodation Data'!O19</f>
        <v>0</v>
      </c>
      <c r="K22" s="139">
        <f>($C$5*StudAccom1821[[#This Row],[Mandatory PHP 18-21 Headcount]])+($C$6*(StudAccom1821[[#This Row],[Student Residence 18-21 Headcount]]+StudAccom1821[[#This Row],[Boarding School 18-21 Headcount]]))</f>
        <v>13925.79</v>
      </c>
      <c r="L22" s="139">
        <f>IF(StudAccom1821[[#This Row],[FN of  Res. North/South (North of 53 parallel)]]="South",StudAccom1821[[#This Row],[Mandatory PHP 18-21 Headcount]]*$D$7,INDEX('VTA Data'!$L$4:$L$6,MATCH(StudAccom1821[[#This Row],[Band No.]],'VTA Data'!$A$4:$A$6,0))*StudAccom1821[[#This Row],[Mandatory PHP 18-21 Headcount]])</f>
        <v>1238</v>
      </c>
      <c r="M22" s="139">
        <f>$C$8*StudAccom1821[[#This Row],[5-Day Room &amp; Board 18-21 Headcount]]</f>
        <v>0</v>
      </c>
      <c r="N22" s="400">
        <f t="shared" si="0"/>
        <v>15164</v>
      </c>
    </row>
    <row r="23" spans="1:14">
      <c r="A23">
        <v>272</v>
      </c>
      <c r="B23" t="s">
        <v>734</v>
      </c>
      <c r="C23">
        <v>3362</v>
      </c>
      <c r="D23" t="s">
        <v>969</v>
      </c>
      <c r="E23" t="s">
        <v>666</v>
      </c>
      <c r="F23" t="str">
        <f>INDEX(TableAFNSchools[North/South of 53rd Parallel &amp; Fly-in = North],MATCH(StudAccom1821[[#This Row],[Band No.]],TableAFNSchools[Band No '#],0))</f>
        <v>South</v>
      </c>
      <c r="G23">
        <v>0</v>
      </c>
      <c r="H23">
        <v>0</v>
      </c>
      <c r="I23">
        <f>'B.1 Accommmodation Data'!M20</f>
        <v>0</v>
      </c>
      <c r="J23">
        <f>'B.1 Accommmodation Data'!O20</f>
        <v>0</v>
      </c>
      <c r="K23" s="139">
        <f>($C$5*StudAccom1821[[#This Row],[Mandatory PHP 18-21 Headcount]])+($C$6*(StudAccom1821[[#This Row],[Student Residence 18-21 Headcount]]+StudAccom1821[[#This Row],[Boarding School 18-21 Headcount]]))</f>
        <v>0</v>
      </c>
      <c r="L23" s="139">
        <f>IF(StudAccom1821[[#This Row],[FN of  Res. North/South (North of 53 parallel)]]="South",StudAccom1821[[#This Row],[Mandatory PHP 18-21 Headcount]]*$D$7,INDEX('VTA Data'!$L$4:$L$6,MATCH(StudAccom1821[[#This Row],[Band No.]],'VTA Data'!$A$4:$A$6,0))*StudAccom1821[[#This Row],[Mandatory PHP 18-21 Headcount]])</f>
        <v>0</v>
      </c>
      <c r="M23" s="139">
        <f>$C$8*StudAccom1821[[#This Row],[5-Day Room &amp; Board 18-21 Headcount]]</f>
        <v>0</v>
      </c>
      <c r="N23" s="400">
        <f t="shared" si="0"/>
        <v>0</v>
      </c>
    </row>
    <row r="24" spans="1:14">
      <c r="A24">
        <v>272</v>
      </c>
      <c r="B24" t="s">
        <v>734</v>
      </c>
      <c r="C24">
        <v>3372</v>
      </c>
      <c r="D24" t="s">
        <v>976</v>
      </c>
      <c r="E24" t="s">
        <v>666</v>
      </c>
      <c r="F24" t="str">
        <f>INDEX(TableAFNSchools[North/South of 53rd Parallel &amp; Fly-in = North],MATCH(StudAccom1821[[#This Row],[Band No.]],TableAFNSchools[Band No '#],0))</f>
        <v>South</v>
      </c>
      <c r="G24">
        <v>0</v>
      </c>
      <c r="H24">
        <v>0</v>
      </c>
      <c r="I24">
        <f>'B.1 Accommmodation Data'!M21</f>
        <v>0</v>
      </c>
      <c r="J24">
        <f>'B.1 Accommmodation Data'!O21</f>
        <v>0</v>
      </c>
      <c r="K24" s="139">
        <f>($C$5*StudAccom1821[[#This Row],[Mandatory PHP 18-21 Headcount]])+($C$6*(StudAccom1821[[#This Row],[Student Residence 18-21 Headcount]]+StudAccom1821[[#This Row],[Boarding School 18-21 Headcount]]))</f>
        <v>0</v>
      </c>
      <c r="L24" s="139">
        <f>IF(StudAccom1821[[#This Row],[FN of  Res. North/South (North of 53 parallel)]]="South",StudAccom1821[[#This Row],[Mandatory PHP 18-21 Headcount]]*$D$7,INDEX('VTA Data'!$L$4:$L$6,MATCH(StudAccom1821[[#This Row],[Band No.]],'VTA Data'!$A$4:$A$6,0))*StudAccom1821[[#This Row],[Mandatory PHP 18-21 Headcount]])</f>
        <v>0</v>
      </c>
      <c r="M24" s="139">
        <f>$C$8*StudAccom1821[[#This Row],[5-Day Room &amp; Board 18-21 Headcount]]</f>
        <v>0</v>
      </c>
      <c r="N24" s="400">
        <f t="shared" si="0"/>
        <v>0</v>
      </c>
    </row>
    <row r="25" spans="1:14">
      <c r="A25">
        <v>272</v>
      </c>
      <c r="B25" t="s">
        <v>734</v>
      </c>
      <c r="C25">
        <v>3395</v>
      </c>
      <c r="D25" t="s">
        <v>970</v>
      </c>
      <c r="E25" t="s">
        <v>666</v>
      </c>
      <c r="F25" t="str">
        <f>INDEX(TableAFNSchools[North/South of 53rd Parallel &amp; Fly-in = North],MATCH(StudAccom1821[[#This Row],[Band No.]],TableAFNSchools[Band No '#],0))</f>
        <v>South</v>
      </c>
      <c r="G25">
        <v>1</v>
      </c>
      <c r="H25">
        <v>0</v>
      </c>
      <c r="I25">
        <f>'B.1 Accommmodation Data'!M23</f>
        <v>0</v>
      </c>
      <c r="J25">
        <f>'B.1 Accommmodation Data'!O23</f>
        <v>0</v>
      </c>
      <c r="K25" s="139">
        <f>($C$5*StudAccom1821[[#This Row],[Mandatory PHP 18-21 Headcount]])+($C$6*(StudAccom1821[[#This Row],[Student Residence 18-21 Headcount]]+StudAccom1821[[#This Row],[Boarding School 18-21 Headcount]]))</f>
        <v>13925.79</v>
      </c>
      <c r="L25" s="139">
        <f>IF(StudAccom1821[[#This Row],[FN of  Res. North/South (North of 53 parallel)]]="South",StudAccom1821[[#This Row],[Mandatory PHP 18-21 Headcount]]*$D$7,INDEX('VTA Data'!$L$4:$L$6,MATCH(StudAccom1821[[#This Row],[Band No.]],'VTA Data'!$A$4:$A$6,0))*StudAccom1821[[#This Row],[Mandatory PHP 18-21 Headcount]])</f>
        <v>1238</v>
      </c>
      <c r="M25" s="139">
        <f>$C$8*StudAccom1821[[#This Row],[5-Day Room &amp; Board 18-21 Headcount]]</f>
        <v>0</v>
      </c>
      <c r="N25" s="400">
        <f t="shared" si="0"/>
        <v>15164</v>
      </c>
    </row>
    <row r="26" spans="1:14">
      <c r="A26">
        <v>275</v>
      </c>
      <c r="B26" t="s">
        <v>390</v>
      </c>
      <c r="C26">
        <v>3282</v>
      </c>
      <c r="D26" t="s">
        <v>967</v>
      </c>
      <c r="E26" t="s">
        <v>666</v>
      </c>
      <c r="F26" t="str">
        <f>INDEX(TableAFNSchools[North/South of 53rd Parallel &amp; Fly-in = North],MATCH(StudAccom1821[[#This Row],[Band No.]],TableAFNSchools[Band No '#],0))</f>
        <v>South</v>
      </c>
      <c r="G26">
        <v>0</v>
      </c>
      <c r="H26">
        <v>0</v>
      </c>
      <c r="I26">
        <f>'B.1 Accommmodation Data'!M24</f>
        <v>0</v>
      </c>
      <c r="J26">
        <f>'B.1 Accommmodation Data'!O24</f>
        <v>0</v>
      </c>
      <c r="K26" s="139">
        <f>($C$5*StudAccom1821[[#This Row],[Mandatory PHP 18-21 Headcount]])+($C$6*(StudAccom1821[[#This Row],[Student Residence 18-21 Headcount]]+StudAccom1821[[#This Row],[Boarding School 18-21 Headcount]]))</f>
        <v>0</v>
      </c>
      <c r="L26" s="139">
        <f>IF(StudAccom1821[[#This Row],[FN of  Res. North/South (North of 53 parallel)]]="South",StudAccom1821[[#This Row],[Mandatory PHP 18-21 Headcount]]*$D$7,INDEX('VTA Data'!$L$4:$L$6,MATCH(StudAccom1821[[#This Row],[Band No.]],'VTA Data'!$A$4:$A$6,0))*StudAccom1821[[#This Row],[Mandatory PHP 18-21 Headcount]])</f>
        <v>0</v>
      </c>
      <c r="M26" s="139">
        <f>$C$8*StudAccom1821[[#This Row],[5-Day Room &amp; Board 18-21 Headcount]]</f>
        <v>0</v>
      </c>
      <c r="N26" s="400">
        <f t="shared" si="0"/>
        <v>0</v>
      </c>
    </row>
    <row r="27" spans="1:14">
      <c r="A27">
        <v>275</v>
      </c>
      <c r="B27" t="s">
        <v>390</v>
      </c>
      <c r="C27">
        <v>3303</v>
      </c>
      <c r="D27" t="s">
        <v>977</v>
      </c>
      <c r="E27" t="s">
        <v>666</v>
      </c>
      <c r="F27" t="str">
        <f>INDEX(TableAFNSchools[North/South of 53rd Parallel &amp; Fly-in = North],MATCH(StudAccom1821[[#This Row],[Band No.]],TableAFNSchools[Band No '#],0))</f>
        <v>South</v>
      </c>
      <c r="G27">
        <v>0</v>
      </c>
      <c r="H27">
        <v>0</v>
      </c>
      <c r="I27">
        <f>'B.1 Accommmodation Data'!M25</f>
        <v>0</v>
      </c>
      <c r="J27">
        <f>'B.1 Accommmodation Data'!O25</f>
        <v>0</v>
      </c>
      <c r="K27" s="139">
        <f>($C$5*StudAccom1821[[#This Row],[Mandatory PHP 18-21 Headcount]])+($C$6*(StudAccom1821[[#This Row],[Student Residence 18-21 Headcount]]+StudAccom1821[[#This Row],[Boarding School 18-21 Headcount]]))</f>
        <v>0</v>
      </c>
      <c r="L27" s="139">
        <f>IF(StudAccom1821[[#This Row],[FN of  Res. North/South (North of 53 parallel)]]="South",StudAccom1821[[#This Row],[Mandatory PHP 18-21 Headcount]]*$D$7,INDEX('VTA Data'!$L$4:$L$6,MATCH(StudAccom1821[[#This Row],[Band No.]],'VTA Data'!$A$4:$A$6,0))*StudAccom1821[[#This Row],[Mandatory PHP 18-21 Headcount]])</f>
        <v>0</v>
      </c>
      <c r="M27" s="139">
        <f>$C$8*StudAccom1821[[#This Row],[5-Day Room &amp; Board 18-21 Headcount]]</f>
        <v>0</v>
      </c>
      <c r="N27" s="400">
        <f t="shared" si="0"/>
        <v>0</v>
      </c>
    </row>
    <row r="28" spans="1:14">
      <c r="A28">
        <v>275</v>
      </c>
      <c r="B28" t="s">
        <v>390</v>
      </c>
      <c r="C28">
        <v>3310</v>
      </c>
      <c r="D28" t="s">
        <v>968</v>
      </c>
      <c r="E28" t="s">
        <v>666</v>
      </c>
      <c r="F28" t="str">
        <f>INDEX(TableAFNSchools[North/South of 53rd Parallel &amp; Fly-in = North],MATCH(StudAccom1821[[#This Row],[Band No.]],TableAFNSchools[Band No '#],0))</f>
        <v>South</v>
      </c>
      <c r="G28">
        <v>1</v>
      </c>
      <c r="H28">
        <v>0</v>
      </c>
      <c r="I28">
        <f>'B.1 Accommmodation Data'!M26</f>
        <v>0</v>
      </c>
      <c r="J28">
        <f>'B.1 Accommmodation Data'!O26</f>
        <v>0</v>
      </c>
      <c r="K28" s="139">
        <f>($C$5*StudAccom1821[[#This Row],[Mandatory PHP 18-21 Headcount]])+($C$6*(StudAccom1821[[#This Row],[Student Residence 18-21 Headcount]]+StudAccom1821[[#This Row],[Boarding School 18-21 Headcount]]))</f>
        <v>13925.79</v>
      </c>
      <c r="L28" s="139">
        <f>IF(StudAccom1821[[#This Row],[FN of  Res. North/South (North of 53 parallel)]]="South",StudAccom1821[[#This Row],[Mandatory PHP 18-21 Headcount]]*$D$7,INDEX('VTA Data'!$L$4:$L$6,MATCH(StudAccom1821[[#This Row],[Band No.]],'VTA Data'!$A$4:$A$6,0))*StudAccom1821[[#This Row],[Mandatory PHP 18-21 Headcount]])</f>
        <v>1238</v>
      </c>
      <c r="M28" s="139">
        <f>$C$8*StudAccom1821[[#This Row],[5-Day Room &amp; Board 18-21 Headcount]]</f>
        <v>0</v>
      </c>
      <c r="N28" s="400">
        <f t="shared" si="0"/>
        <v>15164</v>
      </c>
    </row>
    <row r="29" spans="1:14">
      <c r="A29">
        <v>275</v>
      </c>
      <c r="B29" t="s">
        <v>390</v>
      </c>
      <c r="C29">
        <v>3342</v>
      </c>
      <c r="D29" t="s">
        <v>978</v>
      </c>
      <c r="E29" t="s">
        <v>666</v>
      </c>
      <c r="F29" t="str">
        <f>INDEX(TableAFNSchools[North/South of 53rd Parallel &amp; Fly-in = North],MATCH(StudAccom1821[[#This Row],[Band No.]],TableAFNSchools[Band No '#],0))</f>
        <v>South</v>
      </c>
      <c r="G29">
        <v>0</v>
      </c>
      <c r="H29">
        <v>0</v>
      </c>
      <c r="I29">
        <f>'B.1 Accommmodation Data'!M27</f>
        <v>0</v>
      </c>
      <c r="J29">
        <f>'B.1 Accommmodation Data'!O27</f>
        <v>0</v>
      </c>
      <c r="K29" s="139">
        <f>($C$5*StudAccom1821[[#This Row],[Mandatory PHP 18-21 Headcount]])+($C$6*(StudAccom1821[[#This Row],[Student Residence 18-21 Headcount]]+StudAccom1821[[#This Row],[Boarding School 18-21 Headcount]]))</f>
        <v>0</v>
      </c>
      <c r="L29" s="139">
        <f>IF(StudAccom1821[[#This Row],[FN of  Res. North/South (North of 53 parallel)]]="South",StudAccom1821[[#This Row],[Mandatory PHP 18-21 Headcount]]*$D$7,INDEX('VTA Data'!$L$4:$L$6,MATCH(StudAccom1821[[#This Row],[Band No.]],'VTA Data'!$A$4:$A$6,0))*StudAccom1821[[#This Row],[Mandatory PHP 18-21 Headcount]])</f>
        <v>0</v>
      </c>
      <c r="M29" s="139">
        <f>$C$8*StudAccom1821[[#This Row],[5-Day Room &amp; Board 18-21 Headcount]]</f>
        <v>0</v>
      </c>
      <c r="N29" s="400">
        <f t="shared" si="0"/>
        <v>0</v>
      </c>
    </row>
    <row r="30" spans="1:14">
      <c r="A30">
        <v>275</v>
      </c>
      <c r="B30" t="s">
        <v>390</v>
      </c>
      <c r="C30">
        <v>3395</v>
      </c>
      <c r="D30" t="s">
        <v>970</v>
      </c>
      <c r="E30" t="s">
        <v>666</v>
      </c>
      <c r="F30" t="str">
        <f>INDEX(TableAFNSchools[North/South of 53rd Parallel &amp; Fly-in = North],MATCH(StudAccom1821[[#This Row],[Band No.]],TableAFNSchools[Band No '#],0))</f>
        <v>South</v>
      </c>
      <c r="G30">
        <v>0</v>
      </c>
      <c r="H30">
        <v>0</v>
      </c>
      <c r="I30">
        <f>'B.1 Accommmodation Data'!M28</f>
        <v>0</v>
      </c>
      <c r="J30">
        <f>'B.1 Accommmodation Data'!O28</f>
        <v>0</v>
      </c>
      <c r="K30" s="139">
        <f>($C$5*StudAccom1821[[#This Row],[Mandatory PHP 18-21 Headcount]])+($C$6*(StudAccom1821[[#This Row],[Student Residence 18-21 Headcount]]+StudAccom1821[[#This Row],[Boarding School 18-21 Headcount]]))</f>
        <v>0</v>
      </c>
      <c r="L30" s="139">
        <f>IF(StudAccom1821[[#This Row],[FN of  Res. North/South (North of 53 parallel)]]="South",StudAccom1821[[#This Row],[Mandatory PHP 18-21 Headcount]]*$D$7,INDEX('VTA Data'!$L$4:$L$6,MATCH(StudAccom1821[[#This Row],[Band No.]],'VTA Data'!$A$4:$A$6,0))*StudAccom1821[[#This Row],[Mandatory PHP 18-21 Headcount]])</f>
        <v>0</v>
      </c>
      <c r="M30" s="139">
        <f>$C$8*StudAccom1821[[#This Row],[5-Day Room &amp; Board 18-21 Headcount]]</f>
        <v>0</v>
      </c>
      <c r="N30" s="400">
        <f t="shared" si="0"/>
        <v>0</v>
      </c>
    </row>
    <row r="31" spans="1:14">
      <c r="A31">
        <v>275</v>
      </c>
      <c r="B31" t="s">
        <v>390</v>
      </c>
      <c r="C31">
        <v>3400</v>
      </c>
      <c r="D31" t="s">
        <v>979</v>
      </c>
      <c r="E31" t="s">
        <v>666</v>
      </c>
      <c r="F31" t="str">
        <f>INDEX(TableAFNSchools[North/South of 53rd Parallel &amp; Fly-in = North],MATCH(StudAccom1821[[#This Row],[Band No.]],TableAFNSchools[Band No '#],0))</f>
        <v>South</v>
      </c>
      <c r="G31">
        <v>0</v>
      </c>
      <c r="H31">
        <v>0</v>
      </c>
      <c r="I31">
        <f>'B.1 Accommmodation Data'!M29</f>
        <v>0</v>
      </c>
      <c r="J31">
        <f>'B.1 Accommmodation Data'!O29</f>
        <v>0</v>
      </c>
      <c r="K31" s="139">
        <f>($C$5*StudAccom1821[[#This Row],[Mandatory PHP 18-21 Headcount]])+($C$6*(StudAccom1821[[#This Row],[Student Residence 18-21 Headcount]]+StudAccom1821[[#This Row],[Boarding School 18-21 Headcount]]))</f>
        <v>0</v>
      </c>
      <c r="L31" s="139">
        <f>IF(StudAccom1821[[#This Row],[FN of  Res. North/South (North of 53 parallel)]]="South",StudAccom1821[[#This Row],[Mandatory PHP 18-21 Headcount]]*$D$7,INDEX('VTA Data'!$L$4:$L$6,MATCH(StudAccom1821[[#This Row],[Band No.]],'VTA Data'!$A$4:$A$6,0))*StudAccom1821[[#This Row],[Mandatory PHP 18-21 Headcount]])</f>
        <v>0</v>
      </c>
      <c r="M31" s="139">
        <f>$C$8*StudAccom1821[[#This Row],[5-Day Room &amp; Board 18-21 Headcount]]</f>
        <v>0</v>
      </c>
      <c r="N31" s="400">
        <f t="shared" si="0"/>
        <v>0</v>
      </c>
    </row>
    <row r="32" spans="1:14">
      <c r="A32">
        <v>275</v>
      </c>
      <c r="B32" t="s">
        <v>390</v>
      </c>
      <c r="C32">
        <v>3460</v>
      </c>
      <c r="D32" t="s">
        <v>980</v>
      </c>
      <c r="E32" t="s">
        <v>666</v>
      </c>
      <c r="F32" t="str">
        <f>INDEX(TableAFNSchools[North/South of 53rd Parallel &amp; Fly-in = North],MATCH(StudAccom1821[[#This Row],[Band No.]],TableAFNSchools[Band No '#],0))</f>
        <v>South</v>
      </c>
      <c r="G32">
        <v>0</v>
      </c>
      <c r="H32">
        <v>0</v>
      </c>
      <c r="I32">
        <f>'B.1 Accommmodation Data'!M30</f>
        <v>0</v>
      </c>
      <c r="J32">
        <f>'B.1 Accommmodation Data'!O30</f>
        <v>0</v>
      </c>
      <c r="K32" s="139">
        <f>($C$5*StudAccom1821[[#This Row],[Mandatory PHP 18-21 Headcount]])+($C$6*(StudAccom1821[[#This Row],[Student Residence 18-21 Headcount]]+StudAccom1821[[#This Row],[Boarding School 18-21 Headcount]]))</f>
        <v>0</v>
      </c>
      <c r="L32" s="139">
        <f>IF(StudAccom1821[[#This Row],[FN of  Res. North/South (North of 53 parallel)]]="South",StudAccom1821[[#This Row],[Mandatory PHP 18-21 Headcount]]*$D$7,INDEX('VTA Data'!$L$4:$L$6,MATCH(StudAccom1821[[#This Row],[Band No.]],'VTA Data'!$A$4:$A$6,0))*StudAccom1821[[#This Row],[Mandatory PHP 18-21 Headcount]])</f>
        <v>0</v>
      </c>
      <c r="M32" s="139">
        <f>$C$8*StudAccom1821[[#This Row],[5-Day Room &amp; Board 18-21 Headcount]]</f>
        <v>0</v>
      </c>
      <c r="N32" s="400">
        <f t="shared" si="0"/>
        <v>0</v>
      </c>
    </row>
    <row r="33" spans="1:14">
      <c r="A33">
        <v>275</v>
      </c>
      <c r="B33" t="s">
        <v>390</v>
      </c>
      <c r="C33">
        <v>5725</v>
      </c>
      <c r="D33" t="s">
        <v>971</v>
      </c>
      <c r="E33" t="s">
        <v>666</v>
      </c>
      <c r="F33" t="str">
        <f>INDEX(TableAFNSchools[North/South of 53rd Parallel &amp; Fly-in = North],MATCH(StudAccom1821[[#This Row],[Band No.]],TableAFNSchools[Band No '#],0))</f>
        <v>South</v>
      </c>
      <c r="G33">
        <v>0</v>
      </c>
      <c r="H33">
        <v>0</v>
      </c>
      <c r="I33">
        <f>'B.1 Accommmodation Data'!M31</f>
        <v>0</v>
      </c>
      <c r="J33">
        <f>'B.1 Accommmodation Data'!O31</f>
        <v>0</v>
      </c>
      <c r="K33" s="139">
        <f>($C$5*StudAccom1821[[#This Row],[Mandatory PHP 18-21 Headcount]])+($C$6*(StudAccom1821[[#This Row],[Student Residence 18-21 Headcount]]+StudAccom1821[[#This Row],[Boarding School 18-21 Headcount]]))</f>
        <v>0</v>
      </c>
      <c r="L33" s="139">
        <f>IF(StudAccom1821[[#This Row],[FN of  Res. North/South (North of 53 parallel)]]="South",StudAccom1821[[#This Row],[Mandatory PHP 18-21 Headcount]]*$D$7,INDEX('VTA Data'!$L$4:$L$6,MATCH(StudAccom1821[[#This Row],[Band No.]],'VTA Data'!$A$4:$A$6,0))*StudAccom1821[[#This Row],[Mandatory PHP 18-21 Headcount]])</f>
        <v>0</v>
      </c>
      <c r="M33" s="139">
        <f>$C$8*StudAccom1821[[#This Row],[5-Day Room &amp; Board 18-21 Headcount]]</f>
        <v>0</v>
      </c>
      <c r="N33" s="400">
        <f t="shared" si="0"/>
        <v>0</v>
      </c>
    </row>
    <row r="34" spans="1:14">
      <c r="A34">
        <v>275</v>
      </c>
      <c r="B34" t="s">
        <v>390</v>
      </c>
      <c r="C34">
        <v>5736</v>
      </c>
      <c r="D34" t="s">
        <v>981</v>
      </c>
      <c r="E34" t="s">
        <v>666</v>
      </c>
      <c r="F34" t="str">
        <f>INDEX(TableAFNSchools[North/South of 53rd Parallel &amp; Fly-in = North],MATCH(StudAccom1821[[#This Row],[Band No.]],TableAFNSchools[Band No '#],0))</f>
        <v>South</v>
      </c>
      <c r="G34">
        <v>0</v>
      </c>
      <c r="H34">
        <v>0</v>
      </c>
      <c r="I34">
        <f>'B.1 Accommmodation Data'!M33</f>
        <v>0</v>
      </c>
      <c r="J34">
        <f>'B.1 Accommmodation Data'!O33</f>
        <v>0</v>
      </c>
      <c r="K34" s="139">
        <f>($C$5*StudAccom1821[[#This Row],[Mandatory PHP 18-21 Headcount]])+($C$6*(StudAccom1821[[#This Row],[Student Residence 18-21 Headcount]]+StudAccom1821[[#This Row],[Boarding School 18-21 Headcount]]))</f>
        <v>0</v>
      </c>
      <c r="L34" s="139">
        <f>IF(StudAccom1821[[#This Row],[FN of  Res. North/South (North of 53 parallel)]]="South",StudAccom1821[[#This Row],[Mandatory PHP 18-21 Headcount]]*$D$7,INDEX('VTA Data'!$L$4:$L$6,MATCH(StudAccom1821[[#This Row],[Band No.]],'VTA Data'!$A$4:$A$6,0))*StudAccom1821[[#This Row],[Mandatory PHP 18-21 Headcount]])</f>
        <v>0</v>
      </c>
      <c r="M34" s="139">
        <f>$C$8*StudAccom1821[[#This Row],[5-Day Room &amp; Board 18-21 Headcount]]</f>
        <v>0</v>
      </c>
      <c r="N34" s="400">
        <f t="shared" si="0"/>
        <v>0</v>
      </c>
    </row>
    <row r="35" spans="1:14">
      <c r="A35">
        <v>286</v>
      </c>
      <c r="B35" t="s">
        <v>406</v>
      </c>
      <c r="C35">
        <v>3310</v>
      </c>
      <c r="D35" t="s">
        <v>968</v>
      </c>
      <c r="E35" t="s">
        <v>666</v>
      </c>
      <c r="F35" t="str">
        <f>INDEX(TableAFNSchools[North/South of 53rd Parallel &amp; Fly-in = North],MATCH(StudAccom1821[[#This Row],[Band No.]],TableAFNSchools[Band No '#],0))</f>
        <v>South</v>
      </c>
      <c r="G35">
        <v>2</v>
      </c>
      <c r="H35">
        <v>0</v>
      </c>
      <c r="I35">
        <f>'B.1 Accommmodation Data'!M34</f>
        <v>0</v>
      </c>
      <c r="J35">
        <f>'B.1 Accommmodation Data'!O34</f>
        <v>0</v>
      </c>
      <c r="K35" s="139">
        <f>($C$5*StudAccom1821[[#This Row],[Mandatory PHP 18-21 Headcount]])+($C$6*(StudAccom1821[[#This Row],[Student Residence 18-21 Headcount]]+StudAccom1821[[#This Row],[Boarding School 18-21 Headcount]]))</f>
        <v>27851.58</v>
      </c>
      <c r="L35" s="139">
        <f>IF(StudAccom1821[[#This Row],[FN of  Res. North/South (North of 53 parallel)]]="South",StudAccom1821[[#This Row],[Mandatory PHP 18-21 Headcount]]*$D$7,INDEX('VTA Data'!$L$4:$L$6,MATCH(StudAccom1821[[#This Row],[Band No.]],'VTA Data'!$A$4:$A$6,0))*StudAccom1821[[#This Row],[Mandatory PHP 18-21 Headcount]])</f>
        <v>2476</v>
      </c>
      <c r="M35" s="139">
        <f>$C$8*StudAccom1821[[#This Row],[5-Day Room &amp; Board 18-21 Headcount]]</f>
        <v>0</v>
      </c>
      <c r="N35" s="400">
        <f t="shared" si="0"/>
        <v>30328</v>
      </c>
    </row>
    <row r="36" spans="1:14">
      <c r="A36">
        <v>304</v>
      </c>
      <c r="B36" t="s">
        <v>641</v>
      </c>
      <c r="C36">
        <v>1758</v>
      </c>
      <c r="D36" t="s">
        <v>982</v>
      </c>
      <c r="E36" t="s">
        <v>666</v>
      </c>
      <c r="F36" t="str">
        <f>INDEX(TableAFNSchools[North/South of 53rd Parallel &amp; Fly-in = North],MATCH(StudAccom1821[[#This Row],[Band No.]],TableAFNSchools[Band No '#],0))</f>
        <v>North</v>
      </c>
      <c r="G36">
        <v>0</v>
      </c>
      <c r="H36">
        <v>3</v>
      </c>
      <c r="I36">
        <f>'B.1 Accommmodation Data'!M35</f>
        <v>0</v>
      </c>
      <c r="J36">
        <f>'B.1 Accommmodation Data'!O35</f>
        <v>0</v>
      </c>
      <c r="K36" s="139">
        <f>($C$5*StudAccom1821[[#This Row],[Mandatory PHP 18-21 Headcount]])+($C$6*(StudAccom1821[[#This Row],[Student Residence 18-21 Headcount]]+StudAccom1821[[#This Row],[Boarding School 18-21 Headcount]]))</f>
        <v>64071.21</v>
      </c>
      <c r="L36" s="139">
        <f>IF(StudAccom1821[[#This Row],[FN of  Res. North/South (North of 53 parallel)]]="South",StudAccom1821[[#This Row],[Mandatory PHP 18-21 Headcount]]*$D$7,INDEX('VTA Data'!$L$4:$L$6,MATCH(StudAccom1821[[#This Row],[Band No.]],'VTA Data'!$A$4:$A$6,0))*StudAccom1821[[#This Row],[Mandatory PHP 18-21 Headcount]])</f>
        <v>0</v>
      </c>
      <c r="M36" s="139">
        <f>$C$8*StudAccom1821[[#This Row],[5-Day Room &amp; Board 18-21 Headcount]]</f>
        <v>0</v>
      </c>
      <c r="N36" s="400">
        <f t="shared" si="0"/>
        <v>64071</v>
      </c>
    </row>
    <row r="37" spans="1:14">
      <c r="A37">
        <v>304</v>
      </c>
      <c r="B37" t="s">
        <v>641</v>
      </c>
      <c r="C37">
        <v>1761</v>
      </c>
      <c r="D37" t="s">
        <v>983</v>
      </c>
      <c r="E37" t="s">
        <v>666</v>
      </c>
      <c r="F37" t="str">
        <f>INDEX(TableAFNSchools[North/South of 53rd Parallel &amp; Fly-in = North],MATCH(StudAccom1821[[#This Row],[Band No.]],TableAFNSchools[Band No '#],0))</f>
        <v>North</v>
      </c>
      <c r="G37">
        <v>1</v>
      </c>
      <c r="H37">
        <v>0</v>
      </c>
      <c r="I37">
        <f>'B.1 Accommmodation Data'!M36</f>
        <v>0</v>
      </c>
      <c r="J37">
        <f>'B.1 Accommmodation Data'!O36</f>
        <v>0</v>
      </c>
      <c r="K37" s="139">
        <f>($C$5*StudAccom1821[[#This Row],[Mandatory PHP 18-21 Headcount]])+($C$6*(StudAccom1821[[#This Row],[Student Residence 18-21 Headcount]]+StudAccom1821[[#This Row],[Boarding School 18-21 Headcount]]))</f>
        <v>13925.79</v>
      </c>
      <c r="L37" s="139">
        <f>IF(StudAccom1821[[#This Row],[FN of  Res. North/South (North of 53 parallel)]]="South",StudAccom1821[[#This Row],[Mandatory PHP 18-21 Headcount]]*$D$7,INDEX('VTA Data'!$L$4:$L$6,MATCH(StudAccom1821[[#This Row],[Band No.]],'VTA Data'!$A$4:$A$6,0))*StudAccom1821[[#This Row],[Mandatory PHP 18-21 Headcount]])</f>
        <v>10005</v>
      </c>
      <c r="M37" s="139">
        <f>$C$8*StudAccom1821[[#This Row],[5-Day Room &amp; Board 18-21 Headcount]]</f>
        <v>0</v>
      </c>
      <c r="N37" s="400">
        <f t="shared" si="0"/>
        <v>23931</v>
      </c>
    </row>
    <row r="38" spans="1:14">
      <c r="A38">
        <v>304</v>
      </c>
      <c r="B38" t="s">
        <v>641</v>
      </c>
      <c r="C38">
        <v>1765</v>
      </c>
      <c r="D38" t="s">
        <v>984</v>
      </c>
      <c r="E38" t="s">
        <v>666</v>
      </c>
      <c r="F38" t="str">
        <f>INDEX(TableAFNSchools[North/South of 53rd Parallel &amp; Fly-in = North],MATCH(StudAccom1821[[#This Row],[Band No.]],TableAFNSchools[Band No '#],0))</f>
        <v>North</v>
      </c>
      <c r="G38">
        <v>0</v>
      </c>
      <c r="H38">
        <v>0</v>
      </c>
      <c r="I38">
        <f>'B.1 Accommmodation Data'!M34</f>
        <v>0</v>
      </c>
      <c r="J38">
        <f>'B.1 Accommmodation Data'!O34</f>
        <v>0</v>
      </c>
      <c r="K38" s="139">
        <f>($C$5*StudAccom1821[[#This Row],[Mandatory PHP 18-21 Headcount]])+($C$6*(StudAccom1821[[#This Row],[Student Residence 18-21 Headcount]]+StudAccom1821[[#This Row],[Boarding School 18-21 Headcount]]))</f>
        <v>0</v>
      </c>
      <c r="L38" s="139">
        <f>IF(StudAccom1821[[#This Row],[FN of  Res. North/South (North of 53 parallel)]]="South",StudAccom1821[[#This Row],[Mandatory PHP 18-21 Headcount]]*$D$7,INDEX('VTA Data'!$L$4:$L$6,MATCH(StudAccom1821[[#This Row],[Band No.]],'VTA Data'!$A$4:$A$6,0))*StudAccom1821[[#This Row],[Mandatory PHP 18-21 Headcount]])</f>
        <v>0</v>
      </c>
      <c r="M38" s="139">
        <f>$C$8*StudAccom1821[[#This Row],[5-Day Room &amp; Board 18-21 Headcount]]</f>
        <v>0</v>
      </c>
      <c r="N38" s="400">
        <f>ROUND(SUM(K38:M38),0)</f>
        <v>0</v>
      </c>
    </row>
    <row r="39" spans="1:14">
      <c r="A39">
        <v>304</v>
      </c>
      <c r="B39" t="s">
        <v>641</v>
      </c>
      <c r="C39">
        <v>3395</v>
      </c>
      <c r="D39" t="s">
        <v>970</v>
      </c>
      <c r="E39" t="s">
        <v>666</v>
      </c>
      <c r="F39" t="str">
        <f>INDEX(TableAFNSchools[North/South of 53rd Parallel &amp; Fly-in = North],MATCH(StudAccom1821[[#This Row],[Band No.]],TableAFNSchools[Band No '#],0))</f>
        <v>North</v>
      </c>
      <c r="G39">
        <v>3</v>
      </c>
      <c r="H39">
        <v>0</v>
      </c>
      <c r="I39">
        <f>'B.1 Accommmodation Data'!M35</f>
        <v>0</v>
      </c>
      <c r="J39">
        <f>'B.1 Accommmodation Data'!O35</f>
        <v>0</v>
      </c>
      <c r="K39" s="139">
        <f>($C$5*StudAccom1821[[#This Row],[Mandatory PHP 18-21 Headcount]])+($C$6*(StudAccom1821[[#This Row],[Student Residence 18-21 Headcount]]+StudAccom1821[[#This Row],[Boarding School 18-21 Headcount]]))</f>
        <v>41777.370000000003</v>
      </c>
      <c r="L39" s="139">
        <f>IF(StudAccom1821[[#This Row],[FN of  Res. North/South (North of 53 parallel)]]="South",StudAccom1821[[#This Row],[Mandatory PHP 18-21 Headcount]]*$D$7,INDEX('VTA Data'!$L$4:$L$6,MATCH(StudAccom1821[[#This Row],[Band No.]],'VTA Data'!$A$4:$A$6,0))*StudAccom1821[[#This Row],[Mandatory PHP 18-21 Headcount]])</f>
        <v>30015</v>
      </c>
      <c r="M39" s="139">
        <f>$C$8*StudAccom1821[[#This Row],[5-Day Room &amp; Board 18-21 Headcount]]</f>
        <v>0</v>
      </c>
      <c r="N39" s="400">
        <f>ROUND(SUM(K39:M39),0)</f>
        <v>71792</v>
      </c>
    </row>
    <row r="40" spans="1:14">
      <c r="A40">
        <v>304</v>
      </c>
      <c r="B40" t="s">
        <v>641</v>
      </c>
      <c r="C40">
        <v>3478</v>
      </c>
      <c r="D40" t="s">
        <v>985</v>
      </c>
      <c r="E40" t="s">
        <v>666</v>
      </c>
      <c r="F40" t="str">
        <f>INDEX(TableAFNSchools[North/South of 53rd Parallel &amp; Fly-in = North],MATCH(StudAccom1821[[#This Row],[Band No.]],TableAFNSchools[Band No '#],0))</f>
        <v>North</v>
      </c>
      <c r="G40">
        <v>0</v>
      </c>
      <c r="H40">
        <v>0</v>
      </c>
      <c r="I40">
        <f>'B.1 Accommmodation Data'!M36</f>
        <v>0</v>
      </c>
      <c r="J40">
        <f>'B.1 Accommmodation Data'!O36</f>
        <v>0</v>
      </c>
      <c r="K40" s="139">
        <f>($C$5*StudAccom1821[[#This Row],[Mandatory PHP 18-21 Headcount]])+($C$6*(StudAccom1821[[#This Row],[Student Residence 18-21 Headcount]]+StudAccom1821[[#This Row],[Boarding School 18-21 Headcount]]))</f>
        <v>0</v>
      </c>
      <c r="L40" s="139">
        <f>IF(StudAccom1821[[#This Row],[FN of  Res. North/South (North of 53 parallel)]]="South",StudAccom1821[[#This Row],[Mandatory PHP 18-21 Headcount]]*$D$7,INDEX('VTA Data'!$L$4:$L$6,MATCH(StudAccom1821[[#This Row],[Band No.]],'VTA Data'!$A$4:$A$6,0))*StudAccom1821[[#This Row],[Mandatory PHP 18-21 Headcount]])</f>
        <v>0</v>
      </c>
      <c r="M40" s="139">
        <f>$C$8*StudAccom1821[[#This Row],[5-Day Room &amp; Board 18-21 Headcount]]</f>
        <v>0</v>
      </c>
      <c r="N40" s="400">
        <f>ROUND(SUM(K40:M40),0)</f>
        <v>0</v>
      </c>
    </row>
    <row r="41" spans="1:14">
      <c r="A41">
        <v>304</v>
      </c>
      <c r="B41" t="s">
        <v>641</v>
      </c>
      <c r="C41">
        <v>3548</v>
      </c>
      <c r="D41" t="s">
        <v>986</v>
      </c>
      <c r="E41" t="s">
        <v>666</v>
      </c>
      <c r="F41" t="str">
        <f>INDEX(TableAFNSchools[North/South of 53rd Parallel &amp; Fly-in = North],MATCH(StudAccom1821[[#This Row],[Band No.]],TableAFNSchools[Band No '#],0))</f>
        <v>North</v>
      </c>
      <c r="G41">
        <v>5</v>
      </c>
      <c r="H41">
        <v>0</v>
      </c>
      <c r="I41">
        <f>'B.1 Accommmodation Data'!M37</f>
        <v>0</v>
      </c>
      <c r="J41">
        <f>'B.1 Accommmodation Data'!O37</f>
        <v>0</v>
      </c>
      <c r="K41" s="139">
        <f>($C$5*StudAccom1821[[#This Row],[Mandatory PHP 18-21 Headcount]])+($C$6*(StudAccom1821[[#This Row],[Student Residence 18-21 Headcount]]+StudAccom1821[[#This Row],[Boarding School 18-21 Headcount]]))</f>
        <v>69628.950000000012</v>
      </c>
      <c r="L41" s="139">
        <f>IF(StudAccom1821[[#This Row],[FN of  Res. North/South (North of 53 parallel)]]="South",StudAccom1821[[#This Row],[Mandatory PHP 18-21 Headcount]]*$D$7,INDEX('VTA Data'!$L$4:$L$6,MATCH(StudAccom1821[[#This Row],[Band No.]],'VTA Data'!$A$4:$A$6,0))*StudAccom1821[[#This Row],[Mandatory PHP 18-21 Headcount]])</f>
        <v>50025</v>
      </c>
      <c r="M41" s="139">
        <f>$C$8*StudAccom1821[[#This Row],[5-Day Room &amp; Board 18-21 Headcount]]</f>
        <v>0</v>
      </c>
      <c r="N41" s="400">
        <f>ROUND(SUM(K41:M41),0)</f>
        <v>119654</v>
      </c>
    </row>
    <row r="42" spans="1:14">
      <c r="A42" t="s">
        <v>72</v>
      </c>
      <c r="G42">
        <f>SUBTOTAL(109,StudAccom1821[Mandatory PHP 18-21 Headcount])</f>
        <v>32</v>
      </c>
      <c r="H42">
        <f>SUBTOTAL(109,StudAccom1821[Student Residence 18-21 Headcount])</f>
        <v>3</v>
      </c>
      <c r="I42">
        <f>SUBTOTAL(109,StudAccom1821[Boarding School 18-21 Headcount])</f>
        <v>0</v>
      </c>
      <c r="J42">
        <f>SUBTOTAL(109,StudAccom1821[5-Day Room &amp; Board 18-21 Headcount])</f>
        <v>0</v>
      </c>
      <c r="K42" s="74">
        <f>SUBTOTAL(109,StudAccom1821[PHP &amp; Residence Set Per Student Amount])</f>
        <v>509696.49000000005</v>
      </c>
      <c r="L42" s="74">
        <f>SUBTOTAL(109,StudAccom1821[PHP &amp; Residence Seasonal Transportation])</f>
        <v>197941</v>
      </c>
      <c r="M42" s="74">
        <f>SUBTOTAL(109,StudAccom1821[5-Day Room &amp; Board Rate])</f>
        <v>0</v>
      </c>
      <c r="N42" s="74">
        <f>SUBTOTAL(109,StudAccom1821[TOTAL 18-21 PHP/Student Accommodation])</f>
        <v>707639</v>
      </c>
    </row>
    <row r="43" spans="1:14">
      <c r="G43" s="1506"/>
    </row>
    <row r="44" spans="1:14">
      <c r="K44" s="1507">
        <v>672757</v>
      </c>
      <c r="N44">
        <v>769557</v>
      </c>
    </row>
    <row r="45" spans="1:14" s="731" customFormat="1">
      <c r="A45"/>
      <c r="B45"/>
      <c r="C45"/>
      <c r="D45"/>
      <c r="E45"/>
      <c r="F45"/>
      <c r="G45"/>
      <c r="H45"/>
      <c r="I45"/>
      <c r="J45"/>
      <c r="K45"/>
      <c r="L45"/>
      <c r="M45"/>
      <c r="N45"/>
    </row>
    <row r="46" spans="1:14" s="731" customFormat="1">
      <c r="A46"/>
      <c r="B46"/>
      <c r="C46"/>
      <c r="D46"/>
      <c r="E46"/>
      <c r="F46"/>
      <c r="G46"/>
      <c r="H46"/>
      <c r="I46"/>
      <c r="J46"/>
      <c r="K46"/>
      <c r="L46"/>
      <c r="M46"/>
      <c r="N46"/>
    </row>
    <row r="47" spans="1:14" s="731" customFormat="1">
      <c r="A47"/>
      <c r="B47"/>
      <c r="C47"/>
      <c r="D47"/>
      <c r="E47"/>
      <c r="F47"/>
      <c r="G47"/>
      <c r="H47"/>
      <c r="I47"/>
      <c r="J47"/>
      <c r="K47"/>
      <c r="L47"/>
      <c r="M47"/>
      <c r="N47"/>
    </row>
    <row r="48" spans="1:14" s="731" customFormat="1">
      <c r="A48"/>
      <c r="B48"/>
      <c r="C48"/>
      <c r="D48"/>
      <c r="E48"/>
      <c r="F48"/>
      <c r="G48"/>
      <c r="H48"/>
      <c r="I48"/>
      <c r="J48"/>
      <c r="K48"/>
      <c r="L48"/>
      <c r="M48"/>
      <c r="N48"/>
    </row>
    <row r="49" spans="1:14" s="731" customFormat="1">
      <c r="A49"/>
      <c r="B49"/>
      <c r="C49"/>
      <c r="D49"/>
      <c r="E49"/>
      <c r="F49"/>
      <c r="G49"/>
      <c r="H49"/>
      <c r="I49"/>
      <c r="J49"/>
      <c r="K49"/>
      <c r="L49"/>
      <c r="M49"/>
      <c r="N49"/>
    </row>
    <row r="50" spans="1:14" s="731" customFormat="1">
      <c r="A50"/>
      <c r="B50"/>
      <c r="C50"/>
      <c r="D50"/>
      <c r="E50"/>
      <c r="F50"/>
      <c r="G50"/>
      <c r="H50"/>
      <c r="I50"/>
      <c r="J50"/>
      <c r="K50"/>
      <c r="L50"/>
      <c r="M50"/>
      <c r="N50"/>
    </row>
    <row r="51" spans="1:14" s="731" customFormat="1">
      <c r="A51"/>
      <c r="B51"/>
      <c r="C51"/>
      <c r="D51"/>
      <c r="E51"/>
      <c r="F51"/>
      <c r="G51"/>
      <c r="H51"/>
      <c r="I51"/>
      <c r="J51"/>
      <c r="K51"/>
      <c r="L51"/>
      <c r="M51"/>
      <c r="N51"/>
    </row>
    <row r="52" spans="1:14" s="731" customFormat="1">
      <c r="B52" s="731" t="s">
        <v>995</v>
      </c>
    </row>
    <row r="53" spans="1:14" s="731" customFormat="1">
      <c r="A53" s="731" t="s">
        <v>996</v>
      </c>
      <c r="B53" s="731" t="s">
        <v>997</v>
      </c>
    </row>
    <row r="54" spans="1:14" s="731" customFormat="1"/>
    <row r="55" spans="1:14" s="731" customFormat="1">
      <c r="A55" s="731" t="s">
        <v>998</v>
      </c>
      <c r="F55" s="731" t="s">
        <v>999</v>
      </c>
      <c r="G55" s="731" t="s">
        <v>1000</v>
      </c>
    </row>
    <row r="56" spans="1:14" s="731" customFormat="1" ht="15">
      <c r="F56" s="731" t="s">
        <v>1001</v>
      </c>
      <c r="G56" s="731" t="s">
        <v>1001</v>
      </c>
      <c r="H56" s="731" t="s">
        <v>1001</v>
      </c>
      <c r="I56" s="731" t="s">
        <v>1002</v>
      </c>
      <c r="J56" s="732" t="s">
        <v>697</v>
      </c>
    </row>
    <row r="57" spans="1:14" s="731" customFormat="1" ht="90">
      <c r="A57" s="1304" t="s">
        <v>1003</v>
      </c>
      <c r="B57" s="1304" t="s">
        <v>1004</v>
      </c>
      <c r="C57" s="1304" t="s">
        <v>375</v>
      </c>
      <c r="D57" s="1304" t="s">
        <v>331</v>
      </c>
      <c r="E57" s="1304" t="s">
        <v>1005</v>
      </c>
      <c r="F57" s="1305" t="s">
        <v>1006</v>
      </c>
      <c r="G57" s="1305" t="s">
        <v>1007</v>
      </c>
      <c r="H57" s="1305" t="s">
        <v>1008</v>
      </c>
      <c r="I57" s="1306" t="s">
        <v>1006</v>
      </c>
      <c r="J57" s="1305"/>
      <c r="L57" s="733" t="s">
        <v>1009</v>
      </c>
    </row>
    <row r="58" spans="1:14" s="731" customFormat="1">
      <c r="A58" s="731" t="s">
        <v>1010</v>
      </c>
      <c r="B58" s="731" t="s">
        <v>733</v>
      </c>
      <c r="C58" s="731" t="s">
        <v>1011</v>
      </c>
      <c r="D58" s="731" t="s">
        <v>1012</v>
      </c>
      <c r="E58" s="731" t="s">
        <v>1013</v>
      </c>
      <c r="F58" s="731">
        <v>1</v>
      </c>
      <c r="J58" s="731">
        <v>1</v>
      </c>
    </row>
    <row r="59" spans="1:14" s="731" customFormat="1">
      <c r="A59" s="731" t="s">
        <v>1010</v>
      </c>
      <c r="B59" s="731" t="s">
        <v>733</v>
      </c>
      <c r="C59" s="731" t="s">
        <v>1014</v>
      </c>
      <c r="D59" s="731" t="s">
        <v>1015</v>
      </c>
      <c r="E59" s="731" t="s">
        <v>1013</v>
      </c>
      <c r="H59" s="731">
        <v>1</v>
      </c>
      <c r="J59" s="731">
        <v>1</v>
      </c>
    </row>
    <row r="60" spans="1:14" s="731" customFormat="1">
      <c r="A60" s="731" t="s">
        <v>1016</v>
      </c>
      <c r="B60" s="731" t="s">
        <v>392</v>
      </c>
      <c r="C60" s="731" t="s">
        <v>1017</v>
      </c>
      <c r="D60" s="731" t="s">
        <v>1018</v>
      </c>
      <c r="E60" s="731" t="s">
        <v>1013</v>
      </c>
      <c r="F60" s="731">
        <v>4</v>
      </c>
      <c r="J60" s="731">
        <v>4</v>
      </c>
    </row>
    <row r="61" spans="1:14" s="731" customFormat="1">
      <c r="A61" s="731" t="s">
        <v>1016</v>
      </c>
      <c r="B61" s="731" t="s">
        <v>392</v>
      </c>
      <c r="C61" s="731" t="s">
        <v>1019</v>
      </c>
      <c r="D61" s="731" t="s">
        <v>1020</v>
      </c>
      <c r="E61" s="731" t="s">
        <v>1013</v>
      </c>
      <c r="H61" s="731">
        <v>2</v>
      </c>
      <c r="J61" s="731">
        <v>2</v>
      </c>
    </row>
    <row r="62" spans="1:14" s="731" customFormat="1">
      <c r="A62" s="731" t="s">
        <v>1016</v>
      </c>
      <c r="B62" s="731" t="s">
        <v>392</v>
      </c>
      <c r="C62" s="731" t="s">
        <v>1021</v>
      </c>
      <c r="D62" s="731" t="s">
        <v>1022</v>
      </c>
      <c r="E62" s="731" t="s">
        <v>1013</v>
      </c>
      <c r="F62" s="731">
        <v>3</v>
      </c>
      <c r="J62" s="731">
        <v>3</v>
      </c>
    </row>
    <row r="63" spans="1:14" s="731" customFormat="1">
      <c r="A63" s="731" t="s">
        <v>1016</v>
      </c>
      <c r="B63" s="731" t="s">
        <v>392</v>
      </c>
      <c r="C63" s="731" t="s">
        <v>1023</v>
      </c>
      <c r="D63" s="731" t="s">
        <v>1024</v>
      </c>
      <c r="E63" s="731" t="s">
        <v>1013</v>
      </c>
      <c r="F63" s="731">
        <v>1</v>
      </c>
      <c r="J63" s="731">
        <v>1</v>
      </c>
    </row>
    <row r="64" spans="1:14" s="731" customFormat="1">
      <c r="A64" s="731" t="s">
        <v>1016</v>
      </c>
      <c r="B64" s="731" t="s">
        <v>392</v>
      </c>
      <c r="C64" s="731" t="s">
        <v>1025</v>
      </c>
      <c r="D64" s="731" t="s">
        <v>1026</v>
      </c>
      <c r="E64" s="731" t="s">
        <v>1027</v>
      </c>
      <c r="H64" s="731">
        <v>2</v>
      </c>
      <c r="J64" s="731">
        <v>2</v>
      </c>
    </row>
    <row r="65" spans="1:10" s="731" customFormat="1">
      <c r="A65" s="731" t="s">
        <v>1016</v>
      </c>
      <c r="B65" s="731" t="s">
        <v>392</v>
      </c>
      <c r="C65" s="731" t="s">
        <v>1028</v>
      </c>
      <c r="D65" s="731" t="s">
        <v>1029</v>
      </c>
      <c r="E65" s="731" t="s">
        <v>1013</v>
      </c>
      <c r="F65" s="731">
        <v>2</v>
      </c>
      <c r="J65" s="731">
        <v>2</v>
      </c>
    </row>
    <row r="66" spans="1:10" s="731" customFormat="1">
      <c r="A66" s="731" t="s">
        <v>1030</v>
      </c>
      <c r="B66" s="731" t="s">
        <v>396</v>
      </c>
      <c r="C66" s="731" t="s">
        <v>1031</v>
      </c>
      <c r="D66" s="731" t="s">
        <v>1032</v>
      </c>
      <c r="E66" s="731" t="s">
        <v>1013</v>
      </c>
      <c r="F66" s="731">
        <v>1</v>
      </c>
      <c r="J66" s="731">
        <v>1</v>
      </c>
    </row>
    <row r="67" spans="1:10" s="731" customFormat="1">
      <c r="A67" s="731" t="s">
        <v>1030</v>
      </c>
      <c r="B67" s="731" t="s">
        <v>396</v>
      </c>
      <c r="C67" s="731" t="s">
        <v>1033</v>
      </c>
      <c r="D67" s="731" t="s">
        <v>1034</v>
      </c>
      <c r="E67" s="731" t="s">
        <v>1013</v>
      </c>
      <c r="F67" s="731">
        <v>1</v>
      </c>
      <c r="J67" s="731">
        <v>1</v>
      </c>
    </row>
    <row r="68" spans="1:10" s="731" customFormat="1">
      <c r="A68" s="731" t="s">
        <v>1030</v>
      </c>
      <c r="B68" s="731" t="s">
        <v>396</v>
      </c>
      <c r="C68" s="731" t="s">
        <v>1035</v>
      </c>
      <c r="D68" s="731" t="s">
        <v>1036</v>
      </c>
      <c r="E68" s="731" t="s">
        <v>1013</v>
      </c>
      <c r="F68" s="731">
        <v>1</v>
      </c>
      <c r="J68" s="731">
        <v>1</v>
      </c>
    </row>
    <row r="69" spans="1:10" s="731" customFormat="1">
      <c r="A69" s="731" t="s">
        <v>1030</v>
      </c>
      <c r="B69" s="731" t="s">
        <v>396</v>
      </c>
      <c r="C69" s="731" t="s">
        <v>1037</v>
      </c>
      <c r="D69" s="731" t="s">
        <v>1038</v>
      </c>
      <c r="E69" s="731" t="s">
        <v>1013</v>
      </c>
      <c r="G69" s="731">
        <v>1</v>
      </c>
      <c r="J69" s="731">
        <v>1</v>
      </c>
    </row>
    <row r="70" spans="1:10" s="731" customFormat="1">
      <c r="A70" s="731" t="s">
        <v>1030</v>
      </c>
      <c r="B70" s="731" t="s">
        <v>396</v>
      </c>
      <c r="C70" s="731" t="s">
        <v>1039</v>
      </c>
      <c r="D70" s="731" t="s">
        <v>1040</v>
      </c>
      <c r="E70" s="731" t="s">
        <v>1013</v>
      </c>
      <c r="F70" s="731">
        <v>3</v>
      </c>
      <c r="J70" s="731">
        <v>3</v>
      </c>
    </row>
    <row r="71" spans="1:10" s="731" customFormat="1">
      <c r="A71" s="731" t="s">
        <v>1041</v>
      </c>
      <c r="B71" s="731" t="s">
        <v>734</v>
      </c>
      <c r="C71" s="731" t="s">
        <v>1042</v>
      </c>
      <c r="D71" s="731" t="s">
        <v>1043</v>
      </c>
      <c r="E71" s="731" t="s">
        <v>1013</v>
      </c>
      <c r="F71" s="731">
        <v>1</v>
      </c>
      <c r="J71" s="731">
        <v>1</v>
      </c>
    </row>
    <row r="72" spans="1:10" s="731" customFormat="1">
      <c r="A72" s="731" t="s">
        <v>1041</v>
      </c>
      <c r="B72" s="731" t="s">
        <v>734</v>
      </c>
      <c r="C72" s="731" t="s">
        <v>1044</v>
      </c>
      <c r="D72" s="731" t="s">
        <v>1045</v>
      </c>
      <c r="E72" s="731" t="s">
        <v>1013</v>
      </c>
      <c r="F72" s="731">
        <v>1</v>
      </c>
      <c r="J72" s="731">
        <v>1</v>
      </c>
    </row>
    <row r="73" spans="1:10" s="731" customFormat="1">
      <c r="A73" s="731" t="s">
        <v>1041</v>
      </c>
      <c r="B73" s="731" t="s">
        <v>734</v>
      </c>
      <c r="C73" s="731" t="s">
        <v>1046</v>
      </c>
      <c r="D73" s="731" t="s">
        <v>1047</v>
      </c>
      <c r="E73" s="731" t="s">
        <v>1013</v>
      </c>
      <c r="F73" s="731">
        <v>1</v>
      </c>
      <c r="J73" s="731">
        <v>1</v>
      </c>
    </row>
    <row r="74" spans="1:10" s="731" customFormat="1">
      <c r="A74" s="731" t="s">
        <v>1041</v>
      </c>
      <c r="B74" s="731" t="s">
        <v>734</v>
      </c>
      <c r="C74" s="731" t="s">
        <v>1048</v>
      </c>
      <c r="D74" s="731" t="s">
        <v>1049</v>
      </c>
      <c r="E74" s="731" t="s">
        <v>1013</v>
      </c>
      <c r="F74" s="731">
        <v>1</v>
      </c>
      <c r="J74" s="731">
        <v>1</v>
      </c>
    </row>
    <row r="75" spans="1:10" s="731" customFormat="1">
      <c r="A75" s="731" t="s">
        <v>1041</v>
      </c>
      <c r="B75" s="731" t="s">
        <v>734</v>
      </c>
      <c r="C75" s="731" t="s">
        <v>1050</v>
      </c>
      <c r="D75" s="731" t="s">
        <v>1051</v>
      </c>
      <c r="E75" s="731" t="s">
        <v>1013</v>
      </c>
      <c r="F75" s="731">
        <v>1</v>
      </c>
      <c r="J75" s="731">
        <v>1</v>
      </c>
    </row>
    <row r="76" spans="1:10" s="731" customFormat="1">
      <c r="A76" s="731" t="s">
        <v>1052</v>
      </c>
      <c r="B76" s="731" t="s">
        <v>735</v>
      </c>
      <c r="C76" s="731" t="s">
        <v>1025</v>
      </c>
      <c r="D76" s="731" t="s">
        <v>1026</v>
      </c>
      <c r="E76" s="731" t="s">
        <v>1027</v>
      </c>
      <c r="H76" s="731">
        <v>1</v>
      </c>
      <c r="J76" s="731">
        <v>1</v>
      </c>
    </row>
    <row r="77" spans="1:10" s="731" customFormat="1">
      <c r="A77" s="731" t="s">
        <v>1053</v>
      </c>
      <c r="B77" s="731" t="s">
        <v>390</v>
      </c>
      <c r="C77" s="731" t="s">
        <v>1054</v>
      </c>
      <c r="D77" s="731" t="s">
        <v>1055</v>
      </c>
      <c r="E77" s="731" t="s">
        <v>1013</v>
      </c>
      <c r="F77" s="731">
        <v>8</v>
      </c>
      <c r="I77" s="731">
        <v>1</v>
      </c>
      <c r="J77" s="731">
        <v>9</v>
      </c>
    </row>
    <row r="78" spans="1:10" s="731" customFormat="1">
      <c r="A78" s="731" t="s">
        <v>1053</v>
      </c>
      <c r="B78" s="731" t="s">
        <v>390</v>
      </c>
      <c r="C78" s="731" t="s">
        <v>1021</v>
      </c>
      <c r="D78" s="731" t="s">
        <v>1022</v>
      </c>
      <c r="E78" s="731" t="s">
        <v>1013</v>
      </c>
      <c r="F78" s="731">
        <v>2</v>
      </c>
      <c r="H78" s="731">
        <v>1</v>
      </c>
      <c r="J78" s="731">
        <v>3</v>
      </c>
    </row>
    <row r="79" spans="1:10" s="731" customFormat="1">
      <c r="A79" s="731" t="s">
        <v>1053</v>
      </c>
      <c r="B79" s="731" t="s">
        <v>390</v>
      </c>
      <c r="C79" s="731" t="s">
        <v>1023</v>
      </c>
      <c r="D79" s="731" t="s">
        <v>1024</v>
      </c>
      <c r="E79" s="731" t="s">
        <v>1013</v>
      </c>
      <c r="F79" s="731">
        <v>1</v>
      </c>
      <c r="J79" s="731">
        <v>1</v>
      </c>
    </row>
    <row r="80" spans="1:10" s="731" customFormat="1">
      <c r="A80" s="731" t="s">
        <v>1053</v>
      </c>
      <c r="B80" s="731" t="s">
        <v>390</v>
      </c>
      <c r="C80" s="731" t="s">
        <v>1044</v>
      </c>
      <c r="D80" s="731" t="s">
        <v>1045</v>
      </c>
      <c r="E80" s="731" t="s">
        <v>1013</v>
      </c>
      <c r="F80" s="731">
        <v>2</v>
      </c>
      <c r="J80" s="731">
        <v>2</v>
      </c>
    </row>
    <row r="81" spans="1:14" s="731" customFormat="1">
      <c r="A81" s="731" t="s">
        <v>1053</v>
      </c>
      <c r="B81" s="731" t="s">
        <v>390</v>
      </c>
      <c r="C81" s="731" t="s">
        <v>1011</v>
      </c>
      <c r="D81" s="731" t="s">
        <v>1012</v>
      </c>
      <c r="E81" s="731" t="s">
        <v>1013</v>
      </c>
      <c r="F81" s="731">
        <v>2</v>
      </c>
      <c r="J81" s="731">
        <v>2</v>
      </c>
    </row>
    <row r="82" spans="1:14" s="731" customFormat="1">
      <c r="A82" s="731" t="s">
        <v>1053</v>
      </c>
      <c r="B82" s="731" t="s">
        <v>390</v>
      </c>
      <c r="C82" s="731" t="s">
        <v>1056</v>
      </c>
      <c r="D82" s="731" t="s">
        <v>1057</v>
      </c>
      <c r="E82" s="731" t="s">
        <v>1013</v>
      </c>
      <c r="F82" s="731">
        <v>1</v>
      </c>
      <c r="J82" s="731">
        <v>1</v>
      </c>
    </row>
    <row r="83" spans="1:14" s="731" customFormat="1">
      <c r="A83" s="731" t="s">
        <v>1053</v>
      </c>
      <c r="B83" s="731" t="s">
        <v>390</v>
      </c>
      <c r="C83" s="731" t="s">
        <v>1058</v>
      </c>
      <c r="D83" s="731" t="s">
        <v>1059</v>
      </c>
      <c r="E83" s="731" t="s">
        <v>1013</v>
      </c>
      <c r="G83" s="731">
        <v>1</v>
      </c>
      <c r="J83" s="731">
        <v>1</v>
      </c>
    </row>
    <row r="84" spans="1:14" s="731" customFormat="1">
      <c r="A84" s="731" t="s">
        <v>1053</v>
      </c>
      <c r="B84" s="731" t="s">
        <v>390</v>
      </c>
      <c r="C84" s="731" t="s">
        <v>1060</v>
      </c>
      <c r="D84" s="731" t="s">
        <v>1061</v>
      </c>
      <c r="E84" s="731" t="s">
        <v>1013</v>
      </c>
      <c r="F84" s="731">
        <v>2</v>
      </c>
      <c r="J84" s="731">
        <v>2</v>
      </c>
    </row>
    <row r="85" spans="1:14" s="731" customFormat="1">
      <c r="A85" s="731" t="s">
        <v>1053</v>
      </c>
      <c r="B85" s="731" t="s">
        <v>390</v>
      </c>
      <c r="C85" s="731" t="s">
        <v>1062</v>
      </c>
      <c r="D85" s="731" t="s">
        <v>976</v>
      </c>
      <c r="E85" s="731" t="s">
        <v>1013</v>
      </c>
      <c r="F85" s="731">
        <v>1</v>
      </c>
      <c r="J85" s="731">
        <v>1</v>
      </c>
    </row>
    <row r="86" spans="1:14" s="731" customFormat="1">
      <c r="A86" s="731" t="s">
        <v>1053</v>
      </c>
      <c r="B86" s="731" t="s">
        <v>390</v>
      </c>
      <c r="C86" s="731" t="s">
        <v>1050</v>
      </c>
      <c r="D86" s="731" t="s">
        <v>1051</v>
      </c>
      <c r="E86" s="731" t="s">
        <v>1013</v>
      </c>
      <c r="F86" s="731">
        <v>1</v>
      </c>
      <c r="J86" s="731">
        <v>1</v>
      </c>
    </row>
    <row r="87" spans="1:14" s="731" customFormat="1">
      <c r="A87" s="731" t="s">
        <v>1053</v>
      </c>
      <c r="B87" s="731" t="s">
        <v>390</v>
      </c>
      <c r="C87" s="731" t="s">
        <v>1063</v>
      </c>
      <c r="D87" s="731" t="s">
        <v>1064</v>
      </c>
      <c r="E87" s="731" t="s">
        <v>1013</v>
      </c>
      <c r="F87" s="731">
        <v>1</v>
      </c>
      <c r="J87" s="731">
        <v>1</v>
      </c>
    </row>
    <row r="88" spans="1:14" s="731" customFormat="1">
      <c r="A88" s="731" t="s">
        <v>1053</v>
      </c>
      <c r="B88" s="731" t="s">
        <v>390</v>
      </c>
      <c r="C88" s="731" t="s">
        <v>1065</v>
      </c>
      <c r="D88" s="731" t="s">
        <v>1066</v>
      </c>
      <c r="E88" s="731" t="s">
        <v>1013</v>
      </c>
      <c r="F88" s="731">
        <v>1</v>
      </c>
      <c r="J88" s="731">
        <v>1</v>
      </c>
    </row>
    <row r="89" spans="1:14" s="731" customFormat="1">
      <c r="A89" s="731" t="s">
        <v>1053</v>
      </c>
      <c r="B89" s="731" t="s">
        <v>390</v>
      </c>
      <c r="C89" s="731" t="s">
        <v>1067</v>
      </c>
      <c r="D89" s="731" t="s">
        <v>1068</v>
      </c>
      <c r="E89" s="731" t="s">
        <v>1013</v>
      </c>
      <c r="F89" s="731">
        <v>1</v>
      </c>
      <c r="J89" s="731">
        <v>1</v>
      </c>
    </row>
    <row r="90" spans="1:14" s="731" customFormat="1">
      <c r="A90" s="731" t="s">
        <v>1053</v>
      </c>
      <c r="B90" s="731" t="s">
        <v>390</v>
      </c>
      <c r="C90" s="731" t="s">
        <v>1069</v>
      </c>
      <c r="D90" s="731" t="s">
        <v>1070</v>
      </c>
      <c r="E90" s="731" t="s">
        <v>1013</v>
      </c>
      <c r="F90" s="731">
        <v>1</v>
      </c>
      <c r="J90" s="731">
        <v>1</v>
      </c>
    </row>
    <row r="91" spans="1:14" s="731" customFormat="1">
      <c r="A91" s="731" t="s">
        <v>1053</v>
      </c>
      <c r="B91" s="731" t="s">
        <v>390</v>
      </c>
      <c r="C91" s="731" t="s">
        <v>1071</v>
      </c>
      <c r="D91" s="731" t="s">
        <v>1072</v>
      </c>
      <c r="E91" s="731" t="s">
        <v>1013</v>
      </c>
      <c r="F91" s="731">
        <v>1</v>
      </c>
      <c r="J91" s="731">
        <v>1</v>
      </c>
    </row>
    <row r="92" spans="1:14">
      <c r="A92" s="731" t="s">
        <v>1053</v>
      </c>
      <c r="B92" s="731" t="s">
        <v>390</v>
      </c>
      <c r="C92" s="731" t="s">
        <v>1039</v>
      </c>
      <c r="D92" s="731" t="s">
        <v>1040</v>
      </c>
      <c r="E92" s="731" t="s">
        <v>1013</v>
      </c>
      <c r="F92" s="731">
        <v>1</v>
      </c>
      <c r="G92" s="731"/>
      <c r="H92" s="731"/>
      <c r="I92" s="731"/>
      <c r="J92" s="731">
        <v>1</v>
      </c>
      <c r="K92" s="731"/>
      <c r="L92" s="731"/>
      <c r="M92" s="731"/>
      <c r="N92" s="731"/>
    </row>
    <row r="93" spans="1:14">
      <c r="A93" s="731" t="s">
        <v>1073</v>
      </c>
      <c r="B93" s="731" t="s">
        <v>641</v>
      </c>
      <c r="C93" s="731" t="s">
        <v>1074</v>
      </c>
      <c r="D93" s="731" t="s">
        <v>1075</v>
      </c>
      <c r="E93" s="731" t="s">
        <v>1076</v>
      </c>
      <c r="F93" s="731">
        <v>1</v>
      </c>
      <c r="G93" s="731"/>
      <c r="H93" s="731"/>
      <c r="I93" s="731"/>
      <c r="J93" s="731">
        <v>1</v>
      </c>
      <c r="K93" s="731"/>
      <c r="L93" s="731"/>
      <c r="M93" s="731"/>
      <c r="N93" s="731"/>
    </row>
    <row r="94" spans="1:14">
      <c r="A94" s="731" t="s">
        <v>1073</v>
      </c>
      <c r="B94" s="731" t="s">
        <v>641</v>
      </c>
      <c r="C94" s="731" t="s">
        <v>1077</v>
      </c>
      <c r="D94" s="731" t="s">
        <v>1078</v>
      </c>
      <c r="E94" s="731" t="s">
        <v>1076</v>
      </c>
      <c r="F94" s="731">
        <v>1</v>
      </c>
      <c r="G94" s="731"/>
      <c r="H94" s="731"/>
      <c r="I94" s="731"/>
      <c r="J94" s="731">
        <v>1</v>
      </c>
      <c r="K94" s="731"/>
      <c r="L94" s="731"/>
      <c r="M94" s="731"/>
      <c r="N94" s="731"/>
    </row>
    <row r="95" spans="1:14">
      <c r="A95" s="731" t="s">
        <v>1073</v>
      </c>
      <c r="B95" s="731" t="s">
        <v>641</v>
      </c>
      <c r="C95" s="731" t="s">
        <v>1019</v>
      </c>
      <c r="D95" s="731" t="s">
        <v>1020</v>
      </c>
      <c r="E95" s="731" t="s">
        <v>1013</v>
      </c>
      <c r="F95" s="731">
        <v>2</v>
      </c>
      <c r="G95" s="731"/>
      <c r="H95" s="731"/>
      <c r="I95" s="731"/>
      <c r="J95" s="731">
        <v>2</v>
      </c>
      <c r="K95" s="731"/>
      <c r="L95" s="731"/>
      <c r="M95" s="731"/>
      <c r="N95" s="731"/>
    </row>
    <row r="96" spans="1:14">
      <c r="A96" s="731" t="s">
        <v>1073</v>
      </c>
      <c r="B96" s="731" t="s">
        <v>641</v>
      </c>
      <c r="C96" s="731" t="s">
        <v>1079</v>
      </c>
      <c r="D96" s="731" t="s">
        <v>1080</v>
      </c>
      <c r="E96" s="731" t="s">
        <v>1013</v>
      </c>
      <c r="F96" s="731">
        <v>2</v>
      </c>
      <c r="G96" s="731"/>
      <c r="H96" s="731"/>
      <c r="I96" s="731"/>
      <c r="J96" s="731">
        <v>2</v>
      </c>
      <c r="K96" s="731"/>
      <c r="L96" s="731"/>
      <c r="M96" s="731"/>
      <c r="N96" s="731"/>
    </row>
    <row r="97" spans="1:14">
      <c r="A97" s="731" t="s">
        <v>1073</v>
      </c>
      <c r="B97" s="731" t="s">
        <v>641</v>
      </c>
      <c r="C97" s="731" t="s">
        <v>318</v>
      </c>
      <c r="D97" s="731" t="s">
        <v>1081</v>
      </c>
      <c r="E97" s="731" t="s">
        <v>1013</v>
      </c>
      <c r="F97" s="731">
        <v>4</v>
      </c>
      <c r="G97" s="731"/>
      <c r="H97" s="731"/>
      <c r="I97" s="731"/>
      <c r="J97" s="731">
        <v>4</v>
      </c>
      <c r="K97" s="731"/>
      <c r="L97" s="731"/>
      <c r="M97" s="731"/>
      <c r="N97" s="731"/>
    </row>
    <row r="98" spans="1:14">
      <c r="A98" s="731" t="s">
        <v>697</v>
      </c>
      <c r="B98" s="731"/>
      <c r="C98" s="731"/>
      <c r="D98" s="731"/>
      <c r="E98" s="731"/>
      <c r="F98" s="731">
        <v>58</v>
      </c>
      <c r="G98" s="731">
        <v>2</v>
      </c>
      <c r="H98" s="731">
        <v>7</v>
      </c>
      <c r="I98" s="731">
        <v>1</v>
      </c>
      <c r="J98" s="731">
        <v>68</v>
      </c>
      <c r="K98" s="731"/>
      <c r="L98" s="731"/>
      <c r="M98" s="731"/>
      <c r="N98" s="731"/>
    </row>
  </sheetData>
  <pageMargins left="0.7" right="0.7" top="0.75" bottom="0.75" header="0.3" footer="0.3"/>
  <pageSetup orientation="portrait" r:id="rId1"/>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2:L6"/>
  <sheetViews>
    <sheetView workbookViewId="0"/>
  </sheetViews>
  <sheetFormatPr baseColWidth="10" defaultColWidth="8.796875" defaultRowHeight="14"/>
  <cols>
    <col min="2" max="2" width="26.796875" customWidth="1"/>
    <col min="3" max="3" width="16.796875" customWidth="1"/>
    <col min="11" max="11" width="17" customWidth="1"/>
  </cols>
  <sheetData>
    <row r="2" spans="1:12" ht="16" thickBot="1">
      <c r="A2" s="960" t="s">
        <v>1082</v>
      </c>
    </row>
    <row r="3" spans="1:12" ht="222" thickBot="1">
      <c r="A3" s="1082" t="s">
        <v>1083</v>
      </c>
      <c r="B3" s="1082" t="s">
        <v>1084</v>
      </c>
      <c r="C3" s="1083" t="s">
        <v>1085</v>
      </c>
      <c r="D3" s="1084" t="s">
        <v>1086</v>
      </c>
      <c r="E3" s="1084" t="s">
        <v>1087</v>
      </c>
      <c r="F3" s="1082" t="s">
        <v>1088</v>
      </c>
      <c r="G3" s="1082" t="s">
        <v>1089</v>
      </c>
      <c r="H3" s="1082" t="s">
        <v>1090</v>
      </c>
      <c r="I3" s="1082" t="s">
        <v>1091</v>
      </c>
      <c r="J3" s="1082" t="s">
        <v>1092</v>
      </c>
      <c r="K3" s="1085" t="s">
        <v>1093</v>
      </c>
      <c r="L3" s="1086" t="s">
        <v>1094</v>
      </c>
    </row>
    <row r="4" spans="1:12" ht="19" thickTop="1" thickBot="1">
      <c r="A4">
        <v>267</v>
      </c>
      <c r="B4" t="s">
        <v>392</v>
      </c>
      <c r="C4" s="1087" t="s">
        <v>392</v>
      </c>
      <c r="D4" s="1088">
        <v>3</v>
      </c>
      <c r="E4" s="1088">
        <v>638</v>
      </c>
      <c r="F4">
        <v>76.56</v>
      </c>
      <c r="G4">
        <v>31.900000000000002</v>
      </c>
      <c r="H4" s="34">
        <v>891.12</v>
      </c>
      <c r="I4" s="34">
        <v>14.25</v>
      </c>
      <c r="J4" s="1089">
        <v>76</v>
      </c>
      <c r="K4" s="26">
        <v>1727.83</v>
      </c>
      <c r="L4" s="37">
        <v>6911</v>
      </c>
    </row>
    <row r="5" spans="1:12" ht="18" thickBot="1">
      <c r="A5">
        <v>305</v>
      </c>
      <c r="B5" t="s">
        <v>404</v>
      </c>
      <c r="C5" s="1087" t="s">
        <v>1095</v>
      </c>
      <c r="D5" s="1088">
        <v>4</v>
      </c>
      <c r="E5" s="1090">
        <v>1773</v>
      </c>
      <c r="F5">
        <v>212.76</v>
      </c>
      <c r="G5">
        <v>88.65</v>
      </c>
      <c r="H5" s="34">
        <v>891.12</v>
      </c>
      <c r="I5" s="34">
        <v>14.25</v>
      </c>
      <c r="J5" s="1089">
        <v>76</v>
      </c>
      <c r="K5" s="26">
        <v>3055.7799999999997</v>
      </c>
      <c r="L5" s="37">
        <v>12223</v>
      </c>
    </row>
    <row r="6" spans="1:12">
      <c r="A6">
        <v>304</v>
      </c>
      <c r="B6" t="s">
        <v>394</v>
      </c>
      <c r="C6" t="s">
        <v>1096</v>
      </c>
      <c r="D6">
        <v>4</v>
      </c>
      <c r="E6">
        <v>1299</v>
      </c>
      <c r="F6">
        <v>155.88</v>
      </c>
      <c r="G6">
        <v>64.95</v>
      </c>
      <c r="H6">
        <v>891.12</v>
      </c>
      <c r="I6">
        <v>14.25</v>
      </c>
      <c r="J6">
        <v>76</v>
      </c>
      <c r="K6">
        <v>2501.2000000000003</v>
      </c>
      <c r="L6">
        <v>10005</v>
      </c>
    </row>
  </sheetData>
  <hyperlinks>
    <hyperlink ref="A2" r:id="rId1" display="https://gcdocs.intra.pri/aanc-inac/llisapi.dll/Overview/99913032" xr:uid="{00000000-0004-0000-34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FFFF00"/>
  </sheetPr>
  <dimension ref="A2:DJ65"/>
  <sheetViews>
    <sheetView workbookViewId="0">
      <pane xSplit="4" ySplit="6" topLeftCell="CN24" activePane="bottomRight" state="frozen"/>
      <selection pane="topRight" activeCell="E1" sqref="E1"/>
      <selection pane="bottomLeft" activeCell="A7" sqref="A7"/>
      <selection pane="bottomRight" activeCell="B34" sqref="B34"/>
    </sheetView>
  </sheetViews>
  <sheetFormatPr baseColWidth="10" defaultColWidth="9" defaultRowHeight="14"/>
  <cols>
    <col min="1" max="1" width="7.796875" customWidth="1"/>
    <col min="2" max="2" width="17.3984375" customWidth="1"/>
    <col min="3" max="3" width="8.59765625" customWidth="1"/>
    <col min="4" max="4" width="40.3984375" customWidth="1"/>
    <col min="5" max="10" width="7.19921875" customWidth="1"/>
    <col min="11" max="13" width="7" customWidth="1"/>
    <col min="14" max="14" width="6.796875" customWidth="1"/>
    <col min="15" max="15" width="11.3984375" customWidth="1"/>
    <col min="16" max="19" width="7" customWidth="1"/>
    <col min="20" max="20" width="9.19921875" customWidth="1"/>
    <col min="21" max="23" width="9.796875" customWidth="1"/>
    <col min="24" max="24" width="11.19921875" customWidth="1"/>
    <col min="25" max="34" width="7.796875" customWidth="1"/>
    <col min="35" max="35" width="10.3984375" customWidth="1"/>
    <col min="36" max="38" width="7.19921875" customWidth="1"/>
    <col min="39" max="43" width="9" customWidth="1"/>
    <col min="44" max="44" width="11.796875" customWidth="1"/>
    <col min="45" max="45" width="13.19921875" customWidth="1"/>
    <col min="46" max="46" width="12.19921875" customWidth="1"/>
    <col min="48" max="49" width="9.19921875" customWidth="1"/>
    <col min="50" max="53" width="13.19921875" customWidth="1"/>
    <col min="54" max="54" width="12.3984375" customWidth="1"/>
    <col min="55" max="55" width="13.19921875" customWidth="1"/>
    <col min="56" max="56" width="13.796875" customWidth="1"/>
    <col min="57" max="57" width="14" customWidth="1"/>
    <col min="58" max="58" width="13.796875" customWidth="1"/>
    <col min="59" max="59" width="16.19921875" customWidth="1"/>
    <col min="60" max="60" width="12" customWidth="1"/>
    <col min="61" max="61" width="14.3984375" customWidth="1"/>
    <col min="62" max="62" width="16" customWidth="1"/>
    <col min="63" max="64" width="14.59765625" customWidth="1"/>
    <col min="65" max="65" width="11.59765625" customWidth="1"/>
    <col min="66" max="66" width="11.19921875" customWidth="1"/>
    <col min="67" max="67" width="12.796875" customWidth="1"/>
    <col min="68" max="68" width="11.796875" customWidth="1"/>
    <col min="69" max="69" width="17" customWidth="1"/>
    <col min="70" max="70" width="15.19921875" customWidth="1"/>
    <col min="71" max="74" width="12.796875" customWidth="1"/>
    <col min="75" max="75" width="14.3984375" customWidth="1"/>
    <col min="76" max="79" width="13.796875" customWidth="1"/>
    <col min="80" max="80" width="15" customWidth="1"/>
    <col min="81" max="81" width="11" customWidth="1"/>
    <col min="82" max="84" width="15.796875" customWidth="1"/>
    <col min="85" max="86" width="13.59765625" customWidth="1"/>
    <col min="87" max="87" width="15.19921875" customWidth="1"/>
    <col min="88" max="88" width="17.796875" customWidth="1"/>
    <col min="89" max="89" width="16.19921875" customWidth="1"/>
    <col min="90" max="90" width="16.59765625" customWidth="1"/>
    <col min="91" max="91" width="19.19921875" customWidth="1"/>
    <col min="92" max="92" width="13.19921875" customWidth="1"/>
    <col min="93" max="93" width="13.796875" customWidth="1"/>
    <col min="95" max="95" width="12.19921875" customWidth="1"/>
    <col min="96" max="96" width="15.796875" customWidth="1"/>
    <col min="97" max="103" width="14.19921875" customWidth="1"/>
  </cols>
  <sheetData>
    <row r="2" spans="1:114" ht="16">
      <c r="A2" s="10" t="s">
        <v>1097</v>
      </c>
      <c r="AV2" s="88"/>
    </row>
    <row r="3" spans="1:114" ht="13.5" customHeight="1">
      <c r="A3" s="10" t="s">
        <v>1098</v>
      </c>
    </row>
    <row r="4" spans="1:114" ht="13.5" customHeight="1">
      <c r="B4" s="378" t="s">
        <v>1099</v>
      </c>
      <c r="C4" s="383"/>
    </row>
    <row r="5" spans="1:114" ht="33" customHeight="1">
      <c r="A5" s="72"/>
      <c r="B5" s="72"/>
      <c r="C5" s="72"/>
      <c r="D5" s="72"/>
      <c r="E5" s="126" t="s">
        <v>1100</v>
      </c>
      <c r="F5" s="36"/>
      <c r="G5" s="36"/>
      <c r="H5" s="36"/>
      <c r="I5" s="36"/>
      <c r="J5" s="36"/>
      <c r="K5" s="36"/>
      <c r="L5" s="36"/>
      <c r="M5" s="36"/>
      <c r="N5" s="36"/>
      <c r="O5" s="36"/>
      <c r="P5" s="36"/>
      <c r="Q5" s="36"/>
      <c r="R5" s="36"/>
      <c r="S5" s="36"/>
      <c r="T5" s="36"/>
      <c r="U5" s="36"/>
      <c r="V5" s="1727" t="s">
        <v>1101</v>
      </c>
      <c r="W5" s="1727"/>
      <c r="X5" s="1727"/>
      <c r="Y5" s="1727"/>
      <c r="Z5" s="36"/>
      <c r="AA5" s="36"/>
      <c r="AB5" s="129" t="s">
        <v>1102</v>
      </c>
      <c r="AC5" s="128"/>
      <c r="AD5" s="128"/>
      <c r="AE5" s="128"/>
      <c r="AF5" s="128"/>
      <c r="AG5" s="128"/>
      <c r="AH5" s="128"/>
      <c r="AI5" s="128"/>
      <c r="AJ5" s="128"/>
      <c r="AK5" s="128"/>
      <c r="AL5" s="128"/>
      <c r="AM5" s="128"/>
      <c r="AN5" s="128"/>
      <c r="AO5" s="128"/>
      <c r="AP5" s="128"/>
      <c r="AQ5" s="128"/>
      <c r="AR5" s="128"/>
      <c r="AS5" s="129" t="s">
        <v>1103</v>
      </c>
      <c r="AT5" s="128"/>
      <c r="AU5" s="128"/>
      <c r="AV5" s="128"/>
      <c r="AW5" s="128"/>
      <c r="AX5" s="128"/>
      <c r="AY5" s="125" t="s">
        <v>1104</v>
      </c>
      <c r="AZ5" s="125"/>
      <c r="BA5" s="125"/>
      <c r="BB5" s="125"/>
      <c r="BC5" s="125"/>
      <c r="BD5" s="36"/>
      <c r="BE5" s="36"/>
      <c r="BF5" s="127" t="s">
        <v>1105</v>
      </c>
      <c r="BG5" s="127"/>
      <c r="BH5" s="127"/>
      <c r="BI5" s="127"/>
      <c r="BJ5" s="128"/>
      <c r="BK5" s="128"/>
      <c r="BL5" s="128"/>
      <c r="BM5" s="128"/>
      <c r="BN5" s="128"/>
      <c r="BO5" s="128"/>
      <c r="BP5" s="128"/>
      <c r="BQ5" s="128"/>
      <c r="BR5" s="126" t="s">
        <v>1106</v>
      </c>
      <c r="BS5" s="126"/>
      <c r="BT5" s="126"/>
      <c r="BU5" s="126"/>
      <c r="BV5" s="128"/>
      <c r="BW5" s="127" t="s">
        <v>1107</v>
      </c>
      <c r="BX5" s="128"/>
      <c r="BY5" s="128"/>
      <c r="BZ5" s="128"/>
      <c r="CA5" s="128"/>
      <c r="CB5" s="128"/>
      <c r="CC5" s="128"/>
      <c r="CD5" s="128"/>
      <c r="CE5" s="128"/>
      <c r="CF5" s="128"/>
      <c r="CG5" s="128"/>
      <c r="CH5" s="128"/>
      <c r="CI5" s="128"/>
      <c r="CJ5" s="128"/>
      <c r="CK5" s="128"/>
      <c r="CL5" s="128"/>
      <c r="CM5" s="125" t="s">
        <v>1108</v>
      </c>
      <c r="CN5" s="36"/>
      <c r="CO5" s="36"/>
      <c r="CP5" s="36"/>
      <c r="CQ5" s="177" t="s">
        <v>1109</v>
      </c>
      <c r="CR5" s="127" t="s">
        <v>1110</v>
      </c>
      <c r="CS5" s="128"/>
      <c r="CT5" s="128"/>
      <c r="CU5" s="128"/>
      <c r="CV5" s="128"/>
      <c r="CW5" s="128"/>
      <c r="CX5" s="128"/>
      <c r="CY5" s="128"/>
    </row>
    <row r="6" spans="1:114" ht="42.75" customHeight="1">
      <c r="A6" s="130" t="s">
        <v>1111</v>
      </c>
      <c r="B6" s="117" t="s">
        <v>1112</v>
      </c>
      <c r="C6" s="117" t="s">
        <v>375</v>
      </c>
      <c r="D6" s="117" t="s">
        <v>1113</v>
      </c>
      <c r="E6" s="405" t="s">
        <v>1114</v>
      </c>
      <c r="F6" s="405" t="s">
        <v>1115</v>
      </c>
      <c r="G6" s="405" t="s">
        <v>1116</v>
      </c>
      <c r="H6" s="405" t="s">
        <v>1117</v>
      </c>
      <c r="I6" s="405" t="s">
        <v>1118</v>
      </c>
      <c r="J6" s="405" t="s">
        <v>1119</v>
      </c>
      <c r="K6" s="405" t="s">
        <v>1120</v>
      </c>
      <c r="L6" s="405" t="s">
        <v>1121</v>
      </c>
      <c r="M6" s="405" t="s">
        <v>1122</v>
      </c>
      <c r="N6" s="405" t="s">
        <v>1123</v>
      </c>
      <c r="O6" s="405" t="s">
        <v>1124</v>
      </c>
      <c r="P6" s="405" t="s">
        <v>1125</v>
      </c>
      <c r="Q6" s="405" t="s">
        <v>1126</v>
      </c>
      <c r="R6" s="405" t="s">
        <v>1127</v>
      </c>
      <c r="S6" s="405" t="s">
        <v>1128</v>
      </c>
      <c r="T6" s="405" t="s">
        <v>1129</v>
      </c>
      <c r="U6" s="405" t="s">
        <v>1130</v>
      </c>
      <c r="V6" s="405" t="s">
        <v>1131</v>
      </c>
      <c r="W6" s="406" t="s">
        <v>1132</v>
      </c>
      <c r="X6" s="405" t="s">
        <v>1133</v>
      </c>
      <c r="Y6" s="405" t="s">
        <v>1134</v>
      </c>
      <c r="Z6" s="405" t="s">
        <v>1135</v>
      </c>
      <c r="AA6" s="405" t="s">
        <v>1136</v>
      </c>
      <c r="AB6" s="405" t="s">
        <v>1137</v>
      </c>
      <c r="AC6" s="406" t="s">
        <v>1138</v>
      </c>
      <c r="AD6" s="405" t="s">
        <v>1139</v>
      </c>
      <c r="AE6" s="405" t="s">
        <v>1140</v>
      </c>
      <c r="AF6" s="405" t="s">
        <v>1141</v>
      </c>
      <c r="AG6" s="405" t="s">
        <v>1142</v>
      </c>
      <c r="AH6" s="405" t="s">
        <v>1143</v>
      </c>
      <c r="AI6" s="405" t="s">
        <v>1144</v>
      </c>
      <c r="AJ6" s="405" t="s">
        <v>1145</v>
      </c>
      <c r="AK6" s="405" t="s">
        <v>1146</v>
      </c>
      <c r="AL6" s="405" t="s">
        <v>1147</v>
      </c>
      <c r="AM6" s="405" t="s">
        <v>1148</v>
      </c>
      <c r="AN6" s="405" t="s">
        <v>1149</v>
      </c>
      <c r="AO6" s="405" t="s">
        <v>1150</v>
      </c>
      <c r="AP6" s="405" t="s">
        <v>1151</v>
      </c>
      <c r="AQ6" s="405" t="s">
        <v>1152</v>
      </c>
      <c r="AR6" s="405" t="s">
        <v>1153</v>
      </c>
      <c r="AS6" s="405" t="s">
        <v>1154</v>
      </c>
      <c r="AT6" s="405" t="s">
        <v>1155</v>
      </c>
      <c r="AU6" s="405" t="s">
        <v>1156</v>
      </c>
      <c r="AV6" s="405" t="s">
        <v>1157</v>
      </c>
      <c r="AW6" s="405" t="s">
        <v>1158</v>
      </c>
      <c r="AX6" s="405" t="s">
        <v>1159</v>
      </c>
      <c r="AY6" s="405" t="s">
        <v>1160</v>
      </c>
      <c r="AZ6" s="405" t="s">
        <v>1161</v>
      </c>
      <c r="BA6" s="405" t="s">
        <v>1162</v>
      </c>
      <c r="BB6" s="406" t="s">
        <v>1163</v>
      </c>
      <c r="BC6" s="117" t="s">
        <v>1164</v>
      </c>
      <c r="BD6" s="117" t="s">
        <v>1165</v>
      </c>
      <c r="BE6" s="117" t="s">
        <v>1166</v>
      </c>
      <c r="BF6" s="117" t="s">
        <v>1167</v>
      </c>
      <c r="BG6" s="117" t="s">
        <v>1168</v>
      </c>
      <c r="BH6" s="117" t="s">
        <v>1169</v>
      </c>
      <c r="BI6" s="117" t="s">
        <v>1170</v>
      </c>
      <c r="BJ6" s="117" t="s">
        <v>1171</v>
      </c>
      <c r="BK6" s="117" t="s">
        <v>1172</v>
      </c>
      <c r="BL6" s="117" t="s">
        <v>1173</v>
      </c>
      <c r="BM6" s="117" t="s">
        <v>1174</v>
      </c>
      <c r="BN6" s="117" t="s">
        <v>1175</v>
      </c>
      <c r="BO6" s="117" t="s">
        <v>1176</v>
      </c>
      <c r="BP6" s="117" t="s">
        <v>1177</v>
      </c>
      <c r="BQ6" s="117" t="s">
        <v>1178</v>
      </c>
      <c r="BR6" s="117" t="s">
        <v>1179</v>
      </c>
      <c r="BS6" s="117" t="s">
        <v>1180</v>
      </c>
      <c r="BT6" s="117" t="s">
        <v>1181</v>
      </c>
      <c r="BU6" s="117" t="s">
        <v>1182</v>
      </c>
      <c r="BV6" s="117" t="s">
        <v>1183</v>
      </c>
      <c r="BW6" s="117" t="s">
        <v>1184</v>
      </c>
      <c r="BX6" s="117" t="s">
        <v>1185</v>
      </c>
      <c r="BY6" s="117" t="s">
        <v>1186</v>
      </c>
      <c r="BZ6" s="117" t="s">
        <v>1187</v>
      </c>
      <c r="CA6" s="117" t="s">
        <v>1188</v>
      </c>
      <c r="CB6" s="117" t="s">
        <v>1189</v>
      </c>
      <c r="CC6" s="117" t="s">
        <v>1190</v>
      </c>
      <c r="CD6" s="117" t="s">
        <v>1191</v>
      </c>
      <c r="CE6" s="117" t="s">
        <v>1192</v>
      </c>
      <c r="CF6" s="117" t="s">
        <v>1193</v>
      </c>
      <c r="CG6" s="117" t="s">
        <v>1194</v>
      </c>
      <c r="CH6" s="117" t="s">
        <v>1195</v>
      </c>
      <c r="CI6" s="117" t="s">
        <v>1196</v>
      </c>
      <c r="CJ6" s="117" t="s">
        <v>1197</v>
      </c>
      <c r="CK6" s="117" t="s">
        <v>1198</v>
      </c>
      <c r="CL6" s="117" t="s">
        <v>1199</v>
      </c>
      <c r="CM6" s="117" t="s">
        <v>1200</v>
      </c>
      <c r="CN6" s="117" t="s">
        <v>1201</v>
      </c>
      <c r="CO6" s="117" t="s">
        <v>1202</v>
      </c>
      <c r="CP6" s="117" t="s">
        <v>1203</v>
      </c>
      <c r="CQ6" s="117" t="s">
        <v>1204</v>
      </c>
      <c r="CR6" s="117" t="s">
        <v>1205</v>
      </c>
      <c r="CS6" s="117" t="s">
        <v>1206</v>
      </c>
      <c r="CT6" s="117" t="s">
        <v>1207</v>
      </c>
      <c r="CU6" s="117" t="s">
        <v>1208</v>
      </c>
      <c r="CV6" s="117" t="s">
        <v>1209</v>
      </c>
      <c r="CW6" s="117" t="s">
        <v>1210</v>
      </c>
      <c r="CX6" s="117" t="s">
        <v>1211</v>
      </c>
      <c r="CY6" s="117" t="s">
        <v>1212</v>
      </c>
      <c r="CZ6" s="117" t="s">
        <v>1213</v>
      </c>
      <c r="DA6" s="117" t="s">
        <v>1214</v>
      </c>
      <c r="DB6" s="117" t="s">
        <v>1215</v>
      </c>
      <c r="DC6" s="117" t="s">
        <v>1216</v>
      </c>
      <c r="DD6" s="117" t="s">
        <v>1217</v>
      </c>
      <c r="DE6" s="117" t="s">
        <v>1218</v>
      </c>
      <c r="DF6" s="117" t="s">
        <v>1219</v>
      </c>
      <c r="DG6" s="117" t="s">
        <v>1220</v>
      </c>
      <c r="DH6" s="117" t="s">
        <v>1221</v>
      </c>
      <c r="DI6" s="117" t="s">
        <v>1222</v>
      </c>
      <c r="DJ6" s="117" t="s">
        <v>1223</v>
      </c>
    </row>
    <row r="7" spans="1:114" ht="15">
      <c r="A7" s="723">
        <v>272</v>
      </c>
      <c r="B7" t="s">
        <v>388</v>
      </c>
      <c r="C7" s="76">
        <v>1140</v>
      </c>
      <c r="D7" t="s">
        <v>389</v>
      </c>
      <c r="E7" s="390"/>
      <c r="F7" s="390">
        <v>29</v>
      </c>
      <c r="G7" s="390"/>
      <c r="H7" s="390">
        <v>29</v>
      </c>
      <c r="I7" s="390">
        <v>29</v>
      </c>
      <c r="J7" s="390">
        <v>16</v>
      </c>
      <c r="K7" s="390">
        <v>42</v>
      </c>
      <c r="L7" s="390">
        <v>32</v>
      </c>
      <c r="M7" s="390">
        <v>26</v>
      </c>
      <c r="N7" s="390">
        <v>21</v>
      </c>
      <c r="O7" s="390">
        <v>19</v>
      </c>
      <c r="P7" s="390">
        <v>43</v>
      </c>
      <c r="Q7" s="390"/>
      <c r="R7" s="390">
        <v>30</v>
      </c>
      <c r="S7" s="390">
        <v>31</v>
      </c>
      <c r="T7" s="390">
        <v>31</v>
      </c>
      <c r="U7" s="390">
        <v>21</v>
      </c>
      <c r="V7" s="390"/>
      <c r="W7" s="615">
        <f>SUM(TableAFNSchools[[#This Row],[K4 - Half-Day]:[Ungrd. Sec.]])</f>
        <v>399</v>
      </c>
      <c r="X7" s="390"/>
      <c r="Y7" s="390"/>
      <c r="Z7" s="390"/>
      <c r="AA7" s="390">
        <v>36</v>
      </c>
      <c r="AB7" s="390"/>
      <c r="AC7" s="123">
        <f>SUM(TableAFNSchools[[#This Row],[FTE &lt;22 Total]:[Ungrd. Sec. 22+]])</f>
        <v>435</v>
      </c>
      <c r="AD7" s="164"/>
      <c r="AE7" s="164">
        <v>29</v>
      </c>
      <c r="AF7" s="164"/>
      <c r="AG7" s="164">
        <v>29</v>
      </c>
      <c r="AH7" s="164">
        <v>29</v>
      </c>
      <c r="AI7" s="164">
        <v>16</v>
      </c>
      <c r="AJ7" s="164">
        <v>42</v>
      </c>
      <c r="AK7" s="164">
        <v>32</v>
      </c>
      <c r="AL7" s="164">
        <v>26</v>
      </c>
      <c r="AM7" s="164">
        <v>21</v>
      </c>
      <c r="AN7" s="164">
        <v>19</v>
      </c>
      <c r="AO7" s="164">
        <v>43</v>
      </c>
      <c r="AP7" s="164"/>
      <c r="AQ7" s="164">
        <v>30</v>
      </c>
      <c r="AR7" s="164">
        <v>31</v>
      </c>
      <c r="AS7" s="164">
        <v>31</v>
      </c>
      <c r="AT7" s="600">
        <v>21</v>
      </c>
      <c r="AU7" s="164"/>
      <c r="AV7" s="601">
        <f>SUM(TableAFNSchools[[#This Row],[K4''- Half-Day]:[Ugrd. Sec. H]])</f>
        <v>399</v>
      </c>
      <c r="AW7" s="164"/>
      <c r="AX7" s="164"/>
      <c r="AY7" s="164"/>
      <c r="AZ7" s="600">
        <v>36</v>
      </c>
      <c r="BA7" s="164"/>
      <c r="BB7" s="121">
        <f t="shared" ref="BB7:BB18" si="0">SUM(AV7:BA7)</f>
        <v>435</v>
      </c>
      <c r="BC7" s="1">
        <f>SUM(E7:Q7)</f>
        <v>286</v>
      </c>
      <c r="BD7" s="1">
        <f t="shared" ref="BD7:BD18" si="1">SUM(R7:V7,X7:AB7)</f>
        <v>149</v>
      </c>
      <c r="BE7" s="95">
        <f t="shared" ref="BE7:BE18" si="2">SUM(BC7:BD7)</f>
        <v>435</v>
      </c>
      <c r="BF7">
        <f>TableAFNSchools[[#This Row],[Gr9]]+TableAFNSchools[[#This Row],[Gr9 22+]]</f>
        <v>30</v>
      </c>
      <c r="BG7">
        <f>TableAFNSchools[[#This Row],[Gr10]]+TableAFNSchools[[#This Row],[Gr10 22+]]</f>
        <v>31</v>
      </c>
      <c r="BH7">
        <f>TableAFNSchools[[#This Row],[Gr11]]+TableAFNSchools[[#This Row],[Gr11 22+]]</f>
        <v>31</v>
      </c>
      <c r="BI7">
        <f>TableAFNSchools[[#This Row],[Gr12]]+TableAFNSchools[[#This Row],[Gr12 22+]]</f>
        <v>57</v>
      </c>
      <c r="BJ7">
        <f>COUNTIF(TableAFNSchools[[#This Row],[K4 - Half-Day]:[Gr8]],"&gt;0")</f>
        <v>10</v>
      </c>
      <c r="BK7">
        <f>COUNTIF(TableAFNSchools[[#This Row],[Gr9 FTE Sum]:[Gr12 FTE Sum]],"&gt;0")</f>
        <v>4</v>
      </c>
      <c r="BL7" s="2">
        <f t="shared" ref="BL7:BL18" si="3">SUM(BJ7:BK7)</f>
        <v>14</v>
      </c>
      <c r="BM7" s="80">
        <f t="shared" ref="BM7:BM18" si="4">IFERROR(BC7/BJ7,0)</f>
        <v>28.6</v>
      </c>
      <c r="BN7" s="80">
        <f t="shared" ref="BN7:BN18" si="5">IFERROR(BD7/BK7,0)</f>
        <v>37.25</v>
      </c>
      <c r="BO7" s="80">
        <f t="shared" ref="BO7:BO18" si="6">BE7/BL7</f>
        <v>31.071428571428573</v>
      </c>
      <c r="BP7" s="80">
        <f>TableAFNSchools[[#This Row],[K4 - Half-Day]]+TableAFNSchools[[#This Row],[K5- Half-Day]]+TableAFNSchools[[#This Row],[Gr1]]+TableAFNSchools[[#This Row],[Gr2]]+TableAFNSchools[[#This Row],[Gr3]]+TableAFNSchools[[#This Row],[Ungrd. Elem.]]+TableAFNSchools[[#This Row],[K4- Full Day]]+TableAFNSchools[[#This Row],[K5 - Full Day]]</f>
        <v>145</v>
      </c>
      <c r="BQ7" s="80">
        <f>TableAFNSchools[[#This Row],[Gr4]]+TableAFNSchools[[#This Row],[Gr5]]+TableAFNSchools[[#This Row],[Gr6]]</f>
        <v>79</v>
      </c>
      <c r="BR7" s="80">
        <f>TableAFNSchools[[#This Row],[Gr7]]+TableAFNSchools[[#This Row],[Gr8]]</f>
        <v>62</v>
      </c>
      <c r="BS7"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149</v>
      </c>
      <c r="BT7"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149</v>
      </c>
      <c r="BU7"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211</v>
      </c>
      <c r="BV7" t="s">
        <v>442</v>
      </c>
      <c r="BW7" t="s">
        <v>1224</v>
      </c>
      <c r="BX7" t="s">
        <v>1225</v>
      </c>
      <c r="BY7" t="str">
        <f>IF(TableAFNSchools[[#This Row],[K4 - Half-Day]]=TableAFNSchools[[#This Row],[K4''- Half-Day]],"Full-Day",IF(TableAFNSchools[[#This Row],[K4 - Half-Day]]&lt;TableAFNSchools[[#This Row],[K4''- Half-Day]],"Half-Day","None"))</f>
        <v>Full-Day</v>
      </c>
      <c r="BZ7" t="str">
        <f>IF(TableAFNSchools[[#This Row],[K5- Half-Day]]=TableAFNSchools[[#This Row],[K5 Half Day]],"Full-Day",IF(TableAFNSchools[[#This Row],[K5- Half-Day]]=0,"None","Half-Day"))</f>
        <v>Full-Day</v>
      </c>
      <c r="CA7" t="s">
        <v>473</v>
      </c>
      <c r="CB7" t="s">
        <v>1226</v>
      </c>
      <c r="CC7" t="s">
        <v>1227</v>
      </c>
      <c r="CD7" t="s">
        <v>1228</v>
      </c>
      <c r="CE7" t="s">
        <v>1229</v>
      </c>
      <c r="CF7">
        <v>51.592910000000003</v>
      </c>
      <c r="CG7">
        <v>-98.687219999999996</v>
      </c>
      <c r="CH7" t="s">
        <v>1230</v>
      </c>
      <c r="CI7">
        <v>2922</v>
      </c>
      <c r="CJ7">
        <v>4618067</v>
      </c>
      <c r="CK7" t="s">
        <v>1231</v>
      </c>
      <c r="CL7" t="s">
        <v>1232</v>
      </c>
      <c r="CM7">
        <v>5733186</v>
      </c>
      <c r="CN7">
        <v>1680574</v>
      </c>
      <c r="CO7" s="76">
        <v>241</v>
      </c>
      <c r="CP7" s="81">
        <v>2</v>
      </c>
      <c r="CQ7" t="s">
        <v>1233</v>
      </c>
      <c r="CR7" s="76">
        <v>236</v>
      </c>
      <c r="CS7" s="76" t="s">
        <v>1234</v>
      </c>
      <c r="CT7" t="s">
        <v>1233</v>
      </c>
      <c r="CU7">
        <v>0.22</v>
      </c>
      <c r="CV7" s="51">
        <v>1.1100000000000001</v>
      </c>
      <c r="CW7" s="131">
        <v>4753.7</v>
      </c>
      <c r="CX7" s="37">
        <v>975</v>
      </c>
      <c r="CY7">
        <v>74.126000000000005</v>
      </c>
      <c r="CZ7">
        <v>297</v>
      </c>
      <c r="DA7" s="51">
        <f>CZ7/CY7</f>
        <v>4.0066913093921155</v>
      </c>
      <c r="DB7" s="55">
        <f>TableAFNSchools[[#Totals],[Total Funded FTE]]/'F1. Prov School Area 1617'!$H$47</f>
        <v>3.4732742858418326E-3</v>
      </c>
    </row>
    <row r="8" spans="1:114" ht="15">
      <c r="A8" s="723">
        <v>275</v>
      </c>
      <c r="B8" t="s">
        <v>390</v>
      </c>
      <c r="C8" s="76">
        <v>1144</v>
      </c>
      <c r="D8" t="s">
        <v>391</v>
      </c>
      <c r="E8" s="390"/>
      <c r="F8" s="390">
        <v>19</v>
      </c>
      <c r="G8" s="390"/>
      <c r="H8" s="390">
        <v>23</v>
      </c>
      <c r="I8" s="390">
        <v>39</v>
      </c>
      <c r="J8" s="390">
        <v>30</v>
      </c>
      <c r="K8" s="390">
        <v>37</v>
      </c>
      <c r="L8" s="390">
        <v>31</v>
      </c>
      <c r="M8" s="390">
        <v>25</v>
      </c>
      <c r="N8" s="390">
        <v>38</v>
      </c>
      <c r="O8" s="390">
        <v>30</v>
      </c>
      <c r="P8" s="390">
        <v>29</v>
      </c>
      <c r="Q8" s="390"/>
      <c r="R8" s="390">
        <v>56</v>
      </c>
      <c r="S8" s="390">
        <v>24</v>
      </c>
      <c r="T8" s="390">
        <v>15</v>
      </c>
      <c r="U8" s="390">
        <v>2</v>
      </c>
      <c r="V8" s="390"/>
      <c r="W8" s="615">
        <f>SUM(TableAFNSchools[[#This Row],[K4 - Half-Day]:[Ungrd. Sec.]])</f>
        <v>398</v>
      </c>
      <c r="X8" s="390"/>
      <c r="Y8" s="390"/>
      <c r="Z8" s="390"/>
      <c r="AA8" s="390"/>
      <c r="AB8" s="390"/>
      <c r="AC8" s="123">
        <f>SUM(TableAFNSchools[[#This Row],[FTE &lt;22 Total]:[Ungrd. Sec. 22+]])</f>
        <v>398</v>
      </c>
      <c r="AD8" s="164"/>
      <c r="AE8" s="164">
        <v>19</v>
      </c>
      <c r="AF8" s="164"/>
      <c r="AG8" s="164">
        <v>23</v>
      </c>
      <c r="AH8" s="164">
        <v>39</v>
      </c>
      <c r="AI8" s="164">
        <v>30</v>
      </c>
      <c r="AJ8" s="164">
        <v>37</v>
      </c>
      <c r="AK8" s="164">
        <v>31</v>
      </c>
      <c r="AL8" s="164">
        <v>25</v>
      </c>
      <c r="AM8" s="164">
        <v>38</v>
      </c>
      <c r="AN8" s="164">
        <v>30</v>
      </c>
      <c r="AO8" s="164">
        <v>29</v>
      </c>
      <c r="AP8" s="164"/>
      <c r="AQ8" s="164">
        <v>56</v>
      </c>
      <c r="AR8" s="164">
        <v>24</v>
      </c>
      <c r="AS8" s="164">
        <v>15</v>
      </c>
      <c r="AT8" s="164">
        <v>2</v>
      </c>
      <c r="AU8" s="164"/>
      <c r="AV8" s="601">
        <f>SUM(TableAFNSchools[[#This Row],[K4''- Half-Day]:[Ugrd. Sec. H]])</f>
        <v>398</v>
      </c>
      <c r="AW8" s="164"/>
      <c r="AX8" s="164"/>
      <c r="AY8" s="164"/>
      <c r="AZ8" s="164"/>
      <c r="BA8" s="164"/>
      <c r="BB8" s="121">
        <f t="shared" si="0"/>
        <v>398</v>
      </c>
      <c r="BC8" s="1">
        <f t="shared" ref="BC8:BC18" si="7">SUM(E8:Q8)</f>
        <v>301</v>
      </c>
      <c r="BD8" s="1">
        <f t="shared" si="1"/>
        <v>97</v>
      </c>
      <c r="BE8" s="95">
        <f t="shared" si="2"/>
        <v>398</v>
      </c>
      <c r="BF8">
        <f>TableAFNSchools[[#This Row],[Gr9]]+TableAFNSchools[[#This Row],[Gr9 22+]]</f>
        <v>56</v>
      </c>
      <c r="BG8">
        <f>TableAFNSchools[[#This Row],[Gr10]]+TableAFNSchools[[#This Row],[Gr10 22+]]</f>
        <v>24</v>
      </c>
      <c r="BH8">
        <f>TableAFNSchools[[#This Row],[Gr11]]+TableAFNSchools[[#This Row],[Gr11 22+]]</f>
        <v>15</v>
      </c>
      <c r="BI8">
        <f>TableAFNSchools[[#This Row],[Gr12]]+TableAFNSchools[[#This Row],[Gr12 22+]]</f>
        <v>2</v>
      </c>
      <c r="BJ8">
        <f>COUNTIF(TableAFNSchools[[#This Row],[K4 - Half-Day]:[Gr8]],"&gt;0")</f>
        <v>10</v>
      </c>
      <c r="BK8">
        <f>COUNTIF(TableAFNSchools[[#This Row],[Gr9 FTE Sum]:[Gr12 FTE Sum]],"&gt;0")</f>
        <v>4</v>
      </c>
      <c r="BL8" s="2">
        <f t="shared" si="3"/>
        <v>14</v>
      </c>
      <c r="BM8" s="80">
        <f t="shared" si="4"/>
        <v>30.1</v>
      </c>
      <c r="BN8" s="80">
        <f t="shared" si="5"/>
        <v>24.25</v>
      </c>
      <c r="BO8" s="80">
        <f t="shared" si="6"/>
        <v>28.428571428571427</v>
      </c>
      <c r="BP8" s="80">
        <f>TableAFNSchools[[#This Row],[K4 - Half-Day]]+TableAFNSchools[[#This Row],[K5- Half-Day]]+TableAFNSchools[[#This Row],[Gr1]]+TableAFNSchools[[#This Row],[Gr2]]+TableAFNSchools[[#This Row],[Gr3]]+TableAFNSchools[[#This Row],[Ungrd. Elem.]]+TableAFNSchools[[#This Row],[K4- Full Day]]+TableAFNSchools[[#This Row],[K5 - Full Day]]</f>
        <v>148</v>
      </c>
      <c r="BQ8" s="80">
        <f>TableAFNSchools[[#This Row],[Gr4]]+TableAFNSchools[[#This Row],[Gr5]]+TableAFNSchools[[#This Row],[Gr6]]</f>
        <v>94</v>
      </c>
      <c r="BR8" s="80">
        <f>TableAFNSchools[[#This Row],[Gr7]]+TableAFNSchools[[#This Row],[Gr8]]</f>
        <v>59</v>
      </c>
      <c r="BS8"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97</v>
      </c>
      <c r="BT8"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97</v>
      </c>
      <c r="BU8"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156</v>
      </c>
      <c r="BV8" t="s">
        <v>441</v>
      </c>
      <c r="BW8" t="s">
        <v>1224</v>
      </c>
      <c r="BX8" t="s">
        <v>1225</v>
      </c>
      <c r="BY8" t="str">
        <f>IF(TableAFNSchools[[#This Row],[K4 - Half-Day]]=TableAFNSchools[[#This Row],[K4''- Half-Day]],"Full-Day",IF(TableAFNSchools[[#This Row],[K4 - Half-Day]]&lt;TableAFNSchools[[#This Row],[K4''- Half-Day]],"Half-Day","None"))</f>
        <v>Full-Day</v>
      </c>
      <c r="BZ8" t="str">
        <f>IF(TableAFNSchools[[#This Row],[K5- Half-Day]]=TableAFNSchools[[#This Row],[K5 Half Day]],"Full-Day",IF(TableAFNSchools[[#This Row],[K5- Half-Day]]=0,"None","Half-Day"))</f>
        <v>Full-Day</v>
      </c>
      <c r="CA8" t="s">
        <v>473</v>
      </c>
      <c r="CB8" t="s">
        <v>1235</v>
      </c>
      <c r="CC8" t="s">
        <v>1233</v>
      </c>
      <c r="CD8" t="s">
        <v>1228</v>
      </c>
      <c r="CE8" t="s">
        <v>1236</v>
      </c>
      <c r="CF8">
        <v>49.883907000000001</v>
      </c>
      <c r="CG8">
        <v>-97.225853000000001</v>
      </c>
      <c r="CH8" t="s">
        <v>1237</v>
      </c>
      <c r="CI8">
        <v>2941</v>
      </c>
      <c r="CJ8">
        <v>4619065</v>
      </c>
      <c r="CK8" t="s">
        <v>1238</v>
      </c>
      <c r="CL8" t="s">
        <v>1232</v>
      </c>
      <c r="CM8">
        <v>5752386</v>
      </c>
      <c r="CN8">
        <v>1700661</v>
      </c>
      <c r="CO8" s="76">
        <v>225</v>
      </c>
      <c r="CP8" s="81">
        <v>2</v>
      </c>
      <c r="CQ8" t="s">
        <v>1233</v>
      </c>
      <c r="CR8" s="76">
        <v>261</v>
      </c>
      <c r="CS8" s="76" t="s">
        <v>1234</v>
      </c>
      <c r="CT8" t="s">
        <v>1233</v>
      </c>
      <c r="CU8">
        <v>0.22</v>
      </c>
      <c r="CV8" s="51">
        <v>1.1100000000000001</v>
      </c>
      <c r="CW8" s="913">
        <v>4032</v>
      </c>
      <c r="CX8" s="37">
        <v>505</v>
      </c>
      <c r="CY8">
        <v>35.953000000000003</v>
      </c>
      <c r="CZ8">
        <v>182</v>
      </c>
      <c r="DA8" s="51">
        <f>CZ8/CY8</f>
        <v>5.0621644925319167</v>
      </c>
      <c r="DB8" s="55">
        <f>TableAFNSchools[[#Totals],[Total Funded FTE]]/'F1. Prov School Area 1617'!$H$47</f>
        <v>3.4732742858418326E-3</v>
      </c>
    </row>
    <row r="9" spans="1:114" ht="15">
      <c r="A9" s="723">
        <v>267</v>
      </c>
      <c r="B9" t="s">
        <v>392</v>
      </c>
      <c r="C9" s="76">
        <v>1148</v>
      </c>
      <c r="D9" t="s">
        <v>393</v>
      </c>
      <c r="E9" s="390"/>
      <c r="F9" s="390">
        <v>17</v>
      </c>
      <c r="G9" s="390"/>
      <c r="H9" s="390">
        <v>19</v>
      </c>
      <c r="I9" s="390">
        <v>24</v>
      </c>
      <c r="J9" s="390">
        <v>13</v>
      </c>
      <c r="K9" s="390">
        <v>13</v>
      </c>
      <c r="L9" s="390">
        <v>20</v>
      </c>
      <c r="M9" s="390">
        <v>15</v>
      </c>
      <c r="N9" s="390">
        <v>19</v>
      </c>
      <c r="O9" s="390">
        <v>14</v>
      </c>
      <c r="P9" s="390">
        <v>22</v>
      </c>
      <c r="Q9" s="390"/>
      <c r="R9" s="390">
        <v>11</v>
      </c>
      <c r="S9" s="390">
        <v>5</v>
      </c>
      <c r="T9" s="390">
        <v>2</v>
      </c>
      <c r="U9" s="390"/>
      <c r="V9" s="390"/>
      <c r="W9" s="615">
        <f>SUM(TableAFNSchools[[#This Row],[K4 - Half-Day]:[Ungrd. Sec.]])</f>
        <v>194</v>
      </c>
      <c r="X9" s="390"/>
      <c r="Y9" s="390"/>
      <c r="Z9" s="390"/>
      <c r="AA9" s="390"/>
      <c r="AB9" s="390"/>
      <c r="AC9" s="123">
        <f>SUM(TableAFNSchools[[#This Row],[FTE &lt;22 Total]:[Ungrd. Sec. 22+]])</f>
        <v>194</v>
      </c>
      <c r="AD9" s="164"/>
      <c r="AE9" s="164">
        <v>17</v>
      </c>
      <c r="AF9" s="164"/>
      <c r="AG9" s="164">
        <v>19</v>
      </c>
      <c r="AH9" s="164">
        <v>24</v>
      </c>
      <c r="AI9" s="164">
        <v>13</v>
      </c>
      <c r="AJ9" s="164">
        <v>13</v>
      </c>
      <c r="AK9" s="164">
        <v>20</v>
      </c>
      <c r="AL9" s="164">
        <v>15</v>
      </c>
      <c r="AM9" s="164">
        <v>19</v>
      </c>
      <c r="AN9" s="164">
        <v>14</v>
      </c>
      <c r="AO9" s="164">
        <v>22</v>
      </c>
      <c r="AP9" s="164"/>
      <c r="AQ9" s="164">
        <v>11</v>
      </c>
      <c r="AR9" s="164">
        <v>5</v>
      </c>
      <c r="AS9" s="164">
        <v>2</v>
      </c>
      <c r="AT9" s="164"/>
      <c r="AU9" s="164"/>
      <c r="AV9" s="601">
        <f>SUM(TableAFNSchools[[#This Row],[K4''- Half-Day]:[Ugrd. Sec. H]])</f>
        <v>194</v>
      </c>
      <c r="AW9" s="164"/>
      <c r="AX9" s="164"/>
      <c r="AY9" s="164"/>
      <c r="AZ9" s="164"/>
      <c r="BA9" s="164"/>
      <c r="BB9" s="121">
        <f t="shared" si="0"/>
        <v>194</v>
      </c>
      <c r="BC9" s="1">
        <f t="shared" si="7"/>
        <v>176</v>
      </c>
      <c r="BD9" s="1">
        <f t="shared" si="1"/>
        <v>18</v>
      </c>
      <c r="BE9" s="95">
        <f t="shared" si="2"/>
        <v>194</v>
      </c>
      <c r="BF9">
        <f>TableAFNSchools[[#This Row],[Gr9]]+TableAFNSchools[[#This Row],[Gr9 22+]]</f>
        <v>11</v>
      </c>
      <c r="BG9">
        <f>TableAFNSchools[[#This Row],[Gr10]]+TableAFNSchools[[#This Row],[Gr10 22+]]</f>
        <v>5</v>
      </c>
      <c r="BH9">
        <f>TableAFNSchools[[#This Row],[Gr11]]+TableAFNSchools[[#This Row],[Gr11 22+]]</f>
        <v>2</v>
      </c>
      <c r="BI9">
        <f>TableAFNSchools[[#This Row],[Gr12]]+TableAFNSchools[[#This Row],[Gr12 22+]]</f>
        <v>0</v>
      </c>
      <c r="BJ9">
        <f>COUNTIF(TableAFNSchools[[#This Row],[K4 - Half-Day]:[Gr8]],"&gt;0")</f>
        <v>10</v>
      </c>
      <c r="BK9">
        <f>COUNTIF(TableAFNSchools[[#This Row],[Gr9 FTE Sum]:[Gr12 FTE Sum]],"&gt;0")</f>
        <v>3</v>
      </c>
      <c r="BL9" s="2">
        <f t="shared" si="3"/>
        <v>13</v>
      </c>
      <c r="BM9" s="80">
        <f t="shared" si="4"/>
        <v>17.600000000000001</v>
      </c>
      <c r="BN9" s="80">
        <f t="shared" si="5"/>
        <v>6</v>
      </c>
      <c r="BO9" s="80">
        <f t="shared" si="6"/>
        <v>14.923076923076923</v>
      </c>
      <c r="BP9" s="80">
        <f>TableAFNSchools[[#This Row],[K4 - Half-Day]]+TableAFNSchools[[#This Row],[K5- Half-Day]]+TableAFNSchools[[#This Row],[Gr1]]+TableAFNSchools[[#This Row],[Gr2]]+TableAFNSchools[[#This Row],[Gr3]]+TableAFNSchools[[#This Row],[Ungrd. Elem.]]+TableAFNSchools[[#This Row],[K4- Full Day]]+TableAFNSchools[[#This Row],[K5 - Full Day]]</f>
        <v>86</v>
      </c>
      <c r="BQ9" s="80">
        <f>TableAFNSchools[[#This Row],[Gr4]]+TableAFNSchools[[#This Row],[Gr5]]+TableAFNSchools[[#This Row],[Gr6]]</f>
        <v>54</v>
      </c>
      <c r="BR9" s="80">
        <f>TableAFNSchools[[#This Row],[Gr7]]+TableAFNSchools[[#This Row],[Gr8]]</f>
        <v>36</v>
      </c>
      <c r="BS9"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18</v>
      </c>
      <c r="BT9"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18</v>
      </c>
      <c r="BU9"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54</v>
      </c>
      <c r="BV9" t="s">
        <v>441</v>
      </c>
      <c r="BW9" t="s">
        <v>1224</v>
      </c>
      <c r="BX9" t="s">
        <v>1225</v>
      </c>
      <c r="BY9" t="str">
        <f>IF(TableAFNSchools[[#This Row],[K4 - Half-Day]]=TableAFNSchools[[#This Row],[K4''- Half-Day]],"Full-Day",IF(TableAFNSchools[[#This Row],[K4 - Half-Day]]&lt;TableAFNSchools[[#This Row],[K4''- Half-Day]],"Half-Day","None"))</f>
        <v>Full-Day</v>
      </c>
      <c r="BZ9" t="str">
        <f>IF(TableAFNSchools[[#This Row],[K5- Half-Day]]=TableAFNSchools[[#This Row],[K5 Half Day]],"Full-Day",IF(TableAFNSchools[[#This Row],[K5- Half-Day]]=0,"None","Half-Day"))</f>
        <v>Full-Day</v>
      </c>
      <c r="CA9" t="s">
        <v>474</v>
      </c>
      <c r="CB9" t="s">
        <v>1239</v>
      </c>
      <c r="CC9" t="s">
        <v>1240</v>
      </c>
      <c r="CD9" t="s">
        <v>1228</v>
      </c>
      <c r="CE9" t="s">
        <v>1241</v>
      </c>
      <c r="CF9">
        <v>51.783408000000001</v>
      </c>
      <c r="CG9">
        <v>-96.696916999999999</v>
      </c>
      <c r="CH9" t="s">
        <v>1242</v>
      </c>
      <c r="CI9">
        <v>2932</v>
      </c>
      <c r="CJ9">
        <v>4619052</v>
      </c>
      <c r="CK9" t="s">
        <v>1243</v>
      </c>
      <c r="CL9" t="s">
        <v>1232</v>
      </c>
      <c r="CM9">
        <v>5869864</v>
      </c>
      <c r="CN9">
        <v>1692471</v>
      </c>
      <c r="CO9" s="76">
        <v>203</v>
      </c>
      <c r="CP9" s="81">
        <v>4</v>
      </c>
      <c r="CQ9" t="s">
        <v>1233</v>
      </c>
      <c r="CR9" s="76">
        <v>249</v>
      </c>
      <c r="CS9" s="76" t="s">
        <v>1244</v>
      </c>
      <c r="CT9" t="s">
        <v>1233</v>
      </c>
      <c r="CU9">
        <v>0.63</v>
      </c>
      <c r="CV9" s="51">
        <v>1.3149999999999999</v>
      </c>
      <c r="CW9" s="913">
        <v>2865.2</v>
      </c>
      <c r="CX9" s="37">
        <v>645</v>
      </c>
      <c r="CY9">
        <v>16.251999999999999</v>
      </c>
      <c r="CZ9">
        <v>162</v>
      </c>
      <c r="DA9" s="51">
        <f>CZ9/CY9</f>
        <v>9.9680039379768655</v>
      </c>
      <c r="DB9" s="55">
        <f>TableAFNSchools[[#Totals],[Total Funded FTE]]/'F1. Prov School Area 1617'!$H$47</f>
        <v>3.4732742858418326E-3</v>
      </c>
    </row>
    <row r="10" spans="1:114" ht="15">
      <c r="A10" s="723">
        <v>304</v>
      </c>
      <c r="B10" t="s">
        <v>394</v>
      </c>
      <c r="C10" s="76">
        <v>1166</v>
      </c>
      <c r="D10" t="s">
        <v>395</v>
      </c>
      <c r="E10" s="390"/>
      <c r="F10" s="390">
        <v>18</v>
      </c>
      <c r="G10" s="390"/>
      <c r="H10" s="390">
        <v>7</v>
      </c>
      <c r="I10" s="390">
        <v>11</v>
      </c>
      <c r="J10" s="390">
        <v>14</v>
      </c>
      <c r="K10" s="390">
        <v>7</v>
      </c>
      <c r="L10" s="390">
        <v>14</v>
      </c>
      <c r="M10" s="390">
        <v>11</v>
      </c>
      <c r="N10" s="390">
        <v>7</v>
      </c>
      <c r="O10" s="390">
        <v>11</v>
      </c>
      <c r="P10" s="390">
        <v>11</v>
      </c>
      <c r="Q10" s="390"/>
      <c r="R10" s="390">
        <v>11</v>
      </c>
      <c r="S10" s="390">
        <v>11</v>
      </c>
      <c r="T10" s="390">
        <v>6</v>
      </c>
      <c r="U10" s="390">
        <v>3</v>
      </c>
      <c r="V10" s="390"/>
      <c r="W10" s="615">
        <f>SUM(TableAFNSchools[[#This Row],[K4 - Half-Day]:[Ungrd. Sec.]])</f>
        <v>142</v>
      </c>
      <c r="X10" s="390"/>
      <c r="Y10" s="390"/>
      <c r="Z10" s="390"/>
      <c r="AA10" s="390"/>
      <c r="AB10" s="390"/>
      <c r="AC10" s="123">
        <f>SUM(TableAFNSchools[[#This Row],[FTE &lt;22 Total]:[Ungrd. Sec. 22+]])</f>
        <v>142</v>
      </c>
      <c r="AD10" s="164"/>
      <c r="AE10" s="164">
        <v>18</v>
      </c>
      <c r="AF10" s="164"/>
      <c r="AG10" s="164">
        <v>7</v>
      </c>
      <c r="AH10" s="164">
        <v>11</v>
      </c>
      <c r="AI10" s="164">
        <v>14</v>
      </c>
      <c r="AJ10" s="164">
        <v>7</v>
      </c>
      <c r="AK10" s="164">
        <v>14</v>
      </c>
      <c r="AL10" s="164">
        <v>11</v>
      </c>
      <c r="AM10" s="164">
        <v>7</v>
      </c>
      <c r="AN10" s="164">
        <v>11</v>
      </c>
      <c r="AO10" s="164">
        <v>11</v>
      </c>
      <c r="AP10" s="164"/>
      <c r="AQ10" s="164">
        <v>11</v>
      </c>
      <c r="AR10" s="164">
        <v>11</v>
      </c>
      <c r="AS10" s="164">
        <v>6</v>
      </c>
      <c r="AT10" s="164">
        <v>3</v>
      </c>
      <c r="AU10" s="164"/>
      <c r="AV10" s="601">
        <f>SUM(TableAFNSchools[[#This Row],[K4''- Half-Day]:[Ugrd. Sec. H]])</f>
        <v>142</v>
      </c>
      <c r="AW10" s="164"/>
      <c r="AX10" s="164"/>
      <c r="AY10" s="164"/>
      <c r="AZ10" s="164"/>
      <c r="BA10" s="164"/>
      <c r="BB10" s="121">
        <f t="shared" si="0"/>
        <v>142</v>
      </c>
      <c r="BC10" s="1">
        <f t="shared" si="7"/>
        <v>111</v>
      </c>
      <c r="BD10" s="1">
        <f t="shared" si="1"/>
        <v>31</v>
      </c>
      <c r="BE10" s="95">
        <f t="shared" si="2"/>
        <v>142</v>
      </c>
      <c r="BF10">
        <f>TableAFNSchools[[#This Row],[Gr9]]+TableAFNSchools[[#This Row],[Gr9 22+]]</f>
        <v>11</v>
      </c>
      <c r="BG10">
        <f>TableAFNSchools[[#This Row],[Gr10]]+TableAFNSchools[[#This Row],[Gr10 22+]]</f>
        <v>11</v>
      </c>
      <c r="BH10">
        <f>TableAFNSchools[[#This Row],[Gr11]]+TableAFNSchools[[#This Row],[Gr11 22+]]</f>
        <v>6</v>
      </c>
      <c r="BI10">
        <f>TableAFNSchools[[#This Row],[Gr12]]+TableAFNSchools[[#This Row],[Gr12 22+]]</f>
        <v>3</v>
      </c>
      <c r="BJ10">
        <f>COUNTIF(TableAFNSchools[[#This Row],[K4 - Half-Day]:[Gr8]],"&gt;0")</f>
        <v>10</v>
      </c>
      <c r="BK10">
        <f>COUNTIF(TableAFNSchools[[#This Row],[Gr9 FTE Sum]:[Gr12 FTE Sum]],"&gt;0")</f>
        <v>4</v>
      </c>
      <c r="BL10" s="2">
        <f t="shared" si="3"/>
        <v>14</v>
      </c>
      <c r="BM10" s="80">
        <f t="shared" si="4"/>
        <v>11.1</v>
      </c>
      <c r="BN10" s="80">
        <f t="shared" si="5"/>
        <v>7.75</v>
      </c>
      <c r="BO10" s="80">
        <f t="shared" si="6"/>
        <v>10.142857142857142</v>
      </c>
      <c r="BP10" s="80">
        <f>TableAFNSchools[[#This Row],[K4 - Half-Day]]+TableAFNSchools[[#This Row],[K5- Half-Day]]+TableAFNSchools[[#This Row],[Gr1]]+TableAFNSchools[[#This Row],[Gr2]]+TableAFNSchools[[#This Row],[Gr3]]+TableAFNSchools[[#This Row],[Ungrd. Elem.]]+TableAFNSchools[[#This Row],[K4- Full Day]]+TableAFNSchools[[#This Row],[K5 - Full Day]]</f>
        <v>57</v>
      </c>
      <c r="BQ10" s="80">
        <f>TableAFNSchools[[#This Row],[Gr4]]+TableAFNSchools[[#This Row],[Gr5]]+TableAFNSchools[[#This Row],[Gr6]]</f>
        <v>32</v>
      </c>
      <c r="BR10" s="80">
        <f>TableAFNSchools[[#This Row],[Gr7]]+TableAFNSchools[[#This Row],[Gr8]]</f>
        <v>22</v>
      </c>
      <c r="BS10"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31</v>
      </c>
      <c r="BT10"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31</v>
      </c>
      <c r="BU10"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53</v>
      </c>
      <c r="BV10" t="s">
        <v>441</v>
      </c>
      <c r="BW10" t="s">
        <v>1224</v>
      </c>
      <c r="BX10" t="s">
        <v>1225</v>
      </c>
      <c r="BY10" t="str">
        <f>IF(TableAFNSchools[[#This Row],[K4 - Half-Day]]=TableAFNSchools[[#This Row],[K4''- Half-Day]],"Full-Day",IF(TableAFNSchools[[#This Row],[K4 - Half-Day]]&lt;TableAFNSchools[[#This Row],[K4''- Half-Day]],"Half-Day","None"))</f>
        <v>Full-Day</v>
      </c>
      <c r="BZ10" t="str">
        <f>IF(TableAFNSchools[[#This Row],[K5- Half-Day]]=TableAFNSchools[[#This Row],[K5 Half Day]],"Full-Day",IF(TableAFNSchools[[#This Row],[K5- Half-Day]]=0,"None","Half-Day"))</f>
        <v>Full-Day</v>
      </c>
      <c r="CA10" t="s">
        <v>474</v>
      </c>
      <c r="CB10" t="s">
        <v>1245</v>
      </c>
      <c r="CC10" t="s">
        <v>1246</v>
      </c>
      <c r="CD10" t="s">
        <v>1228</v>
      </c>
      <c r="CE10" t="s">
        <v>1247</v>
      </c>
      <c r="CF10">
        <v>56.087443</v>
      </c>
      <c r="CG10">
        <v>-96.098977000000005</v>
      </c>
      <c r="CH10" t="s">
        <v>1242</v>
      </c>
      <c r="CI10">
        <v>2989</v>
      </c>
      <c r="CJ10">
        <v>4622065</v>
      </c>
      <c r="CK10" t="s">
        <v>1096</v>
      </c>
      <c r="CL10" t="s">
        <v>1232</v>
      </c>
      <c r="CM10">
        <v>5942112</v>
      </c>
      <c r="CN10">
        <v>2175215</v>
      </c>
      <c r="CO10" s="76">
        <v>261</v>
      </c>
      <c r="CP10" s="81">
        <v>4</v>
      </c>
      <c r="CQ10" t="s">
        <v>1248</v>
      </c>
      <c r="CR10" s="76">
        <v>936</v>
      </c>
      <c r="CS10" s="76" t="s">
        <v>1249</v>
      </c>
      <c r="CT10" t="s">
        <v>1248</v>
      </c>
      <c r="CU10">
        <v>0.6</v>
      </c>
      <c r="CV10" s="51">
        <v>1.3</v>
      </c>
      <c r="CW10" s="131">
        <v>1994</v>
      </c>
      <c r="CX10" s="37">
        <v>450</v>
      </c>
      <c r="CY10">
        <v>9.6739999999999995</v>
      </c>
      <c r="CZ10">
        <v>123</v>
      </c>
      <c r="DA10" s="51">
        <f>CZ10/CY10</f>
        <v>12.714492454000414</v>
      </c>
      <c r="DB10" s="55">
        <f>TableAFNSchools[[#Totals],[Total Funded FTE]]/'F1. Prov School Area 1617'!$H$47</f>
        <v>3.4732742858418326E-3</v>
      </c>
    </row>
    <row r="11" spans="1:114" ht="15">
      <c r="A11" s="723">
        <v>271</v>
      </c>
      <c r="B11" t="s">
        <v>396</v>
      </c>
      <c r="C11" s="76">
        <v>1345</v>
      </c>
      <c r="D11" t="s">
        <v>397</v>
      </c>
      <c r="E11" s="390"/>
      <c r="F11" s="390">
        <v>25</v>
      </c>
      <c r="G11" s="390"/>
      <c r="H11" s="390">
        <v>14</v>
      </c>
      <c r="I11" s="390">
        <v>29</v>
      </c>
      <c r="J11" s="390">
        <v>21</v>
      </c>
      <c r="K11" s="390">
        <v>20</v>
      </c>
      <c r="L11" s="390">
        <v>16</v>
      </c>
      <c r="M11" s="390">
        <v>19</v>
      </c>
      <c r="N11" s="390">
        <v>17</v>
      </c>
      <c r="O11" s="390">
        <v>27</v>
      </c>
      <c r="P11" s="390">
        <v>22</v>
      </c>
      <c r="Q11" s="390"/>
      <c r="R11" s="390">
        <v>27</v>
      </c>
      <c r="S11" s="390">
        <v>18</v>
      </c>
      <c r="T11" s="390">
        <v>27</v>
      </c>
      <c r="U11" s="390">
        <v>21</v>
      </c>
      <c r="V11" s="390"/>
      <c r="W11" s="615">
        <f>SUM(TableAFNSchools[[#This Row],[K4 - Half-Day]:[Ungrd. Sec.]])</f>
        <v>303</v>
      </c>
      <c r="X11" s="390"/>
      <c r="Y11" s="390"/>
      <c r="Z11" s="390"/>
      <c r="AA11" s="390"/>
      <c r="AB11" s="390"/>
      <c r="AC11" s="123">
        <f>SUM(TableAFNSchools[[#This Row],[FTE &lt;22 Total]:[Ungrd. Sec. 22+]])</f>
        <v>303</v>
      </c>
      <c r="AD11" s="164"/>
      <c r="AE11" s="164">
        <v>25</v>
      </c>
      <c r="AF11" s="164"/>
      <c r="AG11" s="164">
        <v>14</v>
      </c>
      <c r="AH11" s="164">
        <v>29</v>
      </c>
      <c r="AI11" s="164">
        <v>21</v>
      </c>
      <c r="AJ11" s="164">
        <v>20</v>
      </c>
      <c r="AK11" s="164">
        <v>16</v>
      </c>
      <c r="AL11" s="164">
        <v>19</v>
      </c>
      <c r="AM11" s="164">
        <v>17</v>
      </c>
      <c r="AN11" s="164">
        <v>27</v>
      </c>
      <c r="AO11" s="164">
        <v>22</v>
      </c>
      <c r="AP11" s="164"/>
      <c r="AQ11" s="164">
        <v>27</v>
      </c>
      <c r="AR11" s="164">
        <v>18</v>
      </c>
      <c r="AS11" s="164">
        <v>27</v>
      </c>
      <c r="AT11" s="164">
        <v>21</v>
      </c>
      <c r="AU11" s="164"/>
      <c r="AV11" s="601">
        <f>SUM(TableAFNSchools[[#This Row],[K4''- Half-Day]:[Ugrd. Sec. H]])</f>
        <v>303</v>
      </c>
      <c r="AW11" s="164"/>
      <c r="AX11" s="164"/>
      <c r="AY11" s="164"/>
      <c r="AZ11" s="164"/>
      <c r="BA11" s="164"/>
      <c r="BB11" s="121">
        <f t="shared" si="0"/>
        <v>303</v>
      </c>
      <c r="BC11" s="1">
        <f t="shared" si="7"/>
        <v>210</v>
      </c>
      <c r="BD11" s="1">
        <f t="shared" si="1"/>
        <v>93</v>
      </c>
      <c r="BE11" s="95">
        <f t="shared" si="2"/>
        <v>303</v>
      </c>
      <c r="BF11">
        <f>TableAFNSchools[[#This Row],[Gr9]]+TableAFNSchools[[#This Row],[Gr9 22+]]</f>
        <v>27</v>
      </c>
      <c r="BG11">
        <f>TableAFNSchools[[#This Row],[Gr10]]+TableAFNSchools[[#This Row],[Gr10 22+]]</f>
        <v>18</v>
      </c>
      <c r="BH11">
        <f>TableAFNSchools[[#This Row],[Gr11]]+TableAFNSchools[[#This Row],[Gr11 22+]]</f>
        <v>27</v>
      </c>
      <c r="BI11">
        <f>TableAFNSchools[[#This Row],[Gr12]]+TableAFNSchools[[#This Row],[Gr12 22+]]</f>
        <v>21</v>
      </c>
      <c r="BJ11">
        <f>COUNTIF(TableAFNSchools[[#This Row],[K4 - Half-Day]:[Gr8]],"&gt;0")</f>
        <v>10</v>
      </c>
      <c r="BK11">
        <f>COUNTIF(TableAFNSchools[[#This Row],[Gr9 FTE Sum]:[Gr12 FTE Sum]],"&gt;0")</f>
        <v>4</v>
      </c>
      <c r="BL11" s="2">
        <f t="shared" si="3"/>
        <v>14</v>
      </c>
      <c r="BM11" s="80">
        <f t="shared" si="4"/>
        <v>21</v>
      </c>
      <c r="BN11" s="80">
        <f t="shared" si="5"/>
        <v>23.25</v>
      </c>
      <c r="BO11" s="80">
        <f t="shared" si="6"/>
        <v>21.642857142857142</v>
      </c>
      <c r="BP11" s="80">
        <f>TableAFNSchools[[#This Row],[K4 - Half-Day]]+TableAFNSchools[[#This Row],[K5- Half-Day]]+TableAFNSchools[[#This Row],[Gr1]]+TableAFNSchools[[#This Row],[Gr2]]+TableAFNSchools[[#This Row],[Gr3]]+TableAFNSchools[[#This Row],[Ungrd. Elem.]]+TableAFNSchools[[#This Row],[K4- Full Day]]+TableAFNSchools[[#This Row],[K5 - Full Day]]</f>
        <v>109</v>
      </c>
      <c r="BQ11" s="80">
        <f>TableAFNSchools[[#This Row],[Gr4]]+TableAFNSchools[[#This Row],[Gr5]]+TableAFNSchools[[#This Row],[Gr6]]</f>
        <v>52</v>
      </c>
      <c r="BR11" s="80">
        <f>TableAFNSchools[[#This Row],[Gr7]]+TableAFNSchools[[#This Row],[Gr8]]</f>
        <v>49</v>
      </c>
      <c r="BS11"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93</v>
      </c>
      <c r="BT11"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93</v>
      </c>
      <c r="BU11"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142</v>
      </c>
      <c r="BV11" t="s">
        <v>442</v>
      </c>
      <c r="BW11" t="s">
        <v>1224</v>
      </c>
      <c r="BX11" t="s">
        <v>1225</v>
      </c>
      <c r="BY11" t="str">
        <f>IF(TableAFNSchools[[#This Row],[K4 - Half-Day]]=TableAFNSchools[[#This Row],[K4''- Half-Day]],"Full-Day",IF(TableAFNSchools[[#This Row],[K4 - Half-Day]]&lt;TableAFNSchools[[#This Row],[K4''- Half-Day]],"Half-Day","None"))</f>
        <v>Full-Day</v>
      </c>
      <c r="BZ11" t="str">
        <f>IF(TableAFNSchools[[#This Row],[K5- Half-Day]]=TableAFNSchools[[#This Row],[K5 Half Day]],"Full-Day",IF(TableAFNSchools[[#This Row],[K5- Half-Day]]=0,"None","Half-Day"))</f>
        <v>Full-Day</v>
      </c>
      <c r="CA11" t="s">
        <v>473</v>
      </c>
      <c r="CB11" t="s">
        <v>1250</v>
      </c>
      <c r="CC11" t="s">
        <v>1251</v>
      </c>
      <c r="CD11" t="s">
        <v>1228</v>
      </c>
      <c r="CE11" t="s">
        <v>1252</v>
      </c>
      <c r="CF11">
        <v>50.908029999999997</v>
      </c>
      <c r="CG11">
        <v>-98.597160000000002</v>
      </c>
      <c r="CH11" t="s">
        <v>1230</v>
      </c>
      <c r="CI11">
        <v>2918</v>
      </c>
      <c r="CJ11">
        <v>4618055</v>
      </c>
      <c r="CK11" t="s">
        <v>1253</v>
      </c>
      <c r="CL11" t="s">
        <v>1232</v>
      </c>
      <c r="CM11">
        <v>5728400</v>
      </c>
      <c r="CN11">
        <v>1612386</v>
      </c>
      <c r="CO11" s="76">
        <v>224</v>
      </c>
      <c r="CP11" s="81">
        <v>2</v>
      </c>
      <c r="CQ11" t="s">
        <v>1233</v>
      </c>
      <c r="CR11" s="76">
        <v>180</v>
      </c>
      <c r="CS11" s="76" t="s">
        <v>1234</v>
      </c>
      <c r="CT11" t="s">
        <v>1233</v>
      </c>
      <c r="CU11">
        <v>0.22</v>
      </c>
      <c r="CV11" s="51">
        <v>1.1100000000000001</v>
      </c>
      <c r="CW11" s="131">
        <v>2892.3</v>
      </c>
      <c r="CX11" s="37">
        <v>680</v>
      </c>
      <c r="CY11">
        <v>37.705999999999996</v>
      </c>
      <c r="CZ11">
        <v>315</v>
      </c>
      <c r="DA11" s="51">
        <f>CZ11/CY11</f>
        <v>8.3541080995067105</v>
      </c>
      <c r="DB11" s="55">
        <f>TableAFNSchools[[#Totals],[Total Funded FTE]]/'F1. Prov School Area 1617'!$H$47</f>
        <v>3.4732742858418326E-3</v>
      </c>
    </row>
    <row r="12" spans="1:114" ht="15">
      <c r="A12" s="723">
        <v>295</v>
      </c>
      <c r="B12" t="s">
        <v>320</v>
      </c>
      <c r="C12" s="76">
        <v>1350</v>
      </c>
      <c r="D12" t="s">
        <v>409</v>
      </c>
      <c r="E12" s="390"/>
      <c r="F12" s="390">
        <v>4</v>
      </c>
      <c r="G12" s="390"/>
      <c r="H12" s="390">
        <v>4</v>
      </c>
      <c r="I12" s="390">
        <v>3</v>
      </c>
      <c r="J12" s="390">
        <v>2</v>
      </c>
      <c r="K12" s="390">
        <v>5</v>
      </c>
      <c r="L12" s="390">
        <v>5</v>
      </c>
      <c r="M12" s="390">
        <v>2</v>
      </c>
      <c r="N12" s="390">
        <v>2</v>
      </c>
      <c r="O12" s="390">
        <v>1</v>
      </c>
      <c r="P12" s="390">
        <v>3</v>
      </c>
      <c r="Q12" s="390"/>
      <c r="R12" s="390">
        <v>5</v>
      </c>
      <c r="S12" s="390">
        <v>1</v>
      </c>
      <c r="T12" s="390">
        <v>2</v>
      </c>
      <c r="U12" s="390">
        <v>2</v>
      </c>
      <c r="V12" s="390"/>
      <c r="W12" s="615">
        <f>SUM(TableAFNSchools[[#This Row],[K4 - Half-Day]:[Ungrd. Sec.]])</f>
        <v>41</v>
      </c>
      <c r="X12" s="390"/>
      <c r="Y12" s="390"/>
      <c r="Z12" s="390"/>
      <c r="AA12" s="390"/>
      <c r="AB12" s="390"/>
      <c r="AC12" s="123">
        <f>SUM(TableAFNSchools[[#This Row],[FTE &lt;22 Total]:[Ungrd. Sec. 22+]])</f>
        <v>41</v>
      </c>
      <c r="AD12" s="257"/>
      <c r="AE12" s="257">
        <v>4</v>
      </c>
      <c r="AF12" s="257"/>
      <c r="AG12" s="257">
        <v>4</v>
      </c>
      <c r="AH12" s="257">
        <v>3</v>
      </c>
      <c r="AI12" s="257">
        <v>2</v>
      </c>
      <c r="AJ12" s="257">
        <v>5</v>
      </c>
      <c r="AK12" s="257">
        <v>5</v>
      </c>
      <c r="AL12" s="257">
        <v>2</v>
      </c>
      <c r="AM12" s="257">
        <v>2</v>
      </c>
      <c r="AN12" s="257">
        <v>1</v>
      </c>
      <c r="AO12" s="257">
        <v>3</v>
      </c>
      <c r="AP12" s="257"/>
      <c r="AQ12" s="257">
        <v>5</v>
      </c>
      <c r="AR12" s="257">
        <v>1</v>
      </c>
      <c r="AS12" s="257">
        <v>2</v>
      </c>
      <c r="AT12" s="257">
        <v>2</v>
      </c>
      <c r="AU12" s="257"/>
      <c r="AV12" s="601">
        <f>SUM(TableAFNSchools[[#This Row],[K4''- Half-Day]:[Ugrd. Sec. H]])</f>
        <v>41</v>
      </c>
      <c r="AW12" s="164"/>
      <c r="AX12" s="164"/>
      <c r="AY12" s="164"/>
      <c r="AZ12" s="164"/>
      <c r="BA12" s="164"/>
      <c r="BB12" s="121">
        <f t="shared" si="0"/>
        <v>41</v>
      </c>
      <c r="BC12" s="1">
        <f t="shared" si="7"/>
        <v>31</v>
      </c>
      <c r="BD12" s="1">
        <f t="shared" si="1"/>
        <v>10</v>
      </c>
      <c r="BE12" s="95">
        <f t="shared" si="2"/>
        <v>41</v>
      </c>
      <c r="BF12">
        <f>TableAFNSchools[[#This Row],[Gr9]]+TableAFNSchools[[#This Row],[Gr9 22+]]</f>
        <v>5</v>
      </c>
      <c r="BG12">
        <f>TableAFNSchools[[#This Row],[Gr10]]+TableAFNSchools[[#This Row],[Gr10 22+]]</f>
        <v>1</v>
      </c>
      <c r="BH12">
        <f>TableAFNSchools[[#This Row],[Gr11]]+TableAFNSchools[[#This Row],[Gr11 22+]]</f>
        <v>2</v>
      </c>
      <c r="BI12">
        <f>TableAFNSchools[[#This Row],[Gr12]]+TableAFNSchools[[#This Row],[Gr12 22+]]</f>
        <v>2</v>
      </c>
      <c r="BJ12">
        <f>COUNTIF(TableAFNSchools[[#This Row],[K4 - Half-Day]:[Gr8]],"&gt;0")</f>
        <v>10</v>
      </c>
      <c r="BK12">
        <f>COUNTIF(TableAFNSchools[[#This Row],[Gr9 FTE Sum]:[Gr12 FTE Sum]],"&gt;0")</f>
        <v>4</v>
      </c>
      <c r="BL12" s="2">
        <f t="shared" si="3"/>
        <v>14</v>
      </c>
      <c r="BM12" s="1307">
        <f t="shared" si="4"/>
        <v>3.1</v>
      </c>
      <c r="BN12" s="1307">
        <f t="shared" si="5"/>
        <v>2.5</v>
      </c>
      <c r="BO12" s="1307">
        <f t="shared" si="6"/>
        <v>2.9285714285714284</v>
      </c>
      <c r="BP12" s="1307">
        <f>TableAFNSchools[[#This Row],[K4 - Half-Day]]+TableAFNSchools[[#This Row],[K5- Half-Day]]+TableAFNSchools[[#This Row],[Gr1]]+TableAFNSchools[[#This Row],[Gr2]]+TableAFNSchools[[#This Row],[Gr3]]+TableAFNSchools[[#This Row],[Ungrd. Elem.]]+TableAFNSchools[[#This Row],[K4- Full Day]]+TableAFNSchools[[#This Row],[K5 - Full Day]]</f>
        <v>18</v>
      </c>
      <c r="BQ12" s="1307">
        <f>TableAFNSchools[[#This Row],[Gr4]]+TableAFNSchools[[#This Row],[Gr5]]+TableAFNSchools[[#This Row],[Gr6]]</f>
        <v>9</v>
      </c>
      <c r="BR12" s="1307">
        <f>TableAFNSchools[[#This Row],[Gr7]]+TableAFNSchools[[#This Row],[Gr8]]</f>
        <v>4</v>
      </c>
      <c r="BS12" s="1307">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10</v>
      </c>
      <c r="BT12" s="1307">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10</v>
      </c>
      <c r="BU12" s="1307">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14</v>
      </c>
      <c r="BV12" t="s">
        <v>451</v>
      </c>
      <c r="BW12" t="s">
        <v>1224</v>
      </c>
      <c r="BX12" t="s">
        <v>1254</v>
      </c>
      <c r="BY12" t="str">
        <f>IF(TableAFNSchools[[#This Row],[K4 - Half-Day]]=TableAFNSchools[[#This Row],[K4''- Half-Day]],"Full-Day",IF(TableAFNSchools[[#This Row],[K4 - Half-Day]]&lt;TableAFNSchools[[#This Row],[K4''- Half-Day]],"Half-Day","None"))</f>
        <v>Full-Day</v>
      </c>
      <c r="BZ12" t="str">
        <f>IF(TableAFNSchools[[#This Row],[K5- Half-Day]]=TableAFNSchools[[#This Row],[K5 Half Day]],"Full-Day",IF(TableAFNSchools[[#This Row],[K5- Half-Day]]=0,"None","Half-Day"))</f>
        <v>Full-Day</v>
      </c>
      <c r="CA12" t="s">
        <v>473</v>
      </c>
      <c r="CD12" t="s">
        <v>1228</v>
      </c>
      <c r="CF12">
        <v>49.945613999999999</v>
      </c>
      <c r="CG12">
        <v>-98.349721000000002</v>
      </c>
      <c r="CO12" s="76"/>
      <c r="CP12" s="81"/>
      <c r="CR12" s="76">
        <v>91</v>
      </c>
      <c r="CS12" s="76"/>
      <c r="CU12">
        <v>0.12</v>
      </c>
      <c r="CV12" s="51">
        <f>(TableAFNSchools[[#This Row],[Remoteness Index (According to the BCM)]]/2)+1</f>
        <v>1.06</v>
      </c>
      <c r="CW12" s="131">
        <v>80</v>
      </c>
      <c r="CX12" s="37"/>
      <c r="DA12" s="51"/>
      <c r="DB12" s="55"/>
    </row>
    <row r="13" spans="1:114" ht="15">
      <c r="A13" s="723">
        <v>288</v>
      </c>
      <c r="B13" t="s">
        <v>398</v>
      </c>
      <c r="C13" s="76">
        <v>1486</v>
      </c>
      <c r="D13" t="s">
        <v>399</v>
      </c>
      <c r="E13" s="390"/>
      <c r="F13" s="390">
        <v>3</v>
      </c>
      <c r="G13" s="390"/>
      <c r="H13" s="390">
        <v>8</v>
      </c>
      <c r="I13" s="390">
        <v>10</v>
      </c>
      <c r="J13" s="390">
        <v>8</v>
      </c>
      <c r="K13" s="390">
        <v>8</v>
      </c>
      <c r="L13" s="390">
        <v>9</v>
      </c>
      <c r="M13" s="390">
        <v>9</v>
      </c>
      <c r="N13" s="390">
        <v>11</v>
      </c>
      <c r="O13" s="390">
        <v>6</v>
      </c>
      <c r="P13" s="390">
        <v>14</v>
      </c>
      <c r="Q13" s="390"/>
      <c r="R13" s="390"/>
      <c r="S13" s="390"/>
      <c r="T13" s="390"/>
      <c r="U13" s="390"/>
      <c r="V13" s="390"/>
      <c r="W13" s="615">
        <f>SUM(TableAFNSchools[[#This Row],[K4 - Half-Day]:[Ungrd. Sec.]])</f>
        <v>86</v>
      </c>
      <c r="X13" s="390"/>
      <c r="Y13" s="390"/>
      <c r="Z13" s="390"/>
      <c r="AA13" s="390"/>
      <c r="AB13" s="390"/>
      <c r="AC13" s="123">
        <f>SUM(TableAFNSchools[[#This Row],[FTE &lt;22 Total]:[Ungrd. Sec. 22+]])</f>
        <v>86</v>
      </c>
      <c r="AD13" s="164"/>
      <c r="AE13" s="164">
        <v>3</v>
      </c>
      <c r="AF13" s="164"/>
      <c r="AG13" s="164">
        <v>8</v>
      </c>
      <c r="AH13" s="164">
        <v>10</v>
      </c>
      <c r="AI13" s="164">
        <v>8</v>
      </c>
      <c r="AJ13" s="164">
        <v>8</v>
      </c>
      <c r="AK13" s="164">
        <v>9</v>
      </c>
      <c r="AL13" s="164">
        <v>9</v>
      </c>
      <c r="AM13" s="164">
        <v>11</v>
      </c>
      <c r="AN13" s="164">
        <v>6</v>
      </c>
      <c r="AO13" s="164">
        <v>14</v>
      </c>
      <c r="AP13" s="164"/>
      <c r="AQ13" s="164"/>
      <c r="AR13" s="164"/>
      <c r="AS13" s="164"/>
      <c r="AT13" s="164"/>
      <c r="AU13" s="164"/>
      <c r="AV13" s="601">
        <f>SUM(TableAFNSchools[[#This Row],[K4''- Half-Day]:[Ugrd. Sec. H]])</f>
        <v>86</v>
      </c>
      <c r="AW13" s="164"/>
      <c r="AX13" s="164"/>
      <c r="AY13" s="164"/>
      <c r="AZ13" s="164"/>
      <c r="BA13" s="164"/>
      <c r="BB13" s="121">
        <f t="shared" si="0"/>
        <v>86</v>
      </c>
      <c r="BC13" s="1">
        <f t="shared" si="7"/>
        <v>86</v>
      </c>
      <c r="BD13" s="1">
        <f t="shared" si="1"/>
        <v>0</v>
      </c>
      <c r="BE13" s="95">
        <f t="shared" si="2"/>
        <v>86</v>
      </c>
      <c r="BF13">
        <f>TableAFNSchools[[#This Row],[Gr9]]+TableAFNSchools[[#This Row],[Gr9 22+]]</f>
        <v>0</v>
      </c>
      <c r="BG13">
        <f>TableAFNSchools[[#This Row],[Gr10]]+TableAFNSchools[[#This Row],[Gr10 22+]]</f>
        <v>0</v>
      </c>
      <c r="BH13">
        <f>TableAFNSchools[[#This Row],[Gr11]]+TableAFNSchools[[#This Row],[Gr11 22+]]</f>
        <v>0</v>
      </c>
      <c r="BI13">
        <f>TableAFNSchools[[#This Row],[Gr12]]+TableAFNSchools[[#This Row],[Gr12 22+]]</f>
        <v>0</v>
      </c>
      <c r="BJ13">
        <f>COUNTIF(TableAFNSchools[[#This Row],[K4 - Half-Day]:[Gr8]],"&gt;0")</f>
        <v>10</v>
      </c>
      <c r="BK13">
        <f>COUNTIF(TableAFNSchools[[#This Row],[Gr9 FTE Sum]:[Gr12 FTE Sum]],"&gt;0")</f>
        <v>0</v>
      </c>
      <c r="BL13" s="2">
        <f t="shared" si="3"/>
        <v>10</v>
      </c>
      <c r="BM13" s="80">
        <f t="shared" si="4"/>
        <v>8.6</v>
      </c>
      <c r="BN13" s="80">
        <f t="shared" si="5"/>
        <v>0</v>
      </c>
      <c r="BO13" s="80">
        <f t="shared" si="6"/>
        <v>8.6</v>
      </c>
      <c r="BP13" s="80">
        <f>TableAFNSchools[[#This Row],[K4 - Half-Day]]+TableAFNSchools[[#This Row],[K5- Half-Day]]+TableAFNSchools[[#This Row],[Gr1]]+TableAFNSchools[[#This Row],[Gr2]]+TableAFNSchools[[#This Row],[Gr3]]+TableAFNSchools[[#This Row],[Ungrd. Elem.]]+TableAFNSchools[[#This Row],[K4- Full Day]]+TableAFNSchools[[#This Row],[K5 - Full Day]]</f>
        <v>37</v>
      </c>
      <c r="BQ13" s="80">
        <f>TableAFNSchools[[#This Row],[Gr4]]+TableAFNSchools[[#This Row],[Gr5]]+TableAFNSchools[[#This Row],[Gr6]]</f>
        <v>29</v>
      </c>
      <c r="BR13" s="80">
        <f>TableAFNSchools[[#This Row],[Gr7]]+TableAFNSchools[[#This Row],[Gr8]]</f>
        <v>20</v>
      </c>
      <c r="BS13"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3"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3"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20</v>
      </c>
      <c r="BV13" t="s">
        <v>451</v>
      </c>
      <c r="BW13" t="s">
        <v>1224</v>
      </c>
      <c r="BX13" t="s">
        <v>1164</v>
      </c>
      <c r="BY13" t="str">
        <f>IF(TableAFNSchools[[#This Row],[K4 - Half-Day]]=TableAFNSchools[[#This Row],[K4''- Half-Day]],"Full-Day",IF(TableAFNSchools[[#This Row],[K4 - Half-Day]]&lt;TableAFNSchools[[#This Row],[K4''- Half-Day]],"Half-Day","None"))</f>
        <v>Full-Day</v>
      </c>
      <c r="BZ13" t="str">
        <f>IF(TableAFNSchools[[#This Row],[K5- Half-Day]]=TableAFNSchools[[#This Row],[K5 Half Day]],"Full-Day",IF(TableAFNSchools[[#This Row],[K5- Half-Day]]=0,"None","Half-Day"))</f>
        <v>Full-Day</v>
      </c>
      <c r="CA13" t="s">
        <v>473</v>
      </c>
      <c r="CB13" t="s">
        <v>1255</v>
      </c>
      <c r="CC13" t="s">
        <v>1256</v>
      </c>
      <c r="CD13" t="s">
        <v>1228</v>
      </c>
      <c r="CE13" t="s">
        <v>1257</v>
      </c>
      <c r="CF13">
        <v>49.818753999999998</v>
      </c>
      <c r="CG13">
        <v>-98.520718000000002</v>
      </c>
      <c r="CH13" t="s">
        <v>1242</v>
      </c>
      <c r="CI13">
        <v>2829</v>
      </c>
      <c r="CJ13">
        <v>4609026</v>
      </c>
      <c r="CK13" t="s">
        <v>1258</v>
      </c>
      <c r="CL13" t="s">
        <v>1232</v>
      </c>
      <c r="CM13">
        <v>5723238</v>
      </c>
      <c r="CN13">
        <v>1485021</v>
      </c>
      <c r="CO13" s="76">
        <v>210</v>
      </c>
      <c r="CP13" s="81">
        <v>1</v>
      </c>
      <c r="CQ13" t="s">
        <v>1233</v>
      </c>
      <c r="CR13" s="76">
        <v>122</v>
      </c>
      <c r="CS13" s="76" t="s">
        <v>1234</v>
      </c>
      <c r="CT13" t="s">
        <v>856</v>
      </c>
      <c r="CU13">
        <v>0.12</v>
      </c>
      <c r="CV13" s="51">
        <v>1.06</v>
      </c>
      <c r="CW13" s="131">
        <v>1589.3899999999999</v>
      </c>
      <c r="CX13" s="37">
        <v>115</v>
      </c>
      <c r="CY13">
        <v>5.3010000000000002</v>
      </c>
      <c r="CZ13">
        <v>82</v>
      </c>
      <c r="DA13" s="51">
        <f t="shared" ref="DA13:DA18" si="8">CZ13/CY13</f>
        <v>15.468779475570647</v>
      </c>
      <c r="DB13" s="55">
        <f>TableAFNSchools[[#Totals],[Total Funded FTE]]/'F1. Prov School Area 1617'!$H$47</f>
        <v>3.4732742858418326E-3</v>
      </c>
    </row>
    <row r="14" spans="1:114" ht="15">
      <c r="A14" s="723">
        <v>261</v>
      </c>
      <c r="B14" t="s">
        <v>400</v>
      </c>
      <c r="C14" s="76">
        <v>1756</v>
      </c>
      <c r="D14" t="s">
        <v>401</v>
      </c>
      <c r="E14" s="390"/>
      <c r="F14" s="390">
        <v>13</v>
      </c>
      <c r="G14" s="390"/>
      <c r="H14" s="390">
        <v>8</v>
      </c>
      <c r="I14" s="390">
        <v>8</v>
      </c>
      <c r="J14" s="390">
        <v>11</v>
      </c>
      <c r="K14" s="390">
        <v>4</v>
      </c>
      <c r="L14" s="390">
        <v>10</v>
      </c>
      <c r="M14" s="390">
        <v>7</v>
      </c>
      <c r="N14" s="390">
        <v>14</v>
      </c>
      <c r="O14" s="390">
        <v>11</v>
      </c>
      <c r="P14" s="390">
        <v>13</v>
      </c>
      <c r="Q14" s="390"/>
      <c r="R14" s="390">
        <v>14</v>
      </c>
      <c r="S14" s="390">
        <v>2</v>
      </c>
      <c r="T14" s="390">
        <v>3</v>
      </c>
      <c r="U14" s="390">
        <v>5</v>
      </c>
      <c r="V14" s="390"/>
      <c r="W14" s="615">
        <f>SUM(TableAFNSchools[[#This Row],[K4 - Half-Day]:[Ungrd. Sec.]])</f>
        <v>123</v>
      </c>
      <c r="X14" s="390"/>
      <c r="Y14" s="390"/>
      <c r="Z14" s="390"/>
      <c r="AA14" s="390"/>
      <c r="AB14" s="390"/>
      <c r="AC14" s="123">
        <f>SUM(TableAFNSchools[[#This Row],[FTE &lt;22 Total]:[Ungrd. Sec. 22+]])</f>
        <v>123</v>
      </c>
      <c r="AD14" s="164"/>
      <c r="AE14" s="164">
        <v>13</v>
      </c>
      <c r="AF14" s="164"/>
      <c r="AG14" s="164">
        <v>8</v>
      </c>
      <c r="AH14" s="164">
        <v>8</v>
      </c>
      <c r="AI14" s="164">
        <v>11</v>
      </c>
      <c r="AJ14" s="164">
        <v>4</v>
      </c>
      <c r="AK14" s="164">
        <v>10</v>
      </c>
      <c r="AL14" s="164">
        <v>7</v>
      </c>
      <c r="AM14" s="164">
        <v>14</v>
      </c>
      <c r="AN14" s="164">
        <v>11</v>
      </c>
      <c r="AO14" s="164">
        <v>13</v>
      </c>
      <c r="AP14" s="164"/>
      <c r="AQ14" s="164">
        <v>14</v>
      </c>
      <c r="AR14" s="164">
        <v>2</v>
      </c>
      <c r="AS14" s="164">
        <v>3</v>
      </c>
      <c r="AT14" s="164">
        <v>5</v>
      </c>
      <c r="AU14" s="164"/>
      <c r="AV14" s="601">
        <f>SUM(TableAFNSchools[[#This Row],[K4''- Half-Day]:[Ugrd. Sec. H]])</f>
        <v>123</v>
      </c>
      <c r="AW14" s="164"/>
      <c r="AX14" s="164"/>
      <c r="AY14" s="164"/>
      <c r="AZ14" s="164"/>
      <c r="BA14" s="164"/>
      <c r="BB14" s="121">
        <f t="shared" si="0"/>
        <v>123</v>
      </c>
      <c r="BC14" s="1">
        <f t="shared" si="7"/>
        <v>99</v>
      </c>
      <c r="BD14" s="1">
        <f t="shared" si="1"/>
        <v>24</v>
      </c>
      <c r="BE14" s="95">
        <f t="shared" si="2"/>
        <v>123</v>
      </c>
      <c r="BF14">
        <f>TableAFNSchools[[#This Row],[Gr9]]+TableAFNSchools[[#This Row],[Gr9 22+]]</f>
        <v>14</v>
      </c>
      <c r="BG14">
        <f>TableAFNSchools[[#This Row],[Gr10]]+TableAFNSchools[[#This Row],[Gr10 22+]]</f>
        <v>2</v>
      </c>
      <c r="BH14">
        <f>TableAFNSchools[[#This Row],[Gr11]]+TableAFNSchools[[#This Row],[Gr11 22+]]</f>
        <v>3</v>
      </c>
      <c r="BI14">
        <f>TableAFNSchools[[#This Row],[Gr12]]+TableAFNSchools[[#This Row],[Gr12 22+]]</f>
        <v>5</v>
      </c>
      <c r="BJ14">
        <f>COUNTIF(TableAFNSchools[[#This Row],[K4 - Half-Day]:[Gr8]],"&gt;0")</f>
        <v>10</v>
      </c>
      <c r="BK14">
        <f>COUNTIF(TableAFNSchools[[#This Row],[Gr9 FTE Sum]:[Gr12 FTE Sum]],"&gt;0")</f>
        <v>4</v>
      </c>
      <c r="BL14" s="2">
        <f t="shared" si="3"/>
        <v>14</v>
      </c>
      <c r="BM14" s="80">
        <f t="shared" si="4"/>
        <v>9.9</v>
      </c>
      <c r="BN14" s="80">
        <f t="shared" si="5"/>
        <v>6</v>
      </c>
      <c r="BO14" s="80">
        <f t="shared" si="6"/>
        <v>8.7857142857142865</v>
      </c>
      <c r="BP14" s="80">
        <f>TableAFNSchools[[#This Row],[K4 - Half-Day]]+TableAFNSchools[[#This Row],[K5- Half-Day]]+TableAFNSchools[[#This Row],[Gr1]]+TableAFNSchools[[#This Row],[Gr2]]+TableAFNSchools[[#This Row],[Gr3]]+TableAFNSchools[[#This Row],[Ungrd. Elem.]]+TableAFNSchools[[#This Row],[K4- Full Day]]+TableAFNSchools[[#This Row],[K5 - Full Day]]</f>
        <v>44</v>
      </c>
      <c r="BQ14" s="80">
        <f>TableAFNSchools[[#This Row],[Gr4]]+TableAFNSchools[[#This Row],[Gr5]]+TableAFNSchools[[#This Row],[Gr6]]</f>
        <v>31</v>
      </c>
      <c r="BR14" s="80">
        <f>TableAFNSchools[[#This Row],[Gr7]]+TableAFNSchools[[#This Row],[Gr8]]</f>
        <v>24</v>
      </c>
      <c r="BS14"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24</v>
      </c>
      <c r="BT14"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24</v>
      </c>
      <c r="BU14"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48</v>
      </c>
      <c r="BV14" t="s">
        <v>443</v>
      </c>
      <c r="BW14" t="s">
        <v>1224</v>
      </c>
      <c r="BX14" t="s">
        <v>1225</v>
      </c>
      <c r="BY14" t="str">
        <f>IF(TableAFNSchools[[#This Row],[K4 - Half-Day]]=TableAFNSchools[[#This Row],[K4''- Half-Day]],"Full-Day",IF(TableAFNSchools[[#This Row],[K4 - Half-Day]]&lt;TableAFNSchools[[#This Row],[K4''- Half-Day]],"Half-Day","None"))</f>
        <v>Full-Day</v>
      </c>
      <c r="BZ14" t="str">
        <f>IF(TableAFNSchools[[#This Row],[K5- Half-Day]]=TableAFNSchools[[#This Row],[K5 Half Day]],"Full-Day",IF(TableAFNSchools[[#This Row],[K5- Half-Day]]=0,"None","Half-Day"))</f>
        <v>Full-Day</v>
      </c>
      <c r="CA14" t="s">
        <v>473</v>
      </c>
      <c r="CB14" t="s">
        <v>1259</v>
      </c>
      <c r="CC14" t="s">
        <v>1260</v>
      </c>
      <c r="CD14" t="s">
        <v>1228</v>
      </c>
      <c r="CE14" t="s">
        <v>1261</v>
      </c>
      <c r="CF14">
        <v>50.366585999999998</v>
      </c>
      <c r="CG14">
        <v>-96.611457999999999</v>
      </c>
      <c r="CH14" t="s">
        <v>1242</v>
      </c>
      <c r="CI14">
        <v>2846</v>
      </c>
      <c r="CJ14">
        <v>4613062</v>
      </c>
      <c r="CK14" t="s">
        <v>1262</v>
      </c>
      <c r="CL14" t="s">
        <v>1232</v>
      </c>
      <c r="CM14">
        <v>5863841</v>
      </c>
      <c r="CN14">
        <v>1534923</v>
      </c>
      <c r="CO14" s="76">
        <v>204</v>
      </c>
      <c r="CP14" s="81">
        <v>2</v>
      </c>
      <c r="CQ14" t="s">
        <v>1233</v>
      </c>
      <c r="CR14" s="76">
        <v>72</v>
      </c>
      <c r="CS14" s="76" t="s">
        <v>1234</v>
      </c>
      <c r="CT14" t="s">
        <v>1233</v>
      </c>
      <c r="CU14">
        <v>0.22</v>
      </c>
      <c r="CV14" s="51">
        <v>1.1100000000000001</v>
      </c>
      <c r="CW14" s="131">
        <v>1312</v>
      </c>
      <c r="CX14" s="37">
        <v>470</v>
      </c>
      <c r="CY14">
        <v>56.878</v>
      </c>
      <c r="CZ14">
        <v>156</v>
      </c>
      <c r="DA14" s="51">
        <f t="shared" si="8"/>
        <v>2.7427124723091527</v>
      </c>
      <c r="DB14" s="55">
        <f>TableAFNSchools[[#Totals],[Total Funded FTE]]/'F1. Prov School Area 1617'!$H$47</f>
        <v>3.4732742858418326E-3</v>
      </c>
    </row>
    <row r="15" spans="1:114" ht="15">
      <c r="A15" s="723">
        <v>273</v>
      </c>
      <c r="B15" t="s">
        <v>402</v>
      </c>
      <c r="C15" s="76">
        <v>5717</v>
      </c>
      <c r="D15" t="s">
        <v>403</v>
      </c>
      <c r="E15" s="390"/>
      <c r="F15" s="390">
        <v>10</v>
      </c>
      <c r="G15" s="390"/>
      <c r="H15" s="390">
        <v>11</v>
      </c>
      <c r="I15" s="390">
        <v>24</v>
      </c>
      <c r="J15" s="390">
        <v>8</v>
      </c>
      <c r="K15" s="390">
        <v>18</v>
      </c>
      <c r="L15" s="390">
        <v>20</v>
      </c>
      <c r="M15" s="390">
        <v>22</v>
      </c>
      <c r="N15" s="390">
        <v>13</v>
      </c>
      <c r="O15" s="390">
        <v>13</v>
      </c>
      <c r="P15" s="390">
        <v>14</v>
      </c>
      <c r="Q15" s="390"/>
      <c r="R15" s="390"/>
      <c r="S15" s="390"/>
      <c r="T15" s="390"/>
      <c r="U15" s="390"/>
      <c r="V15" s="390"/>
      <c r="W15" s="615">
        <f>SUM(TableAFNSchools[[#This Row],[K4 - Half-Day]:[Ungrd. Sec.]])</f>
        <v>153</v>
      </c>
      <c r="X15" s="390"/>
      <c r="Y15" s="390"/>
      <c r="Z15" s="390"/>
      <c r="AA15" s="390"/>
      <c r="AB15" s="390"/>
      <c r="AC15" s="123">
        <f>SUM(TableAFNSchools[[#This Row],[FTE &lt;22 Total]:[Ungrd. Sec. 22+]])</f>
        <v>153</v>
      </c>
      <c r="AD15" s="164"/>
      <c r="AE15" s="164">
        <v>10</v>
      </c>
      <c r="AF15" s="164"/>
      <c r="AG15" s="164">
        <v>11</v>
      </c>
      <c r="AH15" s="164">
        <v>24</v>
      </c>
      <c r="AI15" s="164">
        <v>8</v>
      </c>
      <c r="AJ15" s="164">
        <v>18</v>
      </c>
      <c r="AK15" s="164">
        <v>20</v>
      </c>
      <c r="AL15" s="164">
        <v>22</v>
      </c>
      <c r="AM15" s="164">
        <v>13</v>
      </c>
      <c r="AN15" s="164">
        <v>13</v>
      </c>
      <c r="AO15" s="164">
        <v>14</v>
      </c>
      <c r="AP15" s="164"/>
      <c r="AQ15" s="164"/>
      <c r="AR15" s="164"/>
      <c r="AS15" s="164"/>
      <c r="AT15" s="164"/>
      <c r="AU15" s="164"/>
      <c r="AV15" s="601">
        <f>SUM(TableAFNSchools[[#This Row],[K4''- Half-Day]:[Ugrd. Sec. H]])</f>
        <v>153</v>
      </c>
      <c r="AW15" s="164"/>
      <c r="AX15" s="164"/>
      <c r="AY15" s="164"/>
      <c r="AZ15" s="164"/>
      <c r="BA15" s="164"/>
      <c r="BB15" s="121">
        <f t="shared" si="0"/>
        <v>153</v>
      </c>
      <c r="BC15" s="1">
        <f t="shared" si="7"/>
        <v>153</v>
      </c>
      <c r="BD15" s="1">
        <f t="shared" si="1"/>
        <v>0</v>
      </c>
      <c r="BE15" s="95">
        <f t="shared" si="2"/>
        <v>153</v>
      </c>
      <c r="BF15">
        <f>TableAFNSchools[[#This Row],[Gr9]]+TableAFNSchools[[#This Row],[Gr9 22+]]</f>
        <v>0</v>
      </c>
      <c r="BG15">
        <f>TableAFNSchools[[#This Row],[Gr10]]+TableAFNSchools[[#This Row],[Gr10 22+]]</f>
        <v>0</v>
      </c>
      <c r="BH15">
        <f>TableAFNSchools[[#This Row],[Gr11]]+TableAFNSchools[[#This Row],[Gr11 22+]]</f>
        <v>0</v>
      </c>
      <c r="BI15">
        <f>TableAFNSchools[[#This Row],[Gr12]]+TableAFNSchools[[#This Row],[Gr12 22+]]</f>
        <v>0</v>
      </c>
      <c r="BJ15">
        <f>COUNTIF(TableAFNSchools[[#This Row],[K4 - Half-Day]:[Gr8]],"&gt;0")</f>
        <v>10</v>
      </c>
      <c r="BK15">
        <f>COUNTIF(TableAFNSchools[[#This Row],[Gr9 FTE Sum]:[Gr12 FTE Sum]],"&gt;0")</f>
        <v>0</v>
      </c>
      <c r="BL15" s="2">
        <f t="shared" si="3"/>
        <v>10</v>
      </c>
      <c r="BM15" s="80">
        <f t="shared" si="4"/>
        <v>15.3</v>
      </c>
      <c r="BN15" s="80">
        <f t="shared" si="5"/>
        <v>0</v>
      </c>
      <c r="BO15" s="80">
        <f t="shared" si="6"/>
        <v>15.3</v>
      </c>
      <c r="BP15" s="80">
        <f>TableAFNSchools[[#This Row],[K4 - Half-Day]]+TableAFNSchools[[#This Row],[K5- Half-Day]]+TableAFNSchools[[#This Row],[Gr1]]+TableAFNSchools[[#This Row],[Gr2]]+TableAFNSchools[[#This Row],[Gr3]]+TableAFNSchools[[#This Row],[Ungrd. Elem.]]+TableAFNSchools[[#This Row],[K4- Full Day]]+TableAFNSchools[[#This Row],[K5 - Full Day]]</f>
        <v>71</v>
      </c>
      <c r="BQ15" s="80">
        <f>TableAFNSchools[[#This Row],[Gr4]]+TableAFNSchools[[#This Row],[Gr5]]+TableAFNSchools[[#This Row],[Gr6]]</f>
        <v>55</v>
      </c>
      <c r="BR15" s="80">
        <f>TableAFNSchools[[#This Row],[Gr7]]+TableAFNSchools[[#This Row],[Gr8]]</f>
        <v>27</v>
      </c>
      <c r="BS15"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5"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5"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27</v>
      </c>
      <c r="BV15" t="s">
        <v>438</v>
      </c>
      <c r="BW15" t="s">
        <v>1224</v>
      </c>
      <c r="BX15" t="s">
        <v>1164</v>
      </c>
      <c r="BY15" t="str">
        <f>IF(TableAFNSchools[[#This Row],[K4 - Half-Day]]=TableAFNSchools[[#This Row],[K4''- Half-Day]],"Full-Day",IF(TableAFNSchools[[#This Row],[K4 - Half-Day]]&lt;TableAFNSchools[[#This Row],[K4''- Half-Day]],"Half-Day","None"))</f>
        <v>Full-Day</v>
      </c>
      <c r="BZ15" t="str">
        <f>IF(TableAFNSchools[[#This Row],[K5- Half-Day]]=TableAFNSchools[[#This Row],[K5 Half Day]],"Full-Day",IF(TableAFNSchools[[#This Row],[K5- Half-Day]]=0,"None","Half-Day"))</f>
        <v>Full-Day</v>
      </c>
      <c r="CA15" t="s">
        <v>473</v>
      </c>
      <c r="CB15" t="s">
        <v>1263</v>
      </c>
      <c r="CC15" t="s">
        <v>1263</v>
      </c>
      <c r="CD15" t="s">
        <v>1228</v>
      </c>
      <c r="CE15" t="s">
        <v>1263</v>
      </c>
      <c r="CF15">
        <v>49.133220999999999</v>
      </c>
      <c r="CG15">
        <v>-97.239776000000006</v>
      </c>
      <c r="CH15" t="s">
        <v>1242</v>
      </c>
      <c r="CI15">
        <v>2737</v>
      </c>
      <c r="CJ15">
        <v>4602027</v>
      </c>
      <c r="CK15" t="s">
        <v>1264</v>
      </c>
      <c r="CL15" t="s">
        <v>1232</v>
      </c>
      <c r="CM15">
        <v>5808093</v>
      </c>
      <c r="CN15">
        <v>1401198</v>
      </c>
      <c r="CO15" s="76">
        <v>246</v>
      </c>
      <c r="CP15" s="81">
        <v>2</v>
      </c>
      <c r="CQ15" t="s">
        <v>1233</v>
      </c>
      <c r="CR15" s="76">
        <v>100</v>
      </c>
      <c r="CS15" s="76" t="s">
        <v>1265</v>
      </c>
      <c r="CT15" t="s">
        <v>1233</v>
      </c>
      <c r="CU15">
        <v>0.18</v>
      </c>
      <c r="CV15" s="51">
        <v>1.0900000000000001</v>
      </c>
      <c r="CW15" s="131">
        <v>2380</v>
      </c>
      <c r="CX15" s="37">
        <v>695</v>
      </c>
      <c r="CY15">
        <v>25.774999999999999</v>
      </c>
      <c r="CZ15">
        <v>216</v>
      </c>
      <c r="DA15" s="51">
        <f t="shared" si="8"/>
        <v>8.3802133850630458</v>
      </c>
      <c r="DB15" s="55">
        <f>TableAFNSchools[[#Totals],[Total Funded FTE]]/'F1. Prov School Area 1617'!$H$47</f>
        <v>3.4732742858418326E-3</v>
      </c>
    </row>
    <row r="16" spans="1:114" ht="15">
      <c r="A16" s="723">
        <v>305</v>
      </c>
      <c r="B16" t="s">
        <v>404</v>
      </c>
      <c r="C16" s="76">
        <v>6413</v>
      </c>
      <c r="D16" t="s">
        <v>405</v>
      </c>
      <c r="E16" s="390"/>
      <c r="F16" s="390">
        <v>3</v>
      </c>
      <c r="G16" s="390"/>
      <c r="H16" s="390">
        <v>2</v>
      </c>
      <c r="I16" s="390">
        <v>3</v>
      </c>
      <c r="J16" s="390">
        <v>5</v>
      </c>
      <c r="K16" s="390">
        <v>1</v>
      </c>
      <c r="L16" s="390">
        <v>2</v>
      </c>
      <c r="M16" s="390">
        <v>2</v>
      </c>
      <c r="N16" s="390">
        <v>6</v>
      </c>
      <c r="O16" s="390">
        <v>1</v>
      </c>
      <c r="P16" s="390">
        <v>2</v>
      </c>
      <c r="Q16" s="390"/>
      <c r="R16" s="390"/>
      <c r="S16" s="390"/>
      <c r="T16" s="390"/>
      <c r="U16" s="390"/>
      <c r="V16" s="390"/>
      <c r="W16" s="615">
        <f>SUM(TableAFNSchools[[#This Row],[K4 - Half-Day]:[Ungrd. Sec.]])</f>
        <v>27</v>
      </c>
      <c r="X16" s="390"/>
      <c r="Y16" s="390"/>
      <c r="Z16" s="390"/>
      <c r="AA16" s="390"/>
      <c r="AB16" s="390"/>
      <c r="AC16" s="123">
        <f>SUM(TableAFNSchools[[#This Row],[FTE &lt;22 Total]:[Ungrd. Sec. 22+]])</f>
        <v>27</v>
      </c>
      <c r="AD16" s="164"/>
      <c r="AE16" s="164">
        <v>3</v>
      </c>
      <c r="AF16" s="164"/>
      <c r="AG16" s="164">
        <v>2</v>
      </c>
      <c r="AH16" s="164">
        <v>3</v>
      </c>
      <c r="AI16" s="164">
        <v>5</v>
      </c>
      <c r="AJ16" s="164">
        <v>1</v>
      </c>
      <c r="AK16" s="164">
        <v>2</v>
      </c>
      <c r="AL16" s="164">
        <v>2</v>
      </c>
      <c r="AM16" s="164">
        <v>6</v>
      </c>
      <c r="AN16" s="164">
        <v>1</v>
      </c>
      <c r="AO16" s="164">
        <v>2</v>
      </c>
      <c r="AP16" s="164"/>
      <c r="AQ16" s="164"/>
      <c r="AR16" s="164"/>
      <c r="AS16" s="164"/>
      <c r="AT16" s="164"/>
      <c r="AU16" s="164"/>
      <c r="AV16" s="601">
        <f>SUM(TableAFNSchools[[#This Row],[K4''- Half-Day]:[Ugrd. Sec. H]])</f>
        <v>27</v>
      </c>
      <c r="AW16" s="164"/>
      <c r="AX16" s="164"/>
      <c r="AY16" s="164"/>
      <c r="AZ16" s="164"/>
      <c r="BA16" s="164"/>
      <c r="BB16" s="121">
        <f t="shared" si="0"/>
        <v>27</v>
      </c>
      <c r="BC16" s="1">
        <f t="shared" si="7"/>
        <v>27</v>
      </c>
      <c r="BD16" s="1">
        <f t="shared" si="1"/>
        <v>0</v>
      </c>
      <c r="BE16" s="95">
        <f t="shared" si="2"/>
        <v>27</v>
      </c>
      <c r="BF16">
        <f>TableAFNSchools[[#This Row],[Gr9]]+TableAFNSchools[[#This Row],[Gr9 22+]]</f>
        <v>0</v>
      </c>
      <c r="BG16">
        <f>TableAFNSchools[[#This Row],[Gr10]]+TableAFNSchools[[#This Row],[Gr10 22+]]</f>
        <v>0</v>
      </c>
      <c r="BH16">
        <f>TableAFNSchools[[#This Row],[Gr11]]+TableAFNSchools[[#This Row],[Gr11 22+]]</f>
        <v>0</v>
      </c>
      <c r="BI16">
        <f>TableAFNSchools[[#This Row],[Gr12]]+TableAFNSchools[[#This Row],[Gr12 22+]]</f>
        <v>0</v>
      </c>
      <c r="BJ16">
        <f>COUNTIF(TableAFNSchools[[#This Row],[K4 - Half-Day]:[Gr8]],"&gt;0")</f>
        <v>10</v>
      </c>
      <c r="BK16">
        <f>COUNTIF(TableAFNSchools[[#This Row],[Gr9 FTE Sum]:[Gr12 FTE Sum]],"&gt;0")</f>
        <v>0</v>
      </c>
      <c r="BL16" s="2">
        <f t="shared" si="3"/>
        <v>10</v>
      </c>
      <c r="BM16" s="80">
        <f t="shared" si="4"/>
        <v>2.7</v>
      </c>
      <c r="BN16" s="80">
        <f t="shared" si="5"/>
        <v>0</v>
      </c>
      <c r="BO16" s="80">
        <f t="shared" si="6"/>
        <v>2.7</v>
      </c>
      <c r="BP16" s="80">
        <f>TableAFNSchools[[#This Row],[K4 - Half-Day]]+TableAFNSchools[[#This Row],[K5- Half-Day]]+TableAFNSchools[[#This Row],[Gr1]]+TableAFNSchools[[#This Row],[Gr2]]+TableAFNSchools[[#This Row],[Gr3]]+TableAFNSchools[[#This Row],[Ungrd. Elem.]]+TableAFNSchools[[#This Row],[K4- Full Day]]+TableAFNSchools[[#This Row],[K5 - Full Day]]</f>
        <v>14</v>
      </c>
      <c r="BQ16" s="80">
        <f>TableAFNSchools[[#This Row],[Gr4]]+TableAFNSchools[[#This Row],[Gr5]]+TableAFNSchools[[#This Row],[Gr6]]</f>
        <v>10</v>
      </c>
      <c r="BR16" s="80">
        <f>TableAFNSchools[[#This Row],[Gr7]]+TableAFNSchools[[#This Row],[Gr8]]</f>
        <v>3</v>
      </c>
      <c r="BS16"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6"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6"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3</v>
      </c>
      <c r="BV16" t="s">
        <v>441</v>
      </c>
      <c r="BW16" t="s">
        <v>1224</v>
      </c>
      <c r="BX16" t="s">
        <v>1164</v>
      </c>
      <c r="BY16" t="str">
        <f>IF(TableAFNSchools[[#This Row],[K4 - Half-Day]]=TableAFNSchools[[#This Row],[K4''- Half-Day]],"Full-Day",IF(TableAFNSchools[[#This Row],[K4 - Half-Day]]&lt;TableAFNSchools[[#This Row],[K4''- Half-Day]],"Half-Day","None"))</f>
        <v>Full-Day</v>
      </c>
      <c r="BZ16" t="str">
        <f>IF(TableAFNSchools[[#This Row],[K5- Half-Day]]=TableAFNSchools[[#This Row],[K5 Half Day]],"Full-Day",IF(TableAFNSchools[[#This Row],[K5- Half-Day]]=0,"None","Half-Day"))</f>
        <v>Full-Day</v>
      </c>
      <c r="CA16" t="s">
        <v>474</v>
      </c>
      <c r="CB16" t="s">
        <v>1266</v>
      </c>
      <c r="CC16" t="s">
        <v>1267</v>
      </c>
      <c r="CD16" t="s">
        <v>1228</v>
      </c>
      <c r="CE16" t="s">
        <v>1268</v>
      </c>
      <c r="CF16">
        <v>56.34572</v>
      </c>
      <c r="CG16">
        <v>-94.709654999999998</v>
      </c>
      <c r="CH16" t="s">
        <v>1242</v>
      </c>
      <c r="CI16">
        <v>2994</v>
      </c>
      <c r="CJ16">
        <v>4623025</v>
      </c>
      <c r="CK16" t="s">
        <v>1095</v>
      </c>
      <c r="CL16" t="s">
        <v>1232</v>
      </c>
      <c r="CM16">
        <v>6023423</v>
      </c>
      <c r="CN16">
        <v>2198424</v>
      </c>
      <c r="CO16" s="76">
        <v>216</v>
      </c>
      <c r="CP16" s="81">
        <v>2</v>
      </c>
      <c r="CQ16" t="s">
        <v>1248</v>
      </c>
      <c r="CR16" s="76">
        <v>1064</v>
      </c>
      <c r="CS16" s="76" t="s">
        <v>1269</v>
      </c>
      <c r="CT16" t="s">
        <v>1248</v>
      </c>
      <c r="CU16">
        <v>0.3</v>
      </c>
      <c r="CV16" s="51">
        <v>1.1499999999999999</v>
      </c>
      <c r="CW16" s="131">
        <v>1416</v>
      </c>
      <c r="CX16" s="37">
        <v>265</v>
      </c>
      <c r="CY16">
        <v>17.413</v>
      </c>
      <c r="CZ16">
        <v>53</v>
      </c>
      <c r="DA16" s="51">
        <f t="shared" si="8"/>
        <v>3.0437029805317866</v>
      </c>
      <c r="DB16" s="55">
        <f>TableAFNSchools[[#Totals],[Total Funded FTE]]/'F1. Prov School Area 1617'!$H$47</f>
        <v>3.4732742858418326E-3</v>
      </c>
    </row>
    <row r="17" spans="1:114" ht="15">
      <c r="A17" s="723">
        <v>286</v>
      </c>
      <c r="B17" t="s">
        <v>406</v>
      </c>
      <c r="C17" s="76">
        <v>8990</v>
      </c>
      <c r="D17" t="s">
        <v>407</v>
      </c>
      <c r="E17" s="390"/>
      <c r="F17" s="390">
        <v>13</v>
      </c>
      <c r="G17" s="390"/>
      <c r="H17" s="390">
        <v>17</v>
      </c>
      <c r="I17" s="390">
        <v>8</v>
      </c>
      <c r="J17" s="390">
        <v>9</v>
      </c>
      <c r="K17" s="390">
        <v>10</v>
      </c>
      <c r="L17" s="390">
        <v>6</v>
      </c>
      <c r="M17" s="390">
        <v>12</v>
      </c>
      <c r="N17" s="390">
        <v>7</v>
      </c>
      <c r="O17" s="390">
        <v>9</v>
      </c>
      <c r="P17" s="390">
        <v>8</v>
      </c>
      <c r="Q17" s="390"/>
      <c r="R17" s="390"/>
      <c r="S17" s="390"/>
      <c r="T17" s="390"/>
      <c r="U17" s="390"/>
      <c r="V17" s="390"/>
      <c r="W17" s="615">
        <f>SUM(TableAFNSchools[[#This Row],[K4 - Half-Day]:[Ungrd. Sec.]])</f>
        <v>99</v>
      </c>
      <c r="X17" s="390"/>
      <c r="Y17" s="390"/>
      <c r="Z17" s="390"/>
      <c r="AA17" s="390"/>
      <c r="AB17" s="390"/>
      <c r="AC17" s="123">
        <f>SUM(TableAFNSchools[[#This Row],[FTE &lt;22 Total]:[Ungrd. Sec. 22+]])</f>
        <v>99</v>
      </c>
      <c r="AD17" s="164"/>
      <c r="AE17" s="164">
        <v>13</v>
      </c>
      <c r="AF17" s="164"/>
      <c r="AG17" s="164">
        <v>17</v>
      </c>
      <c r="AH17" s="164">
        <v>8</v>
      </c>
      <c r="AI17" s="164">
        <v>9</v>
      </c>
      <c r="AJ17" s="164">
        <v>10</v>
      </c>
      <c r="AK17" s="164">
        <v>6</v>
      </c>
      <c r="AL17" s="164">
        <v>12</v>
      </c>
      <c r="AM17" s="164">
        <v>7</v>
      </c>
      <c r="AN17" s="164">
        <v>9</v>
      </c>
      <c r="AO17" s="164">
        <v>8</v>
      </c>
      <c r="AP17" s="164"/>
      <c r="AQ17" s="164"/>
      <c r="AR17" s="164"/>
      <c r="AS17" s="164"/>
      <c r="AT17" s="164"/>
      <c r="AU17" s="164"/>
      <c r="AV17" s="601">
        <f>SUM(TableAFNSchools[[#This Row],[K4''- Half-Day]:[Ugrd. Sec. H]])</f>
        <v>99</v>
      </c>
      <c r="AW17" s="164"/>
      <c r="AX17" s="164"/>
      <c r="AY17" s="164"/>
      <c r="AZ17" s="164"/>
      <c r="BA17" s="164"/>
      <c r="BB17" s="121">
        <f t="shared" si="0"/>
        <v>99</v>
      </c>
      <c r="BC17" s="1">
        <f t="shared" si="7"/>
        <v>99</v>
      </c>
      <c r="BD17" s="1">
        <f t="shared" si="1"/>
        <v>0</v>
      </c>
      <c r="BE17" s="95">
        <f t="shared" si="2"/>
        <v>99</v>
      </c>
      <c r="BF17">
        <f>TableAFNSchools[[#This Row],[Gr9]]+TableAFNSchools[[#This Row],[Gr9 22+]]</f>
        <v>0</v>
      </c>
      <c r="BG17">
        <f>TableAFNSchools[[#This Row],[Gr10]]+TableAFNSchools[[#This Row],[Gr10 22+]]</f>
        <v>0</v>
      </c>
      <c r="BH17">
        <f>TableAFNSchools[[#This Row],[Gr11]]+TableAFNSchools[[#This Row],[Gr11 22+]]</f>
        <v>0</v>
      </c>
      <c r="BI17">
        <f>TableAFNSchools[[#This Row],[Gr12]]+TableAFNSchools[[#This Row],[Gr12 22+]]</f>
        <v>0</v>
      </c>
      <c r="BJ17">
        <f>COUNTIF(TableAFNSchools[[#This Row],[K4 - Half-Day]:[Gr8]],"&gt;0")</f>
        <v>10</v>
      </c>
      <c r="BK17">
        <f>COUNTIF(TableAFNSchools[[#This Row],[Gr9 FTE Sum]:[Gr12 FTE Sum]],"&gt;0")</f>
        <v>0</v>
      </c>
      <c r="BL17" s="2">
        <f t="shared" si="3"/>
        <v>10</v>
      </c>
      <c r="BM17" s="80">
        <f t="shared" si="4"/>
        <v>9.9</v>
      </c>
      <c r="BN17" s="80">
        <f t="shared" si="5"/>
        <v>0</v>
      </c>
      <c r="BO17" s="80">
        <f t="shared" si="6"/>
        <v>9.9</v>
      </c>
      <c r="BP17" s="80">
        <f>TableAFNSchools[[#This Row],[K4 - Half-Day]]+TableAFNSchools[[#This Row],[K5- Half-Day]]+TableAFNSchools[[#This Row],[Gr1]]+TableAFNSchools[[#This Row],[Gr2]]+TableAFNSchools[[#This Row],[Gr3]]+TableAFNSchools[[#This Row],[Ungrd. Elem.]]+TableAFNSchools[[#This Row],[K4- Full Day]]+TableAFNSchools[[#This Row],[K5 - Full Day]]</f>
        <v>57</v>
      </c>
      <c r="BQ17" s="80">
        <f>TableAFNSchools[[#This Row],[Gr4]]+TableAFNSchools[[#This Row],[Gr5]]+TableAFNSchools[[#This Row],[Gr6]]</f>
        <v>25</v>
      </c>
      <c r="BR17" s="80">
        <f>TableAFNSchools[[#This Row],[Gr7]]+TableAFNSchools[[#This Row],[Gr8]]</f>
        <v>17</v>
      </c>
      <c r="BS17"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0</v>
      </c>
      <c r="BT17"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0</v>
      </c>
      <c r="BU17"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17</v>
      </c>
      <c r="BV17" t="s">
        <v>446</v>
      </c>
      <c r="BW17" t="s">
        <v>1224</v>
      </c>
      <c r="BX17" t="s">
        <v>1164</v>
      </c>
      <c r="BY17" t="str">
        <f>IF(TableAFNSchools[[#This Row],[K4 - Half-Day]]=TableAFNSchools[[#This Row],[K4''- Half-Day]],"Full-Day",IF(TableAFNSchools[[#This Row],[K4 - Half-Day]]&lt;TableAFNSchools[[#This Row],[K4''- Half-Day]],"Half-Day","None"))</f>
        <v>Full-Day</v>
      </c>
      <c r="BZ17" t="str">
        <f>IF(TableAFNSchools[[#This Row],[K5- Half-Day]]=TableAFNSchools[[#This Row],[K5 Half Day]],"Full-Day",IF(TableAFNSchools[[#This Row],[K5- Half-Day]]=0,"None","Half-Day"))</f>
        <v>Full-Day</v>
      </c>
      <c r="CA17" t="s">
        <v>473</v>
      </c>
      <c r="CB17" t="s">
        <v>1270</v>
      </c>
      <c r="CC17" t="s">
        <v>1271</v>
      </c>
      <c r="CD17" t="s">
        <v>1228</v>
      </c>
      <c r="CE17" t="s">
        <v>1272</v>
      </c>
      <c r="CF17">
        <v>50.629339999999999</v>
      </c>
      <c r="CG17">
        <v>-100.177097</v>
      </c>
      <c r="CH17" t="s">
        <v>1242</v>
      </c>
      <c r="CI17">
        <v>2870</v>
      </c>
      <c r="CJ17">
        <v>4615067</v>
      </c>
      <c r="CK17" t="s">
        <v>1273</v>
      </c>
      <c r="CL17" t="s">
        <v>1232</v>
      </c>
      <c r="CM17">
        <v>5605494</v>
      </c>
      <c r="CN17">
        <v>1579529</v>
      </c>
      <c r="CO17" s="76">
        <v>222</v>
      </c>
      <c r="CP17" s="81">
        <v>2</v>
      </c>
      <c r="CQ17" t="s">
        <v>845</v>
      </c>
      <c r="CR17" s="76">
        <v>276</v>
      </c>
      <c r="CS17" s="76" t="s">
        <v>1234</v>
      </c>
      <c r="CT17" t="s">
        <v>845</v>
      </c>
      <c r="CU17">
        <v>0.22</v>
      </c>
      <c r="CV17" s="51">
        <v>1.1100000000000001</v>
      </c>
      <c r="CW17" s="131">
        <v>1585</v>
      </c>
      <c r="CX17" s="37">
        <v>440</v>
      </c>
      <c r="CY17">
        <v>25.908000000000001</v>
      </c>
      <c r="CZ17">
        <v>112</v>
      </c>
      <c r="DA17" s="51">
        <f t="shared" si="8"/>
        <v>4.3229890381349385</v>
      </c>
      <c r="DB17" s="55">
        <f>TableAFNSchools[[#Totals],[Total Funded FTE]]/'F1. Prov School Area 1617'!$H$47</f>
        <v>3.4732742858418326E-3</v>
      </c>
    </row>
    <row r="18" spans="1:114" ht="15">
      <c r="A18" s="723">
        <v>261</v>
      </c>
      <c r="B18" t="s">
        <v>400</v>
      </c>
      <c r="C18" s="76">
        <v>50250</v>
      </c>
      <c r="D18" t="s">
        <v>408</v>
      </c>
      <c r="E18" s="390"/>
      <c r="F18" s="390"/>
      <c r="G18" s="390"/>
      <c r="H18" s="390"/>
      <c r="I18" s="390"/>
      <c r="J18" s="390"/>
      <c r="K18" s="390"/>
      <c r="L18" s="390"/>
      <c r="M18" s="390"/>
      <c r="N18" s="390"/>
      <c r="O18" s="390"/>
      <c r="P18" s="390"/>
      <c r="Q18" s="390"/>
      <c r="R18" s="390"/>
      <c r="S18" s="390"/>
      <c r="T18" s="390"/>
      <c r="U18" s="390">
        <v>3</v>
      </c>
      <c r="V18" s="390"/>
      <c r="W18" s="615">
        <f>SUM(TableAFNSchools[[#This Row],[K4 - Half-Day]:[Ungrd. Sec.]])</f>
        <v>3</v>
      </c>
      <c r="X18" s="390"/>
      <c r="Y18" s="390"/>
      <c r="Z18" s="390"/>
      <c r="AA18" s="390">
        <v>22</v>
      </c>
      <c r="AB18" s="390"/>
      <c r="AC18" s="123">
        <f>SUM(TableAFNSchools[[#This Row],[FTE &lt;22 Total]:[Ungrd. Sec. 22+]])</f>
        <v>25</v>
      </c>
      <c r="AD18" s="257"/>
      <c r="AE18" s="257"/>
      <c r="AF18" s="257"/>
      <c r="AG18" s="257"/>
      <c r="AH18" s="257"/>
      <c r="AI18" s="257"/>
      <c r="AJ18" s="257"/>
      <c r="AK18" s="257"/>
      <c r="AL18" s="257"/>
      <c r="AM18" s="257"/>
      <c r="AN18" s="257"/>
      <c r="AO18" s="257"/>
      <c r="AP18" s="257"/>
      <c r="AQ18" s="257"/>
      <c r="AR18" s="257"/>
      <c r="AS18" s="257"/>
      <c r="AT18" s="257">
        <v>3</v>
      </c>
      <c r="AU18" s="257"/>
      <c r="AV18" s="601">
        <f>SUM(TableAFNSchools[[#This Row],[K4''- Half-Day]:[Ugrd. Sec. H]])</f>
        <v>3</v>
      </c>
      <c r="AW18" s="164"/>
      <c r="AX18" s="164"/>
      <c r="AY18" s="164"/>
      <c r="AZ18" s="164">
        <v>22</v>
      </c>
      <c r="BA18" s="164"/>
      <c r="BB18" s="121">
        <f t="shared" si="0"/>
        <v>25</v>
      </c>
      <c r="BC18" s="1">
        <f t="shared" si="7"/>
        <v>0</v>
      </c>
      <c r="BD18" s="1">
        <f t="shared" si="1"/>
        <v>25</v>
      </c>
      <c r="BE18" s="95">
        <f t="shared" si="2"/>
        <v>25</v>
      </c>
      <c r="BF18">
        <f>TableAFNSchools[[#This Row],[Gr9]]+TableAFNSchools[[#This Row],[Gr9 22+]]</f>
        <v>0</v>
      </c>
      <c r="BG18">
        <f>TableAFNSchools[[#This Row],[Gr10]]+TableAFNSchools[[#This Row],[Gr10 22+]]</f>
        <v>0</v>
      </c>
      <c r="BH18">
        <f>TableAFNSchools[[#This Row],[Gr11]]+TableAFNSchools[[#This Row],[Gr11 22+]]</f>
        <v>0</v>
      </c>
      <c r="BI18">
        <f>TableAFNSchools[[#This Row],[Gr12]]+TableAFNSchools[[#This Row],[Gr12 22+]]</f>
        <v>25</v>
      </c>
      <c r="BJ18">
        <f>COUNTIF(TableAFNSchools[[#This Row],[K4 - Half-Day]:[Gr8]],"&gt;0")</f>
        <v>0</v>
      </c>
      <c r="BK18">
        <f>COUNTIF(TableAFNSchools[[#This Row],[Gr9 FTE Sum]:[Gr12 FTE Sum]],"&gt;0")</f>
        <v>1</v>
      </c>
      <c r="BL18" s="2">
        <f t="shared" si="3"/>
        <v>1</v>
      </c>
      <c r="BM18" s="80">
        <f t="shared" si="4"/>
        <v>0</v>
      </c>
      <c r="BN18" s="80">
        <f t="shared" si="5"/>
        <v>25</v>
      </c>
      <c r="BO18" s="80">
        <f t="shared" si="6"/>
        <v>25</v>
      </c>
      <c r="BP18" s="80">
        <f>TableAFNSchools[[#This Row],[K4 - Half-Day]]+TableAFNSchools[[#This Row],[K5- Half-Day]]+TableAFNSchools[[#This Row],[Gr1]]+TableAFNSchools[[#This Row],[Gr2]]+TableAFNSchools[[#This Row],[Gr3]]+TableAFNSchools[[#This Row],[Ungrd. Elem.]]+TableAFNSchools[[#This Row],[K4- Full Day]]+TableAFNSchools[[#This Row],[K5 - Full Day]]</f>
        <v>0</v>
      </c>
      <c r="BQ18" s="80">
        <f>TableAFNSchools[[#This Row],[Gr4]]+TableAFNSchools[[#This Row],[Gr5]]+TableAFNSchools[[#This Row],[Gr6]]</f>
        <v>0</v>
      </c>
      <c r="BR18" s="80">
        <f>TableAFNSchools[[#This Row],[Gr7]]+TableAFNSchools[[#This Row],[Gr8]]</f>
        <v>0</v>
      </c>
      <c r="BS18" s="80">
        <f>TableAFNSchools[[#This Row],[Gr9]]+TableAFNSchools[[#This Row],[Gr10]]+TableAFNSchools[[#This Row],[Gr11]]+TableAFNSchools[[#This Row],[Gr12]]+TableAFNSchools[[#This Row],[Ungrd. Sec.]]+TableAFNSchools[[#This Row],[Gr9 22+]]+TableAFNSchools[[#This Row],[Gr10 22+]]+TableAFNSchools[[#This Row],[Gr11 22+]]+TableAFNSchools[[#This Row],[Gr12 22+]]+TableAFNSchools[[#This Row],[Ungrd. Sec. 22+]]</f>
        <v>25</v>
      </c>
      <c r="BT18" s="80">
        <f>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25</v>
      </c>
      <c r="BU18" s="80">
        <f>TableAFNSchools[[#This Row],[Gr7 H]]+TableAFNSchools[[#This Row],[Gr8 H]]+TableAFNSchools[[#This Row],[Gr9 H]]+TableAFNSchools[[#This Row],[Gr10 H]]+TableAFNSchools[[#This Row],[Gr11 H]]+TableAFNSchools[[#This Row],[Gr12 H]]+TableAFNSchools[[#This Row],[Ugrd. Sec. H]]+TableAFNSchools[[#This Row],[Gr9 H 22+]]+TableAFNSchools[[#This Row],[Gr10 H 22+]]+TableAFNSchools[[#This Row],[Gr11 H 22+]]+TableAFNSchools[[#This Row],[Gr12 H 22+]]+TableAFNSchools[[#This Row],[Ungrd. Sec. H 22+]]</f>
        <v>25</v>
      </c>
      <c r="BV18" t="s">
        <v>443</v>
      </c>
      <c r="BW18" t="s">
        <v>1224</v>
      </c>
      <c r="BX18" t="s">
        <v>1274</v>
      </c>
      <c r="BY18" t="str">
        <f>IF(TableAFNSchools[[#This Row],[K4 - Half-Day]]=TableAFNSchools[[#This Row],[K4''- Half-Day]],"Full-Day",IF(TableAFNSchools[[#This Row],[K4 - Half-Day]]&lt;TableAFNSchools[[#This Row],[K4''- Half-Day]],"Half-Day","None"))</f>
        <v>Full-Day</v>
      </c>
      <c r="BZ18" t="str">
        <f>IF(TableAFNSchools[[#This Row],[K5- Half-Day]]=TableAFNSchools[[#This Row],[K5 Half Day]],"Full-Day",IF(TableAFNSchools[[#This Row],[K5- Half-Day]]=0,"None","Half-Day"))</f>
        <v>Full-Day</v>
      </c>
      <c r="CA18" t="s">
        <v>473</v>
      </c>
      <c r="CB18" t="s">
        <v>1259</v>
      </c>
      <c r="CC18" t="s">
        <v>1260</v>
      </c>
      <c r="CD18" t="s">
        <v>1228</v>
      </c>
      <c r="CE18" t="s">
        <v>1261</v>
      </c>
      <c r="CF18">
        <v>50.366585999999998</v>
      </c>
      <c r="CG18">
        <v>-96.611457999999999</v>
      </c>
      <c r="CH18" t="s">
        <v>1242</v>
      </c>
      <c r="CI18">
        <v>2846</v>
      </c>
      <c r="CJ18">
        <v>4613062</v>
      </c>
      <c r="CK18" t="s">
        <v>1262</v>
      </c>
      <c r="CL18" t="s">
        <v>1232</v>
      </c>
      <c r="CM18">
        <v>5863841</v>
      </c>
      <c r="CN18">
        <v>1534923</v>
      </c>
      <c r="CO18" s="76">
        <v>204</v>
      </c>
      <c r="CP18" s="81">
        <v>2</v>
      </c>
      <c r="CQ18" t="s">
        <v>1233</v>
      </c>
      <c r="CR18" s="76">
        <v>72</v>
      </c>
      <c r="CS18" s="76" t="s">
        <v>1234</v>
      </c>
      <c r="CT18" t="s">
        <v>1233</v>
      </c>
      <c r="CU18">
        <v>0.22</v>
      </c>
      <c r="CV18" s="51">
        <v>1.1100000000000001</v>
      </c>
      <c r="CW18" s="131">
        <v>0</v>
      </c>
      <c r="CX18" s="37">
        <v>470</v>
      </c>
      <c r="CY18">
        <v>56.878</v>
      </c>
      <c r="CZ18">
        <v>156</v>
      </c>
      <c r="DA18" s="51">
        <f t="shared" si="8"/>
        <v>2.7427124723091527</v>
      </c>
      <c r="DB18" s="55">
        <f>TableAFNSchools[[#Totals],[Total Funded FTE]]/'F1. Prov School Area 1617'!$H$47</f>
        <v>3.4732742858418326E-3</v>
      </c>
    </row>
    <row r="19" spans="1:114" ht="15">
      <c r="A19" s="124" t="s">
        <v>72</v>
      </c>
      <c r="C19" s="76"/>
      <c r="E19" s="1">
        <f>SUBTOTAL(109,TableAFNSchools[K4 - Half-Day])</f>
        <v>0</v>
      </c>
      <c r="F19" s="1">
        <f>SUBTOTAL(109,TableAFNSchools[K4- Full Day])</f>
        <v>154</v>
      </c>
      <c r="G19" s="1">
        <f>SUBTOTAL(109,TableAFNSchools[K5- Half-Day])</f>
        <v>0</v>
      </c>
      <c r="H19" s="1">
        <f>SUBTOTAL(109,TableAFNSchools[K5 - Full Day])</f>
        <v>142</v>
      </c>
      <c r="I19" s="1">
        <f>SUBTOTAL(109,TableAFNSchools[Gr1])</f>
        <v>188</v>
      </c>
      <c r="J19" s="1">
        <f>SUBTOTAL(109,TableAFNSchools[Gr2])</f>
        <v>137</v>
      </c>
      <c r="K19" s="1">
        <f>SUBTOTAL(109,TableAFNSchools[Gr3])</f>
        <v>165</v>
      </c>
      <c r="L19" s="1">
        <f>SUBTOTAL(109,TableAFNSchools[Gr4])</f>
        <v>165</v>
      </c>
      <c r="M19" s="1">
        <f>SUBTOTAL(109,TableAFNSchools[Gr5])</f>
        <v>150</v>
      </c>
      <c r="N19" s="1">
        <f>SUBTOTAL(109,TableAFNSchools[Gr6])</f>
        <v>155</v>
      </c>
      <c r="O19" s="1">
        <f>SUBTOTAL(109,TableAFNSchools[Gr7])</f>
        <v>142</v>
      </c>
      <c r="P19" s="1">
        <f>SUBTOTAL(109,TableAFNSchools[Gr8])</f>
        <v>181</v>
      </c>
      <c r="Q19" s="1">
        <f>SUBTOTAL(109,TableAFNSchools[Ungrd. Elem.])</f>
        <v>0</v>
      </c>
      <c r="R19" s="1">
        <f>SUBTOTAL(109,TableAFNSchools[Gr9])</f>
        <v>154</v>
      </c>
      <c r="S19" s="1">
        <f>SUBTOTAL(109,TableAFNSchools[Gr10])</f>
        <v>92</v>
      </c>
      <c r="T19" s="1">
        <f>SUBTOTAL(109,TableAFNSchools[Gr11])</f>
        <v>86</v>
      </c>
      <c r="U19" s="1">
        <f>SUBTOTAL(109,TableAFNSchools[Gr12])</f>
        <v>57</v>
      </c>
      <c r="V19" s="1">
        <f>SUBTOTAL(109,TableAFNSchools[Ungrd. Sec.])</f>
        <v>0</v>
      </c>
      <c r="W19" s="166">
        <f>SUBTOTAL(109,TableAFNSchools[FTE &lt;22 Total])</f>
        <v>1968</v>
      </c>
      <c r="X19" s="1">
        <f>SUBTOTAL(109,TableAFNSchools[Gr9 22+])</f>
        <v>0</v>
      </c>
      <c r="Y19" s="1">
        <f>SUBTOTAL(109,TableAFNSchools[Gr10 22+])</f>
        <v>0</v>
      </c>
      <c r="Z19" s="1">
        <f>SUBTOTAL(109,TableAFNSchools[Gr11 22+])</f>
        <v>0</v>
      </c>
      <c r="AA19" s="1">
        <f>SUBTOTAL(109,TableAFNSchools[Gr12 22+])</f>
        <v>58</v>
      </c>
      <c r="AC19" s="166">
        <f>SUBTOTAL(109,TableAFNSchools[Total FTE])</f>
        <v>2026</v>
      </c>
      <c r="AD19">
        <f>SUBTOTAL(109,TableAFNSchools[K4''- Half-Day])</f>
        <v>0</v>
      </c>
      <c r="AF19">
        <f>SUBTOTAL(109,TableAFNSchools[K5 Half Day])</f>
        <v>0</v>
      </c>
      <c r="AH19">
        <f>SUBTOTAL(109,TableAFNSchools[Gr1 H])</f>
        <v>188</v>
      </c>
      <c r="AI19">
        <f>SUBTOTAL(109,TableAFNSchools[Gr2 H])</f>
        <v>137</v>
      </c>
      <c r="AJ19">
        <f>SUBTOTAL(109,TableAFNSchools[Gr3 H])</f>
        <v>165</v>
      </c>
      <c r="AK19">
        <f>SUBTOTAL(109,TableAFNSchools[Gr4 H])</f>
        <v>165</v>
      </c>
      <c r="AL19">
        <f>SUBTOTAL(109,TableAFNSchools[Gr5 H])</f>
        <v>150</v>
      </c>
      <c r="AM19">
        <f>SUBTOTAL(109,TableAFNSchools[Gr6 H])</f>
        <v>155</v>
      </c>
      <c r="AN19">
        <f>SUBTOTAL(109,TableAFNSchools[Gr7 H])</f>
        <v>142</v>
      </c>
      <c r="AO19">
        <f>SUBTOTAL(109,TableAFNSchools[Gr8 H])</f>
        <v>181</v>
      </c>
      <c r="AP19">
        <f>SUBTOTAL(109,TableAFNSchools[Ungrd. Elem. H])</f>
        <v>0</v>
      </c>
      <c r="AQ19">
        <f>SUBTOTAL(109,TableAFNSchools[Gr9 H])</f>
        <v>154</v>
      </c>
      <c r="AR19">
        <f>SUBTOTAL(109,TableAFNSchools[Gr10 H])</f>
        <v>92</v>
      </c>
      <c r="AS19">
        <f>SUBTOTAL(109,TableAFNSchools[Gr11 H])</f>
        <v>86</v>
      </c>
      <c r="AT19">
        <f>SUBTOTAL(109,TableAFNSchools[Gr12 H])</f>
        <v>57</v>
      </c>
      <c r="AU19">
        <f>SUBTOTAL(109,TableAFNSchools[Ugrd. Sec. H])</f>
        <v>0</v>
      </c>
      <c r="AV19" s="88">
        <f>SUBTOTAL(109,TableAFNSchools[Headcount &lt;22 Total])</f>
        <v>1968</v>
      </c>
      <c r="AW19">
        <f>SUBTOTAL(109,TableAFNSchools[Gr9 H 22+])</f>
        <v>0</v>
      </c>
      <c r="AX19">
        <f>SUBTOTAL(109,TableAFNSchools[Gr10 H 22+])</f>
        <v>0</v>
      </c>
      <c r="AY19">
        <f>SUBTOTAL(109,TableAFNSchools[Gr11 H 22+])</f>
        <v>0</v>
      </c>
      <c r="AZ19">
        <f>SUBTOTAL(109,TableAFNSchools[Gr12 H 22+])</f>
        <v>58</v>
      </c>
      <c r="BA19">
        <f>SUBTOTAL(109,TableAFNSchools[Ungrd. Sec. H 22+])</f>
        <v>0</v>
      </c>
      <c r="BB19" s="88">
        <f>SUBTOTAL(109,TableAFNSchools[Total Headcount])</f>
        <v>2026</v>
      </c>
      <c r="BC19" s="1">
        <f>SUBTOTAL(109,TableAFNSchools[Elementary])</f>
        <v>1579</v>
      </c>
      <c r="BD19" s="1">
        <f>SUBTOTAL(109,TableAFNSchools[Secondary])</f>
        <v>447</v>
      </c>
      <c r="BE19" s="166">
        <f>SUBTOTAL(109,TableAFNSchools[Total Funded FTE])</f>
        <v>2026</v>
      </c>
      <c r="BF19" s="88">
        <f>SUBTOTAL(109,TableAFNSchools[Gr9 FTE Sum])</f>
        <v>154</v>
      </c>
      <c r="BG19" s="88">
        <f>SUBTOTAL(109,TableAFNSchools[Gr10 FTE Sum])</f>
        <v>92</v>
      </c>
      <c r="BH19">
        <f>SUBTOTAL(109,TableAFNSchools[Gr11 FTE Sum])</f>
        <v>86</v>
      </c>
      <c r="BI19">
        <f>SUBTOTAL(109,TableAFNSchools[Gr12 FTE Sum])</f>
        <v>115</v>
      </c>
      <c r="BL19" s="2"/>
      <c r="BP19" s="1">
        <f>SUBTOTAL(109,TableAFNSchools[Total FTE K4-Gr.3 and Elementary Ungraded ])</f>
        <v>786</v>
      </c>
      <c r="BQ19" s="1">
        <f>SUBTOTAL(109,TableAFNSchools[Gr. 4-6 FTE])</f>
        <v>470</v>
      </c>
      <c r="BR19" s="1">
        <f>SUBTOTAL(109,TableAFNSchools[Gr. 7-8 FTE])</f>
        <v>323</v>
      </c>
      <c r="BS19" s="1">
        <f>SUBTOTAL(109,TableAFNSchools[Gr. 9-12 FTE and Sec Ungraded])</f>
        <v>447</v>
      </c>
      <c r="BT19" s="1">
        <f>SUBTOTAL(109,TableAFNSchools[Gr. 9-12 HC and Ungradeable ])</f>
        <v>447</v>
      </c>
      <c r="BU19" s="1">
        <f>SUBTOTAL(109,TableAFNSchools[Gr. 7-12 HC and Ungradeable])</f>
        <v>770</v>
      </c>
      <c r="CO19" s="76"/>
      <c r="CP19" s="76"/>
      <c r="CR19" s="76"/>
      <c r="CS19" s="76"/>
      <c r="CW19" s="166">
        <f>SUBTOTAL(109,TableAFNSchools[School size])</f>
        <v>24899.59</v>
      </c>
      <c r="DC19">
        <f>SUBTOTAL(109,TableAFNSchools[Mandatory room &amp; board &lt;18])</f>
        <v>0</v>
      </c>
      <c r="DD19">
        <f>SUBTOTAL(109,TableAFNSchools[Student residence &lt;18])</f>
        <v>0</v>
      </c>
      <c r="DE19">
        <f>SUBTOTAL(109,TableAFNSchools[Boarding school &lt;18])</f>
        <v>0</v>
      </c>
      <c r="DF19">
        <f>SUBTOTAL(109,TableAFNSchools[Room and board (5 days) &lt;18])</f>
        <v>0</v>
      </c>
      <c r="DG19">
        <f>SUBTOTAL(109,TableAFNSchools[Mandatory room &amp; board 18-21])</f>
        <v>0</v>
      </c>
      <c r="DH19">
        <f>SUBTOTAL(109,TableAFNSchools[Student residence 18-21])</f>
        <v>0</v>
      </c>
      <c r="DI19">
        <f>SUBTOTAL(109,TableAFNSchools[Boarding school 18-21])</f>
        <v>0</v>
      </c>
      <c r="DJ19">
        <f>SUBTOTAL(109,TableAFNSchools[Room and board (5 days) 18-21])</f>
        <v>0</v>
      </c>
    </row>
    <row r="22" spans="1:114" s="425" customFormat="1" ht="33" customHeight="1">
      <c r="A22" s="937" t="s">
        <v>1275</v>
      </c>
      <c r="B22" s="937"/>
      <c r="C22" s="937"/>
      <c r="D22" s="937"/>
      <c r="E22" s="963" t="s">
        <v>1100</v>
      </c>
      <c r="F22" s="964"/>
      <c r="G22" s="964"/>
      <c r="H22" s="964"/>
      <c r="I22" s="964"/>
      <c r="J22" s="964"/>
      <c r="K22" s="964"/>
      <c r="L22" s="964"/>
      <c r="M22" s="964"/>
      <c r="N22" s="964"/>
      <c r="O22" s="964"/>
      <c r="P22" s="964"/>
      <c r="Q22" s="964"/>
      <c r="R22" s="964"/>
      <c r="S22" s="964"/>
      <c r="T22" s="964"/>
      <c r="U22" s="964"/>
      <c r="V22" s="1728" t="s">
        <v>1101</v>
      </c>
      <c r="W22" s="1728"/>
      <c r="X22" s="1728"/>
      <c r="Y22" s="1728"/>
      <c r="Z22" s="964"/>
      <c r="AA22" s="964"/>
      <c r="AB22" s="965" t="s">
        <v>1102</v>
      </c>
      <c r="AC22" s="966"/>
      <c r="AD22" s="966"/>
      <c r="AE22" s="966"/>
      <c r="AF22" s="966"/>
      <c r="AG22" s="966"/>
      <c r="AH22" s="966"/>
      <c r="AI22" s="966"/>
      <c r="AJ22" s="966"/>
      <c r="AK22" s="966"/>
      <c r="AL22" s="966"/>
      <c r="AM22" s="966"/>
      <c r="AN22" s="966"/>
      <c r="AO22" s="966"/>
      <c r="AP22" s="966"/>
      <c r="AQ22" s="966"/>
      <c r="AR22" s="966"/>
      <c r="AS22" s="965" t="s">
        <v>1103</v>
      </c>
      <c r="AT22" s="966"/>
      <c r="AU22" s="966"/>
      <c r="AV22" s="966"/>
      <c r="AW22" s="966"/>
      <c r="AX22" s="966"/>
      <c r="AY22" s="967" t="s">
        <v>1104</v>
      </c>
      <c r="AZ22" s="967"/>
      <c r="BA22" s="967"/>
      <c r="BB22" s="967"/>
      <c r="BC22" s="967"/>
      <c r="BD22" s="964"/>
      <c r="BE22" s="964"/>
      <c r="BF22" s="968" t="s">
        <v>1105</v>
      </c>
      <c r="BG22" s="968"/>
      <c r="BH22" s="968"/>
      <c r="BI22" s="968"/>
      <c r="BJ22" s="966"/>
      <c r="BK22" s="966"/>
      <c r="BL22" s="966"/>
      <c r="BM22" s="966"/>
      <c r="BN22" s="966"/>
      <c r="BO22" s="966"/>
      <c r="BP22" s="966"/>
      <c r="BQ22" s="966"/>
      <c r="BR22" s="963" t="s">
        <v>1106</v>
      </c>
      <c r="BS22" s="963"/>
      <c r="BT22" s="963"/>
      <c r="BU22" s="963"/>
      <c r="BV22" s="966"/>
      <c r="BW22" s="968" t="s">
        <v>1107</v>
      </c>
      <c r="BX22" s="966"/>
      <c r="BY22" s="966"/>
      <c r="BZ22" s="966"/>
      <c r="CA22" s="966"/>
      <c r="CB22" s="966"/>
      <c r="CC22" s="966"/>
      <c r="CD22" s="966"/>
      <c r="CE22" s="966"/>
      <c r="CF22" s="966"/>
      <c r="CG22" s="966"/>
      <c r="CH22" s="966"/>
      <c r="CI22" s="966"/>
      <c r="CJ22" s="966"/>
      <c r="CK22" s="966"/>
      <c r="CL22" s="966"/>
      <c r="CM22" s="967" t="s">
        <v>1108</v>
      </c>
      <c r="CN22" s="964"/>
      <c r="CO22" s="964"/>
      <c r="CP22" s="964"/>
      <c r="CQ22" s="969" t="s">
        <v>1109</v>
      </c>
      <c r="CR22" s="968" t="s">
        <v>1110</v>
      </c>
      <c r="CS22" s="966"/>
      <c r="CT22" s="966"/>
      <c r="CU22" s="966"/>
      <c r="CV22" s="966"/>
      <c r="CW22" s="966"/>
      <c r="CX22" s="966"/>
      <c r="CY22" s="966"/>
    </row>
    <row r="23" spans="1:114" s="425" customFormat="1" ht="42.75" customHeight="1">
      <c r="A23" s="602" t="s">
        <v>1111</v>
      </c>
      <c r="B23" s="603" t="s">
        <v>1112</v>
      </c>
      <c r="C23" s="603" t="s">
        <v>375</v>
      </c>
      <c r="D23" s="603" t="s">
        <v>1113</v>
      </c>
      <c r="E23" s="604" t="s">
        <v>1276</v>
      </c>
      <c r="F23" s="604" t="s">
        <v>1277</v>
      </c>
      <c r="G23" s="604" t="s">
        <v>1118</v>
      </c>
      <c r="H23" s="604" t="s">
        <v>1119</v>
      </c>
      <c r="I23" s="604" t="s">
        <v>1120</v>
      </c>
      <c r="J23" s="604" t="s">
        <v>1121</v>
      </c>
      <c r="K23" s="604" t="s">
        <v>1122</v>
      </c>
      <c r="L23" s="604" t="s">
        <v>1123</v>
      </c>
      <c r="M23" s="604" t="s">
        <v>1124</v>
      </c>
      <c r="N23" s="604" t="s">
        <v>1125</v>
      </c>
      <c r="O23" s="604" t="s">
        <v>1126</v>
      </c>
      <c r="P23" s="604" t="s">
        <v>1127</v>
      </c>
      <c r="Q23" s="604" t="s">
        <v>1128</v>
      </c>
      <c r="R23" s="604" t="s">
        <v>1129</v>
      </c>
      <c r="S23" s="604" t="s">
        <v>1130</v>
      </c>
      <c r="T23" s="604" t="s">
        <v>1131</v>
      </c>
      <c r="U23" s="605" t="s">
        <v>1132</v>
      </c>
      <c r="V23" s="604" t="s">
        <v>1133</v>
      </c>
      <c r="W23" s="604" t="s">
        <v>1134</v>
      </c>
      <c r="X23" s="604" t="s">
        <v>1135</v>
      </c>
      <c r="Y23" s="604" t="s">
        <v>1136</v>
      </c>
      <c r="Z23" s="604" t="s">
        <v>1137</v>
      </c>
      <c r="AA23" s="605" t="s">
        <v>1138</v>
      </c>
      <c r="AB23" s="604" t="s">
        <v>1278</v>
      </c>
      <c r="AC23" s="604" t="s">
        <v>1279</v>
      </c>
      <c r="AD23" s="604" t="s">
        <v>1143</v>
      </c>
      <c r="AE23" s="604" t="s">
        <v>1144</v>
      </c>
      <c r="AF23" s="604" t="s">
        <v>1145</v>
      </c>
      <c r="AG23" s="604" t="s">
        <v>1146</v>
      </c>
      <c r="AH23" s="604" t="s">
        <v>1147</v>
      </c>
      <c r="AI23" s="604" t="s">
        <v>1148</v>
      </c>
      <c r="AJ23" s="604" t="s">
        <v>1149</v>
      </c>
      <c r="AK23" s="604" t="s">
        <v>1150</v>
      </c>
      <c r="AL23" s="604" t="s">
        <v>1151</v>
      </c>
      <c r="AM23" s="604" t="s">
        <v>1152</v>
      </c>
      <c r="AN23" s="604" t="s">
        <v>1153</v>
      </c>
      <c r="AO23" s="604" t="s">
        <v>1154</v>
      </c>
      <c r="AP23" s="604" t="s">
        <v>1155</v>
      </c>
      <c r="AQ23" s="604" t="s">
        <v>1156</v>
      </c>
      <c r="AR23" s="604" t="s">
        <v>1157</v>
      </c>
      <c r="AS23" s="604" t="s">
        <v>1158</v>
      </c>
      <c r="AT23" s="604" t="s">
        <v>1159</v>
      </c>
      <c r="AU23" s="604" t="s">
        <v>1160</v>
      </c>
      <c r="AV23" s="604" t="s">
        <v>1161</v>
      </c>
      <c r="AW23" s="604" t="s">
        <v>1162</v>
      </c>
      <c r="AX23" s="605" t="s">
        <v>1163</v>
      </c>
      <c r="AY23" s="603" t="s">
        <v>1164</v>
      </c>
      <c r="AZ23" s="603" t="s">
        <v>1165</v>
      </c>
      <c r="BA23" s="603" t="s">
        <v>1166</v>
      </c>
      <c r="BB23" s="603" t="s">
        <v>1167</v>
      </c>
      <c r="BC23" s="603" t="s">
        <v>1168</v>
      </c>
      <c r="BD23" s="603" t="s">
        <v>1169</v>
      </c>
      <c r="BE23" s="603" t="s">
        <v>1170</v>
      </c>
      <c r="BF23" s="603" t="s">
        <v>1171</v>
      </c>
      <c r="BG23" s="603" t="s">
        <v>1172</v>
      </c>
      <c r="BH23" s="603" t="s">
        <v>1173</v>
      </c>
      <c r="BI23" s="603" t="s">
        <v>1174</v>
      </c>
      <c r="BJ23" s="603" t="s">
        <v>1175</v>
      </c>
      <c r="BK23" s="603" t="s">
        <v>1176</v>
      </c>
      <c r="BL23" s="603" t="s">
        <v>1177</v>
      </c>
      <c r="BM23" s="603" t="s">
        <v>1178</v>
      </c>
      <c r="BN23" s="603" t="s">
        <v>1179</v>
      </c>
      <c r="BO23" s="603" t="s">
        <v>1180</v>
      </c>
      <c r="BP23" s="603" t="s">
        <v>1181</v>
      </c>
      <c r="BQ23" s="603" t="s">
        <v>1182</v>
      </c>
      <c r="BR23" s="603" t="s">
        <v>1280</v>
      </c>
      <c r="BS23" s="603" t="s">
        <v>1184</v>
      </c>
      <c r="BT23" s="603" t="s">
        <v>1185</v>
      </c>
      <c r="BU23" s="603" t="s">
        <v>1186</v>
      </c>
      <c r="BV23" s="603" t="s">
        <v>1187</v>
      </c>
      <c r="BW23" s="603" t="s">
        <v>1188</v>
      </c>
      <c r="BX23" s="603" t="s">
        <v>1189</v>
      </c>
      <c r="BY23" s="603" t="s">
        <v>1190</v>
      </c>
      <c r="BZ23" s="603" t="s">
        <v>1191</v>
      </c>
      <c r="CA23" s="603" t="s">
        <v>1192</v>
      </c>
      <c r="CB23" s="603" t="s">
        <v>1193</v>
      </c>
      <c r="CC23" s="603" t="s">
        <v>1194</v>
      </c>
      <c r="CD23" s="603" t="s">
        <v>1195</v>
      </c>
      <c r="CE23" s="603" t="s">
        <v>1196</v>
      </c>
      <c r="CF23" s="603" t="s">
        <v>1197</v>
      </c>
      <c r="CG23" s="603" t="s">
        <v>1198</v>
      </c>
      <c r="CH23" s="603" t="s">
        <v>1199</v>
      </c>
      <c r="CI23" s="603" t="s">
        <v>1200</v>
      </c>
      <c r="CJ23" s="603" t="s">
        <v>1201</v>
      </c>
      <c r="CK23" s="603" t="s">
        <v>1202</v>
      </c>
      <c r="CL23" s="603" t="s">
        <v>1203</v>
      </c>
      <c r="CM23" s="603" t="s">
        <v>1204</v>
      </c>
      <c r="CN23" s="603" t="s">
        <v>1205</v>
      </c>
      <c r="CO23" s="603" t="s">
        <v>1206</v>
      </c>
      <c r="CP23" s="603" t="s">
        <v>1207</v>
      </c>
      <c r="CQ23" s="603" t="s">
        <v>1208</v>
      </c>
      <c r="CR23" s="603" t="s">
        <v>1209</v>
      </c>
      <c r="CS23" s="603" t="s">
        <v>1210</v>
      </c>
      <c r="CT23" s="603" t="s">
        <v>1211</v>
      </c>
      <c r="CU23" s="603" t="s">
        <v>1212</v>
      </c>
      <c r="CV23" s="603" t="s">
        <v>1213</v>
      </c>
      <c r="CW23" s="603" t="s">
        <v>1214</v>
      </c>
      <c r="CX23" s="603" t="s">
        <v>1215</v>
      </c>
      <c r="CY23" s="603" t="s">
        <v>1216</v>
      </c>
      <c r="CZ23" s="603" t="s">
        <v>1217</v>
      </c>
      <c r="DA23" s="603" t="s">
        <v>1218</v>
      </c>
      <c r="DB23" s="603" t="s">
        <v>1219</v>
      </c>
      <c r="DC23" s="603" t="s">
        <v>1220</v>
      </c>
      <c r="DD23" s="603" t="s">
        <v>1221</v>
      </c>
      <c r="DE23" s="603" t="s">
        <v>1222</v>
      </c>
      <c r="DF23" s="603" t="s">
        <v>1223</v>
      </c>
    </row>
    <row r="24" spans="1:114" s="425" customFormat="1" ht="15">
      <c r="A24" s="970">
        <v>272</v>
      </c>
      <c r="B24" s="425" t="s">
        <v>388</v>
      </c>
      <c r="C24" s="427" t="s">
        <v>1281</v>
      </c>
      <c r="D24" s="425" t="s">
        <v>389</v>
      </c>
      <c r="E24" s="428">
        <v>20</v>
      </c>
      <c r="F24" s="428">
        <v>14</v>
      </c>
      <c r="G24" s="428">
        <v>34</v>
      </c>
      <c r="H24" s="428">
        <v>25</v>
      </c>
      <c r="I24" s="428">
        <v>24</v>
      </c>
      <c r="J24" s="428">
        <v>23</v>
      </c>
      <c r="K24" s="428">
        <v>15</v>
      </c>
      <c r="L24" s="428">
        <v>38</v>
      </c>
      <c r="M24" s="428">
        <v>25</v>
      </c>
      <c r="N24" s="428">
        <v>19</v>
      </c>
      <c r="O24" s="428"/>
      <c r="P24" s="428">
        <v>20</v>
      </c>
      <c r="Q24" s="428">
        <v>16</v>
      </c>
      <c r="R24" s="428">
        <v>16</v>
      </c>
      <c r="S24" s="428">
        <v>22</v>
      </c>
      <c r="T24" s="428"/>
      <c r="U24" s="971">
        <f>SUM(TableAFNSchools49[[#This Row],[K4]:[Ungrd. Sec.]])</f>
        <v>311</v>
      </c>
      <c r="V24" s="428"/>
      <c r="W24" s="428"/>
      <c r="X24" s="428"/>
      <c r="Y24" s="428">
        <v>6</v>
      </c>
      <c r="Z24" s="428"/>
      <c r="AA24" s="429">
        <f>SUM(TableAFNSchools49[[#This Row],[FTE &lt;22 Total]:[Ungrd. Sec. 22+]])</f>
        <v>317</v>
      </c>
      <c r="AB24" s="425">
        <v>20</v>
      </c>
      <c r="AC24" s="425">
        <v>14</v>
      </c>
      <c r="AD24" s="425">
        <v>34</v>
      </c>
      <c r="AE24" s="425">
        <v>25</v>
      </c>
      <c r="AF24" s="425">
        <v>24</v>
      </c>
      <c r="AG24" s="425">
        <v>23</v>
      </c>
      <c r="AH24" s="425">
        <v>15</v>
      </c>
      <c r="AI24" s="425">
        <v>38</v>
      </c>
      <c r="AJ24" s="425">
        <v>25</v>
      </c>
      <c r="AK24" s="425">
        <v>19</v>
      </c>
      <c r="AM24" s="425">
        <v>20</v>
      </c>
      <c r="AN24" s="425">
        <v>16</v>
      </c>
      <c r="AO24" s="425">
        <v>16</v>
      </c>
      <c r="AP24" s="972">
        <v>22</v>
      </c>
      <c r="AR24" s="430">
        <f>SUM(TableAFNSchools49[[#This Row],[K4 H]:[Ugrd. Sec. H]])</f>
        <v>311</v>
      </c>
      <c r="AV24" s="972">
        <v>6</v>
      </c>
      <c r="AX24" s="430">
        <f t="shared" ref="AX24:AX35" si="9">SUM(AR24:AW24)</f>
        <v>317</v>
      </c>
      <c r="AY24" s="428">
        <f t="shared" ref="AY24:AY29" si="10">SUM(E24:O24)</f>
        <v>237</v>
      </c>
      <c r="AZ24" s="428">
        <f t="shared" ref="AZ24:AZ29" si="11">SUM(P24:T24,V24:Z24)</f>
        <v>80</v>
      </c>
      <c r="BA24" s="431">
        <f t="shared" ref="BA24:BA29" si="12">SUM(AY24:AZ24)</f>
        <v>317</v>
      </c>
      <c r="BB24" s="425">
        <f>TableAFNSchools49[[#This Row],[Gr9]]+TableAFNSchools49[[#This Row],[Gr9 22+]]</f>
        <v>20</v>
      </c>
      <c r="BC24" s="425">
        <f>TableAFNSchools49[[#This Row],[Gr10]]+TableAFNSchools49[[#This Row],[Gr10 22+]]</f>
        <v>16</v>
      </c>
      <c r="BD24" s="425">
        <f>TableAFNSchools49[[#This Row],[Gr11]]+TableAFNSchools49[[#This Row],[Gr11 22+]]</f>
        <v>16</v>
      </c>
      <c r="BE24" s="425">
        <f>TableAFNSchools49[[#This Row],[Gr12]]+TableAFNSchools49[[#This Row],[Gr12 22+]]</f>
        <v>28</v>
      </c>
      <c r="BF24" s="425">
        <f>COUNTIF(TableAFNSchools49[[#This Row],[K4]:[Gr8]],"&gt;0")</f>
        <v>10</v>
      </c>
      <c r="BG24" s="425">
        <f>COUNTIF(TableAFNSchools49[[#This Row],[Gr9 FTE Sum]:[Gr12 FTE Sum]],"&gt;0")</f>
        <v>4</v>
      </c>
      <c r="BH24" s="432">
        <f t="shared" ref="BH24:BH35" si="13">SUM(BF24:BG24)</f>
        <v>14</v>
      </c>
      <c r="BI24" s="433">
        <f t="shared" ref="BI24:BJ29" si="14">IFERROR(AY24/BF24,0)</f>
        <v>23.7</v>
      </c>
      <c r="BJ24" s="433">
        <f t="shared" si="14"/>
        <v>20</v>
      </c>
      <c r="BK24" s="433">
        <f t="shared" ref="BK24:BK29" si="15">BA24/BH24</f>
        <v>22.642857142857142</v>
      </c>
      <c r="BL24" s="433">
        <f>TableAFNSchools49[[#This Row],[K4]]+TableAFNSchools49[[#This Row],[K5]]+TableAFNSchools49[[#This Row],[Gr1]]+TableAFNSchools49[[#This Row],[Gr2]]+TableAFNSchools49[[#This Row],[Gr3]]+TableAFNSchools49[[#This Row],[Ungrd. Elem.]]</f>
        <v>117</v>
      </c>
      <c r="BM24" s="433">
        <f>TableAFNSchools49[[#This Row],[Gr4]]+TableAFNSchools49[[#This Row],[Gr5]]+TableAFNSchools49[[#This Row],[Gr6]]</f>
        <v>76</v>
      </c>
      <c r="BN24" s="433">
        <f>TableAFNSchools49[[#This Row],[Gr7]]+TableAFNSchools49[[#This Row],[Gr8]]</f>
        <v>44</v>
      </c>
      <c r="BO24"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80</v>
      </c>
      <c r="BP24"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80</v>
      </c>
      <c r="BQ24"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124</v>
      </c>
      <c r="BR24" s="425" t="s">
        <v>442</v>
      </c>
      <c r="BS24" s="425" t="s">
        <v>1224</v>
      </c>
      <c r="BT24" s="425" t="s">
        <v>1225</v>
      </c>
      <c r="BU24" s="425" t="str">
        <f>IF(TableAFNSchools49[[#This Row],[K4]]=TableAFNSchools49[[#This Row],[K4 H]],"Full-Day",IF(TableAFNSchools49[[#This Row],[K4]]&lt;TableAFNSchools49[[#This Row],[K4 H]],"Half-Day","None"))</f>
        <v>Full-Day</v>
      </c>
      <c r="BV24" s="425" t="str">
        <f>IF(TableAFNSchools49[[#This Row],[K5]]=TableAFNSchools49[[#This Row],[K5 H]],"Full-Day",IF(TableAFNSchools49[[#This Row],[K5]]=0,"None","Half-Day"))</f>
        <v>Full-Day</v>
      </c>
      <c r="BW24" s="425" t="s">
        <v>473</v>
      </c>
      <c r="BX24" s="425" t="s">
        <v>1226</v>
      </c>
      <c r="BY24" s="425" t="s">
        <v>1227</v>
      </c>
      <c r="BZ24" s="425" t="s">
        <v>1228</v>
      </c>
      <c r="CA24" s="425" t="s">
        <v>1229</v>
      </c>
      <c r="CB24" s="425">
        <v>51.592910000000003</v>
      </c>
      <c r="CC24" s="425">
        <v>-98.687219999999996</v>
      </c>
      <c r="CD24" s="425" t="s">
        <v>1230</v>
      </c>
      <c r="CE24" s="425">
        <v>2922</v>
      </c>
      <c r="CF24" s="425">
        <v>4618067</v>
      </c>
      <c r="CG24" s="425" t="s">
        <v>1231</v>
      </c>
      <c r="CH24" s="425" t="s">
        <v>1232</v>
      </c>
      <c r="CI24" s="425">
        <v>5733186</v>
      </c>
      <c r="CJ24" s="425">
        <v>1680574</v>
      </c>
      <c r="CK24" s="427">
        <v>241</v>
      </c>
      <c r="CL24" s="435">
        <v>2</v>
      </c>
      <c r="CM24" s="425" t="s">
        <v>1233</v>
      </c>
      <c r="CN24" s="427">
        <v>236</v>
      </c>
      <c r="CO24" s="427" t="s">
        <v>1234</v>
      </c>
      <c r="CP24" s="425" t="s">
        <v>1233</v>
      </c>
      <c r="CQ24" s="425">
        <v>0.22</v>
      </c>
      <c r="CR24" s="436">
        <v>1.1100000000000001</v>
      </c>
      <c r="CS24" s="437">
        <v>4753.7</v>
      </c>
      <c r="CT24" s="438">
        <v>975</v>
      </c>
      <c r="CU24" s="425">
        <v>74.126000000000005</v>
      </c>
      <c r="CV24" s="425">
        <v>297</v>
      </c>
      <c r="CW24" s="436">
        <f>CV24/CU24</f>
        <v>4.0066913093921155</v>
      </c>
      <c r="CX24" s="439">
        <f>TableAFNSchools49[[#Totals],[Total Funded FTE]]/'F1. Prov School Area 1617'!$H$47</f>
        <v>2.8166780116673893E-3</v>
      </c>
    </row>
    <row r="25" spans="1:114" s="425" customFormat="1" ht="15">
      <c r="A25" s="970">
        <v>275</v>
      </c>
      <c r="B25" s="425" t="s">
        <v>390</v>
      </c>
      <c r="C25" s="427" t="s">
        <v>1282</v>
      </c>
      <c r="D25" s="425" t="s">
        <v>391</v>
      </c>
      <c r="E25" s="428">
        <v>18</v>
      </c>
      <c r="F25" s="428">
        <v>30</v>
      </c>
      <c r="G25" s="428">
        <v>28</v>
      </c>
      <c r="H25" s="428">
        <v>22</v>
      </c>
      <c r="I25" s="428">
        <v>22</v>
      </c>
      <c r="J25" s="428">
        <v>25</v>
      </c>
      <c r="K25" s="428">
        <v>22</v>
      </c>
      <c r="L25" s="428">
        <v>24</v>
      </c>
      <c r="M25" s="428">
        <v>18</v>
      </c>
      <c r="N25" s="428">
        <v>11</v>
      </c>
      <c r="O25" s="428"/>
      <c r="P25" s="428">
        <v>22</v>
      </c>
      <c r="Q25" s="428">
        <v>26</v>
      </c>
      <c r="R25" s="428">
        <v>5</v>
      </c>
      <c r="S25" s="428"/>
      <c r="T25" s="428"/>
      <c r="U25" s="971">
        <f>SUM(TableAFNSchools49[[#This Row],[K4]:[Ungrd. Sec.]])</f>
        <v>273</v>
      </c>
      <c r="V25" s="428"/>
      <c r="W25" s="428"/>
      <c r="X25" s="428"/>
      <c r="Y25" s="428"/>
      <c r="Z25" s="428"/>
      <c r="AA25" s="429">
        <f>SUM(TableAFNSchools49[[#This Row],[FTE &lt;22 Total]:[Ungrd. Sec. 22+]])</f>
        <v>273</v>
      </c>
      <c r="AB25" s="425">
        <v>18</v>
      </c>
      <c r="AC25" s="425">
        <v>30</v>
      </c>
      <c r="AD25" s="425">
        <v>28</v>
      </c>
      <c r="AE25" s="425">
        <v>22</v>
      </c>
      <c r="AF25" s="425">
        <v>22</v>
      </c>
      <c r="AG25" s="425">
        <v>25</v>
      </c>
      <c r="AH25" s="425">
        <v>22</v>
      </c>
      <c r="AI25" s="425">
        <v>24</v>
      </c>
      <c r="AJ25" s="425">
        <v>18</v>
      </c>
      <c r="AK25" s="425">
        <v>11</v>
      </c>
      <c r="AM25" s="425">
        <v>22</v>
      </c>
      <c r="AN25" s="425">
        <v>26</v>
      </c>
      <c r="AO25" s="425">
        <v>5</v>
      </c>
      <c r="AR25" s="430">
        <f>SUM(TableAFNSchools49[[#This Row],[K4 H]:[Ugrd. Sec. H]])</f>
        <v>273</v>
      </c>
      <c r="AX25" s="430">
        <f t="shared" si="9"/>
        <v>273</v>
      </c>
      <c r="AY25" s="425">
        <f t="shared" si="10"/>
        <v>220</v>
      </c>
      <c r="AZ25" s="428">
        <f t="shared" si="11"/>
        <v>53</v>
      </c>
      <c r="BA25" s="431">
        <f t="shared" si="12"/>
        <v>273</v>
      </c>
      <c r="BB25" s="425">
        <f>TableAFNSchools49[[#This Row],[Gr9]]+TableAFNSchools49[[#This Row],[Gr9 22+]]</f>
        <v>22</v>
      </c>
      <c r="BC25" s="425">
        <f>TableAFNSchools49[[#This Row],[Gr10]]+TableAFNSchools49[[#This Row],[Gr10 22+]]</f>
        <v>26</v>
      </c>
      <c r="BD25" s="425">
        <f>TableAFNSchools49[[#This Row],[Gr11]]+TableAFNSchools49[[#This Row],[Gr11 22+]]</f>
        <v>5</v>
      </c>
      <c r="BE25" s="425">
        <f>TableAFNSchools49[[#This Row],[Gr12]]+TableAFNSchools49[[#This Row],[Gr12 22+]]</f>
        <v>0</v>
      </c>
      <c r="BF25" s="425">
        <f>COUNTIF(TableAFNSchools49[[#This Row],[K4]:[Gr8]],"&gt;0")</f>
        <v>10</v>
      </c>
      <c r="BG25" s="425">
        <f>COUNTIF(TableAFNSchools49[[#This Row],[Gr9 FTE Sum]:[Gr12 FTE Sum]],"&gt;0")</f>
        <v>3</v>
      </c>
      <c r="BH25" s="432">
        <f t="shared" si="13"/>
        <v>13</v>
      </c>
      <c r="BI25" s="433">
        <f t="shared" si="14"/>
        <v>22</v>
      </c>
      <c r="BJ25" s="433">
        <f t="shared" si="14"/>
        <v>17.666666666666668</v>
      </c>
      <c r="BK25" s="433">
        <f t="shared" si="15"/>
        <v>21</v>
      </c>
      <c r="BL25" s="433">
        <f>TableAFNSchools49[[#This Row],[K4]]+TableAFNSchools49[[#This Row],[K5]]+TableAFNSchools49[[#This Row],[Gr1]]+TableAFNSchools49[[#This Row],[Gr2]]+TableAFNSchools49[[#This Row],[Gr3]]+TableAFNSchools49[[#This Row],[Ungrd. Elem.]]</f>
        <v>120</v>
      </c>
      <c r="BM25" s="433">
        <f>TableAFNSchools49[[#This Row],[Gr4]]+TableAFNSchools49[[#This Row],[Gr5]]+TableAFNSchools49[[#This Row],[Gr6]]</f>
        <v>71</v>
      </c>
      <c r="BN25" s="433">
        <f>TableAFNSchools49[[#This Row],[Gr7]]+TableAFNSchools49[[#This Row],[Gr8]]</f>
        <v>29</v>
      </c>
      <c r="BO25"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53</v>
      </c>
      <c r="BP25"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53</v>
      </c>
      <c r="BQ25"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82</v>
      </c>
      <c r="BR25" s="425" t="s">
        <v>441</v>
      </c>
      <c r="BS25" s="425" t="s">
        <v>1224</v>
      </c>
      <c r="BT25" s="425" t="s">
        <v>1225</v>
      </c>
      <c r="BU25" s="425" t="str">
        <f>IF(TableAFNSchools49[[#This Row],[K4]]=TableAFNSchools49[[#This Row],[K4 H]],"Full-Day",IF(TableAFNSchools49[[#This Row],[K4]]&lt;TableAFNSchools49[[#This Row],[K4 H]],"Half-Day","None"))</f>
        <v>Full-Day</v>
      </c>
      <c r="BV25" s="425" t="str">
        <f>IF(TableAFNSchools49[[#This Row],[K5]]=TableAFNSchools49[[#This Row],[K5 H]],"Full-Day",IF(TableAFNSchools49[[#This Row],[K5]]=0,"None","Half-Day"))</f>
        <v>Full-Day</v>
      </c>
      <c r="BW25" s="425" t="s">
        <v>473</v>
      </c>
      <c r="BX25" s="425" t="s">
        <v>1235</v>
      </c>
      <c r="BY25" s="425" t="s">
        <v>1233</v>
      </c>
      <c r="BZ25" s="425" t="s">
        <v>1228</v>
      </c>
      <c r="CA25" s="425" t="s">
        <v>1236</v>
      </c>
      <c r="CB25" s="425">
        <v>49.883907000000001</v>
      </c>
      <c r="CC25" s="425">
        <v>-97.225853000000001</v>
      </c>
      <c r="CD25" s="425" t="s">
        <v>1237</v>
      </c>
      <c r="CE25" s="425">
        <v>2941</v>
      </c>
      <c r="CF25" s="425">
        <v>4619065</v>
      </c>
      <c r="CG25" s="425" t="s">
        <v>1238</v>
      </c>
      <c r="CH25" s="425" t="s">
        <v>1232</v>
      </c>
      <c r="CI25" s="425">
        <v>5752386</v>
      </c>
      <c r="CJ25" s="425">
        <v>1700661</v>
      </c>
      <c r="CK25" s="427">
        <v>225</v>
      </c>
      <c r="CL25" s="435">
        <v>2</v>
      </c>
      <c r="CM25" s="425" t="s">
        <v>1233</v>
      </c>
      <c r="CN25" s="427">
        <v>261</v>
      </c>
      <c r="CO25" s="427" t="s">
        <v>1234</v>
      </c>
      <c r="CP25" s="425" t="s">
        <v>1233</v>
      </c>
      <c r="CQ25" s="425">
        <v>0.22</v>
      </c>
      <c r="CR25" s="436">
        <v>1.1100000000000001</v>
      </c>
      <c r="CS25" s="973">
        <f>4032+4106.69</f>
        <v>8138.69</v>
      </c>
      <c r="CT25" s="438">
        <v>505</v>
      </c>
      <c r="CU25" s="425">
        <v>35.953000000000003</v>
      </c>
      <c r="CV25" s="425">
        <v>182</v>
      </c>
      <c r="CW25" s="436">
        <f>CV25/CU25</f>
        <v>5.0621644925319167</v>
      </c>
      <c r="CX25" s="439">
        <f>TableAFNSchools49[[#Totals],[Total Funded FTE]]/'F1. Prov School Area 1617'!$H$47</f>
        <v>2.8166780116673893E-3</v>
      </c>
    </row>
    <row r="26" spans="1:114" s="425" customFormat="1" ht="15">
      <c r="A26" s="970">
        <v>267</v>
      </c>
      <c r="B26" s="425" t="s">
        <v>392</v>
      </c>
      <c r="C26" s="427" t="s">
        <v>1283</v>
      </c>
      <c r="D26" s="425" t="s">
        <v>393</v>
      </c>
      <c r="E26" s="428">
        <v>19</v>
      </c>
      <c r="F26" s="428">
        <v>11</v>
      </c>
      <c r="G26" s="428">
        <v>15</v>
      </c>
      <c r="H26" s="428">
        <v>17</v>
      </c>
      <c r="I26" s="428">
        <v>14</v>
      </c>
      <c r="J26" s="428">
        <v>18</v>
      </c>
      <c r="K26" s="428">
        <v>17</v>
      </c>
      <c r="L26" s="428">
        <v>21</v>
      </c>
      <c r="M26" s="428">
        <v>5</v>
      </c>
      <c r="N26" s="428">
        <v>12</v>
      </c>
      <c r="O26" s="428"/>
      <c r="P26" s="428">
        <v>10</v>
      </c>
      <c r="Q26" s="428"/>
      <c r="R26" s="428"/>
      <c r="S26" s="428"/>
      <c r="T26" s="428"/>
      <c r="U26" s="971">
        <f>SUM(TableAFNSchools49[[#This Row],[K4]:[Ungrd. Sec.]])</f>
        <v>159</v>
      </c>
      <c r="V26" s="428"/>
      <c r="W26" s="428"/>
      <c r="X26" s="428"/>
      <c r="Y26" s="428"/>
      <c r="Z26" s="428"/>
      <c r="AA26" s="429">
        <f>SUM(TableAFNSchools49[[#This Row],[FTE &lt;22 Total]:[Ungrd. Sec. 22+]])</f>
        <v>159</v>
      </c>
      <c r="AB26" s="425">
        <v>19</v>
      </c>
      <c r="AC26" s="425">
        <v>11</v>
      </c>
      <c r="AD26" s="425">
        <v>15</v>
      </c>
      <c r="AE26" s="425">
        <v>17</v>
      </c>
      <c r="AF26" s="425">
        <v>14</v>
      </c>
      <c r="AG26" s="425">
        <v>18</v>
      </c>
      <c r="AH26" s="425">
        <v>17</v>
      </c>
      <c r="AI26" s="425">
        <v>21</v>
      </c>
      <c r="AJ26" s="425">
        <v>5</v>
      </c>
      <c r="AK26" s="425">
        <v>12</v>
      </c>
      <c r="AM26" s="425">
        <v>10</v>
      </c>
      <c r="AR26" s="430">
        <f>SUM(TableAFNSchools49[[#This Row],[K4 H]:[Ugrd. Sec. H]])</f>
        <v>159</v>
      </c>
      <c r="AX26" s="430">
        <f t="shared" si="9"/>
        <v>159</v>
      </c>
      <c r="AY26" s="425">
        <f t="shared" si="10"/>
        <v>149</v>
      </c>
      <c r="AZ26" s="428">
        <f t="shared" si="11"/>
        <v>10</v>
      </c>
      <c r="BA26" s="431">
        <f t="shared" si="12"/>
        <v>159</v>
      </c>
      <c r="BB26" s="425">
        <f>TableAFNSchools49[[#This Row],[Gr9]]+TableAFNSchools49[[#This Row],[Gr9 22+]]</f>
        <v>10</v>
      </c>
      <c r="BC26" s="425">
        <f>TableAFNSchools49[[#This Row],[Gr10]]+TableAFNSchools49[[#This Row],[Gr10 22+]]</f>
        <v>0</v>
      </c>
      <c r="BD26" s="425">
        <f>TableAFNSchools49[[#This Row],[Gr11]]+TableAFNSchools49[[#This Row],[Gr11 22+]]</f>
        <v>0</v>
      </c>
      <c r="BE26" s="425">
        <f>TableAFNSchools49[[#This Row],[Gr12]]+TableAFNSchools49[[#This Row],[Gr12 22+]]</f>
        <v>0</v>
      </c>
      <c r="BF26" s="425">
        <f>COUNTIF(TableAFNSchools49[[#This Row],[K4]:[Gr8]],"&gt;0")</f>
        <v>10</v>
      </c>
      <c r="BG26" s="425">
        <f>COUNTIF(TableAFNSchools49[[#This Row],[Gr9 FTE Sum]:[Gr12 FTE Sum]],"&gt;0")</f>
        <v>1</v>
      </c>
      <c r="BH26" s="432">
        <f t="shared" si="13"/>
        <v>11</v>
      </c>
      <c r="BI26" s="433">
        <f t="shared" si="14"/>
        <v>14.9</v>
      </c>
      <c r="BJ26" s="433">
        <f t="shared" si="14"/>
        <v>10</v>
      </c>
      <c r="BK26" s="433">
        <f t="shared" si="15"/>
        <v>14.454545454545455</v>
      </c>
      <c r="BL26" s="433">
        <f>TableAFNSchools49[[#This Row],[K4]]+TableAFNSchools49[[#This Row],[K5]]+TableAFNSchools49[[#This Row],[Gr1]]+TableAFNSchools49[[#This Row],[Gr2]]+TableAFNSchools49[[#This Row],[Gr3]]+TableAFNSchools49[[#This Row],[Ungrd. Elem.]]</f>
        <v>76</v>
      </c>
      <c r="BM26" s="433">
        <f>TableAFNSchools49[[#This Row],[Gr4]]+TableAFNSchools49[[#This Row],[Gr5]]+TableAFNSchools49[[#This Row],[Gr6]]</f>
        <v>56</v>
      </c>
      <c r="BN26" s="433">
        <f>TableAFNSchools49[[#This Row],[Gr7]]+TableAFNSchools49[[#This Row],[Gr8]]</f>
        <v>17</v>
      </c>
      <c r="BO26"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10</v>
      </c>
      <c r="BP26"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10</v>
      </c>
      <c r="BQ26"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27</v>
      </c>
      <c r="BR26" s="425" t="s">
        <v>441</v>
      </c>
      <c r="BS26" s="425" t="s">
        <v>1224</v>
      </c>
      <c r="BT26" s="425" t="s">
        <v>1225</v>
      </c>
      <c r="BU26" s="425" t="str">
        <f>IF(TableAFNSchools49[[#This Row],[K4]]=TableAFNSchools49[[#This Row],[K4 H]],"Full-Day",IF(TableAFNSchools49[[#This Row],[K4]]&lt;TableAFNSchools49[[#This Row],[K4 H]],"Half-Day","None"))</f>
        <v>Full-Day</v>
      </c>
      <c r="BV26" s="425" t="str">
        <f>IF(TableAFNSchools49[[#This Row],[K5]]=TableAFNSchools49[[#This Row],[K5 H]],"Full-Day",IF(TableAFNSchools49[[#This Row],[K5]]=0,"None","Half-Day"))</f>
        <v>Full-Day</v>
      </c>
      <c r="BW26" s="425" t="s">
        <v>474</v>
      </c>
      <c r="BX26" s="425" t="s">
        <v>1239</v>
      </c>
      <c r="BY26" s="425" t="s">
        <v>1240</v>
      </c>
      <c r="BZ26" s="425" t="s">
        <v>1228</v>
      </c>
      <c r="CA26" s="425" t="s">
        <v>1241</v>
      </c>
      <c r="CB26" s="425">
        <v>51.783408000000001</v>
      </c>
      <c r="CC26" s="425">
        <v>-96.696916999999999</v>
      </c>
      <c r="CD26" s="425" t="s">
        <v>1242</v>
      </c>
      <c r="CE26" s="425">
        <v>2932</v>
      </c>
      <c r="CF26" s="425">
        <v>4619052</v>
      </c>
      <c r="CG26" s="425" t="s">
        <v>1243</v>
      </c>
      <c r="CH26" s="425" t="s">
        <v>1232</v>
      </c>
      <c r="CI26" s="425">
        <v>5869864</v>
      </c>
      <c r="CJ26" s="425">
        <v>1692471</v>
      </c>
      <c r="CK26" s="427">
        <v>203</v>
      </c>
      <c r="CL26" s="435">
        <v>4</v>
      </c>
      <c r="CM26" s="425" t="s">
        <v>1233</v>
      </c>
      <c r="CN26" s="427">
        <v>249</v>
      </c>
      <c r="CO26" s="427" t="s">
        <v>1244</v>
      </c>
      <c r="CP26" s="425" t="s">
        <v>1233</v>
      </c>
      <c r="CQ26" s="425">
        <v>0.63</v>
      </c>
      <c r="CR26" s="436">
        <v>1.3149999999999999</v>
      </c>
      <c r="CS26" s="973">
        <v>1790.7</v>
      </c>
      <c r="CT26" s="438">
        <v>645</v>
      </c>
      <c r="CU26" s="425">
        <v>16.251999999999999</v>
      </c>
      <c r="CV26" s="425">
        <v>162</v>
      </c>
      <c r="CW26" s="436">
        <f>CV26/CU26</f>
        <v>9.9680039379768655</v>
      </c>
      <c r="CX26" s="439">
        <f>TableAFNSchools49[[#Totals],[Total Funded FTE]]/'F1. Prov School Area 1617'!$H$47</f>
        <v>2.8166780116673893E-3</v>
      </c>
    </row>
    <row r="27" spans="1:114" s="425" customFormat="1" ht="15">
      <c r="A27" s="970">
        <v>304</v>
      </c>
      <c r="B27" s="425" t="s">
        <v>394</v>
      </c>
      <c r="C27" s="427" t="s">
        <v>1284</v>
      </c>
      <c r="D27" s="425" t="s">
        <v>395</v>
      </c>
      <c r="E27" s="428">
        <v>11</v>
      </c>
      <c r="F27" s="428">
        <v>15</v>
      </c>
      <c r="G27" s="428">
        <v>9</v>
      </c>
      <c r="H27" s="428">
        <v>11</v>
      </c>
      <c r="I27" s="428">
        <v>12</v>
      </c>
      <c r="J27" s="428">
        <v>7</v>
      </c>
      <c r="K27" s="428">
        <v>9</v>
      </c>
      <c r="L27" s="428">
        <v>12</v>
      </c>
      <c r="M27" s="428">
        <v>10</v>
      </c>
      <c r="N27" s="428">
        <v>10</v>
      </c>
      <c r="O27" s="428"/>
      <c r="P27" s="428">
        <v>11</v>
      </c>
      <c r="Q27" s="428"/>
      <c r="R27" s="428"/>
      <c r="S27" s="428"/>
      <c r="T27" s="428"/>
      <c r="U27" s="971">
        <f>SUM(TableAFNSchools49[[#This Row],[K4]:[Ungrd. Sec.]])</f>
        <v>117</v>
      </c>
      <c r="V27" s="428"/>
      <c r="W27" s="428"/>
      <c r="X27" s="428"/>
      <c r="Y27" s="428"/>
      <c r="Z27" s="428"/>
      <c r="AA27" s="429">
        <f>SUM(TableAFNSchools49[[#This Row],[FTE &lt;22 Total]:[Ungrd. Sec. 22+]])</f>
        <v>117</v>
      </c>
      <c r="AB27" s="425">
        <v>11</v>
      </c>
      <c r="AC27" s="425">
        <v>15</v>
      </c>
      <c r="AD27" s="425">
        <v>9</v>
      </c>
      <c r="AE27" s="425">
        <v>11</v>
      </c>
      <c r="AF27" s="425">
        <v>12</v>
      </c>
      <c r="AG27" s="425">
        <v>7</v>
      </c>
      <c r="AH27" s="425">
        <v>9</v>
      </c>
      <c r="AI27" s="425">
        <v>12</v>
      </c>
      <c r="AJ27" s="425">
        <v>10</v>
      </c>
      <c r="AK27" s="425">
        <v>10</v>
      </c>
      <c r="AM27" s="425">
        <v>11</v>
      </c>
      <c r="AR27" s="430">
        <f>SUM(TableAFNSchools49[[#This Row],[K4 H]:[Ugrd. Sec. H]])</f>
        <v>117</v>
      </c>
      <c r="AX27" s="430">
        <f t="shared" si="9"/>
        <v>117</v>
      </c>
      <c r="AY27" s="425">
        <f t="shared" si="10"/>
        <v>106</v>
      </c>
      <c r="AZ27" s="428">
        <f t="shared" si="11"/>
        <v>11</v>
      </c>
      <c r="BA27" s="431">
        <f t="shared" si="12"/>
        <v>117</v>
      </c>
      <c r="BB27" s="425">
        <f>TableAFNSchools49[[#This Row],[Gr9]]+TableAFNSchools49[[#This Row],[Gr9 22+]]</f>
        <v>11</v>
      </c>
      <c r="BC27" s="425">
        <f>TableAFNSchools49[[#This Row],[Gr10]]+TableAFNSchools49[[#This Row],[Gr10 22+]]</f>
        <v>0</v>
      </c>
      <c r="BD27" s="425">
        <f>TableAFNSchools49[[#This Row],[Gr11]]+TableAFNSchools49[[#This Row],[Gr11 22+]]</f>
        <v>0</v>
      </c>
      <c r="BE27" s="425">
        <f>TableAFNSchools49[[#This Row],[Gr12]]+TableAFNSchools49[[#This Row],[Gr12 22+]]</f>
        <v>0</v>
      </c>
      <c r="BF27" s="425">
        <f>COUNTIF(TableAFNSchools49[[#This Row],[K4]:[Gr8]],"&gt;0")</f>
        <v>10</v>
      </c>
      <c r="BG27" s="425">
        <f>COUNTIF(TableAFNSchools49[[#This Row],[Gr9 FTE Sum]:[Gr12 FTE Sum]],"&gt;0")</f>
        <v>1</v>
      </c>
      <c r="BH27" s="432">
        <f t="shared" si="13"/>
        <v>11</v>
      </c>
      <c r="BI27" s="433">
        <f t="shared" si="14"/>
        <v>10.6</v>
      </c>
      <c r="BJ27" s="433">
        <f t="shared" si="14"/>
        <v>11</v>
      </c>
      <c r="BK27" s="433">
        <f t="shared" si="15"/>
        <v>10.636363636363637</v>
      </c>
      <c r="BL27" s="433">
        <f>TableAFNSchools49[[#This Row],[K4]]+TableAFNSchools49[[#This Row],[K5]]+TableAFNSchools49[[#This Row],[Gr1]]+TableAFNSchools49[[#This Row],[Gr2]]+TableAFNSchools49[[#This Row],[Gr3]]+TableAFNSchools49[[#This Row],[Ungrd. Elem.]]</f>
        <v>58</v>
      </c>
      <c r="BM27" s="433">
        <f>TableAFNSchools49[[#This Row],[Gr4]]+TableAFNSchools49[[#This Row],[Gr5]]+TableAFNSchools49[[#This Row],[Gr6]]</f>
        <v>28</v>
      </c>
      <c r="BN27" s="433">
        <f>TableAFNSchools49[[#This Row],[Gr7]]+TableAFNSchools49[[#This Row],[Gr8]]</f>
        <v>20</v>
      </c>
      <c r="BO27"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11</v>
      </c>
      <c r="BP27"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11</v>
      </c>
      <c r="BQ27"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31</v>
      </c>
      <c r="BR27" s="425" t="s">
        <v>441</v>
      </c>
      <c r="BS27" s="425" t="s">
        <v>1224</v>
      </c>
      <c r="BT27" s="425" t="s">
        <v>1225</v>
      </c>
      <c r="BU27" s="425" t="str">
        <f>IF(TableAFNSchools49[[#This Row],[K4]]=TableAFNSchools49[[#This Row],[K4 H]],"Full-Day",IF(TableAFNSchools49[[#This Row],[K4]]&lt;TableAFNSchools49[[#This Row],[K4 H]],"Half-Day","None"))</f>
        <v>Full-Day</v>
      </c>
      <c r="BV27" s="425" t="str">
        <f>IF(TableAFNSchools49[[#This Row],[K5]]=TableAFNSchools49[[#This Row],[K5 H]],"Full-Day",IF(TableAFNSchools49[[#This Row],[K5]]=0,"None","Half-Day"))</f>
        <v>Full-Day</v>
      </c>
      <c r="BW27" s="425" t="s">
        <v>474</v>
      </c>
      <c r="BX27" s="425" t="s">
        <v>1245</v>
      </c>
      <c r="BY27" s="425" t="s">
        <v>1246</v>
      </c>
      <c r="BZ27" s="425" t="s">
        <v>1228</v>
      </c>
      <c r="CA27" s="425" t="s">
        <v>1247</v>
      </c>
      <c r="CB27" s="425">
        <v>56.087443</v>
      </c>
      <c r="CC27" s="425">
        <v>-96.098977000000005</v>
      </c>
      <c r="CD27" s="425" t="s">
        <v>1242</v>
      </c>
      <c r="CE27" s="425">
        <v>2989</v>
      </c>
      <c r="CF27" s="425">
        <v>4622065</v>
      </c>
      <c r="CG27" s="425" t="s">
        <v>1096</v>
      </c>
      <c r="CH27" s="425" t="s">
        <v>1232</v>
      </c>
      <c r="CI27" s="425">
        <v>5942112</v>
      </c>
      <c r="CJ27" s="425">
        <v>2175215</v>
      </c>
      <c r="CK27" s="427">
        <v>261</v>
      </c>
      <c r="CL27" s="435">
        <v>4</v>
      </c>
      <c r="CM27" s="425" t="s">
        <v>1248</v>
      </c>
      <c r="CN27" s="427">
        <v>936</v>
      </c>
      <c r="CO27" s="427" t="s">
        <v>1249</v>
      </c>
      <c r="CP27" s="425" t="s">
        <v>1248</v>
      </c>
      <c r="CQ27" s="425">
        <v>0.6</v>
      </c>
      <c r="CR27" s="436">
        <v>1.3</v>
      </c>
      <c r="CS27" s="437">
        <v>1994</v>
      </c>
      <c r="CT27" s="438">
        <v>450</v>
      </c>
      <c r="CU27" s="425">
        <v>9.6739999999999995</v>
      </c>
      <c r="CV27" s="425">
        <v>123</v>
      </c>
      <c r="CW27" s="436">
        <f>CV27/CU27</f>
        <v>12.714492454000414</v>
      </c>
      <c r="CX27" s="439">
        <f>TableAFNSchools49[[#Totals],[Total Funded FTE]]/'F1. Prov School Area 1617'!$H$47</f>
        <v>2.8166780116673893E-3</v>
      </c>
    </row>
    <row r="28" spans="1:114" s="425" customFormat="1" ht="15">
      <c r="A28" s="970">
        <v>271</v>
      </c>
      <c r="B28" s="425" t="s">
        <v>396</v>
      </c>
      <c r="C28" s="427" t="s">
        <v>1285</v>
      </c>
      <c r="D28" s="425" t="s">
        <v>397</v>
      </c>
      <c r="E28" s="428">
        <v>23</v>
      </c>
      <c r="F28" s="428">
        <v>17</v>
      </c>
      <c r="G28" s="428">
        <v>19</v>
      </c>
      <c r="H28" s="428">
        <v>13</v>
      </c>
      <c r="I28" s="428">
        <v>17</v>
      </c>
      <c r="J28" s="428">
        <v>12</v>
      </c>
      <c r="K28" s="428">
        <v>27</v>
      </c>
      <c r="L28" s="428">
        <v>26</v>
      </c>
      <c r="M28" s="428">
        <v>23</v>
      </c>
      <c r="N28" s="428">
        <v>19</v>
      </c>
      <c r="O28" s="428"/>
      <c r="P28" s="428">
        <v>29</v>
      </c>
      <c r="Q28" s="428">
        <v>31</v>
      </c>
      <c r="R28" s="428">
        <v>7</v>
      </c>
      <c r="S28" s="428">
        <v>17</v>
      </c>
      <c r="T28" s="428"/>
      <c r="U28" s="971">
        <f>SUM(TableAFNSchools49[[#This Row],[K4]:[Ungrd. Sec.]])</f>
        <v>280</v>
      </c>
      <c r="V28" s="428"/>
      <c r="W28" s="428"/>
      <c r="X28" s="428"/>
      <c r="Y28" s="428"/>
      <c r="Z28" s="428"/>
      <c r="AA28" s="429">
        <f>SUM(TableAFNSchools49[[#This Row],[FTE &lt;22 Total]:[Ungrd. Sec. 22+]])</f>
        <v>280</v>
      </c>
      <c r="AB28" s="425">
        <v>23</v>
      </c>
      <c r="AC28" s="425">
        <v>17</v>
      </c>
      <c r="AD28" s="425">
        <v>19</v>
      </c>
      <c r="AE28" s="425">
        <v>13</v>
      </c>
      <c r="AF28" s="425">
        <v>17</v>
      </c>
      <c r="AG28" s="425">
        <v>12</v>
      </c>
      <c r="AH28" s="425">
        <v>27</v>
      </c>
      <c r="AI28" s="425">
        <v>26</v>
      </c>
      <c r="AJ28" s="425">
        <v>23</v>
      </c>
      <c r="AK28" s="425">
        <v>19</v>
      </c>
      <c r="AM28" s="425">
        <v>29</v>
      </c>
      <c r="AN28" s="425">
        <v>31</v>
      </c>
      <c r="AO28" s="425">
        <v>7</v>
      </c>
      <c r="AP28" s="425">
        <v>17</v>
      </c>
      <c r="AR28" s="430">
        <f>SUM(TableAFNSchools49[[#This Row],[K4 H]:[Ugrd. Sec. H]])</f>
        <v>280</v>
      </c>
      <c r="AX28" s="430">
        <f t="shared" si="9"/>
        <v>280</v>
      </c>
      <c r="AY28" s="425">
        <f t="shared" si="10"/>
        <v>196</v>
      </c>
      <c r="AZ28" s="428">
        <f t="shared" si="11"/>
        <v>84</v>
      </c>
      <c r="BA28" s="431">
        <f t="shared" si="12"/>
        <v>280</v>
      </c>
      <c r="BB28" s="425">
        <f>TableAFNSchools49[[#This Row],[Gr9]]+TableAFNSchools49[[#This Row],[Gr9 22+]]</f>
        <v>29</v>
      </c>
      <c r="BC28" s="425">
        <f>TableAFNSchools49[[#This Row],[Gr10]]+TableAFNSchools49[[#This Row],[Gr10 22+]]</f>
        <v>31</v>
      </c>
      <c r="BD28" s="425">
        <f>TableAFNSchools49[[#This Row],[Gr11]]+TableAFNSchools49[[#This Row],[Gr11 22+]]</f>
        <v>7</v>
      </c>
      <c r="BE28" s="425">
        <f>TableAFNSchools49[[#This Row],[Gr12]]+TableAFNSchools49[[#This Row],[Gr12 22+]]</f>
        <v>17</v>
      </c>
      <c r="BF28" s="425">
        <f>COUNTIF(TableAFNSchools49[[#This Row],[K4]:[Gr8]],"&gt;0")</f>
        <v>10</v>
      </c>
      <c r="BG28" s="425">
        <f>COUNTIF(TableAFNSchools49[[#This Row],[Gr9 FTE Sum]:[Gr12 FTE Sum]],"&gt;0")</f>
        <v>4</v>
      </c>
      <c r="BH28" s="432">
        <f t="shared" si="13"/>
        <v>14</v>
      </c>
      <c r="BI28" s="433">
        <f t="shared" si="14"/>
        <v>19.600000000000001</v>
      </c>
      <c r="BJ28" s="433">
        <f t="shared" si="14"/>
        <v>21</v>
      </c>
      <c r="BK28" s="433">
        <f t="shared" si="15"/>
        <v>20</v>
      </c>
      <c r="BL28" s="433">
        <f>TableAFNSchools49[[#This Row],[K4]]+TableAFNSchools49[[#This Row],[K5]]+TableAFNSchools49[[#This Row],[Gr1]]+TableAFNSchools49[[#This Row],[Gr2]]+TableAFNSchools49[[#This Row],[Gr3]]+TableAFNSchools49[[#This Row],[Ungrd. Elem.]]</f>
        <v>89</v>
      </c>
      <c r="BM28" s="433">
        <f>TableAFNSchools49[[#This Row],[Gr4]]+TableAFNSchools49[[#This Row],[Gr5]]+TableAFNSchools49[[#This Row],[Gr6]]</f>
        <v>65</v>
      </c>
      <c r="BN28" s="433">
        <f>TableAFNSchools49[[#This Row],[Gr7]]+TableAFNSchools49[[#This Row],[Gr8]]</f>
        <v>42</v>
      </c>
      <c r="BO28"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84</v>
      </c>
      <c r="BP28"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84</v>
      </c>
      <c r="BQ28"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126</v>
      </c>
      <c r="BR28" s="425" t="s">
        <v>441</v>
      </c>
      <c r="BS28" s="425" t="s">
        <v>1224</v>
      </c>
      <c r="BT28" s="425" t="s">
        <v>1225</v>
      </c>
      <c r="BU28" s="425" t="str">
        <f>IF(TableAFNSchools49[[#This Row],[K4]]=TableAFNSchools49[[#This Row],[K4 H]],"Full-Day",IF(TableAFNSchools49[[#This Row],[K4]]&lt;TableAFNSchools49[[#This Row],[K4 H]],"Half-Day","None"))</f>
        <v>Full-Day</v>
      </c>
      <c r="BV28" s="425" t="str">
        <f>IF(TableAFNSchools49[[#This Row],[K5]]=TableAFNSchools49[[#This Row],[K5 H]],"Full-Day",IF(TableAFNSchools49[[#This Row],[K5]]=0,"None","Half-Day"))</f>
        <v>Full-Day</v>
      </c>
      <c r="BW28" s="425" t="s">
        <v>473</v>
      </c>
      <c r="BX28" s="425" t="s">
        <v>1250</v>
      </c>
      <c r="BY28" s="425" t="s">
        <v>1251</v>
      </c>
      <c r="BZ28" s="425" t="s">
        <v>1228</v>
      </c>
      <c r="CA28" s="425" t="s">
        <v>1252</v>
      </c>
      <c r="CB28" s="425">
        <v>50.908029999999997</v>
      </c>
      <c r="CC28" s="425">
        <v>-98.597160000000002</v>
      </c>
      <c r="CD28" s="425" t="s">
        <v>1230</v>
      </c>
      <c r="CE28" s="425">
        <v>2918</v>
      </c>
      <c r="CF28" s="425">
        <v>4618055</v>
      </c>
      <c r="CG28" s="425" t="s">
        <v>1253</v>
      </c>
      <c r="CH28" s="425" t="s">
        <v>1232</v>
      </c>
      <c r="CI28" s="425">
        <v>5728400</v>
      </c>
      <c r="CJ28" s="425">
        <v>1612386</v>
      </c>
      <c r="CK28" s="427">
        <v>224</v>
      </c>
      <c r="CL28" s="435">
        <v>2</v>
      </c>
      <c r="CM28" s="425" t="s">
        <v>1233</v>
      </c>
      <c r="CN28" s="427">
        <v>180</v>
      </c>
      <c r="CO28" s="427" t="s">
        <v>1234</v>
      </c>
      <c r="CP28" s="425" t="s">
        <v>1233</v>
      </c>
      <c r="CQ28" s="425">
        <v>0.22</v>
      </c>
      <c r="CR28" s="436">
        <v>1.1100000000000001</v>
      </c>
      <c r="CS28" s="437">
        <v>2892.3</v>
      </c>
      <c r="CT28" s="438">
        <v>680</v>
      </c>
      <c r="CU28" s="425">
        <v>37.705999999999996</v>
      </c>
      <c r="CV28" s="425">
        <v>315</v>
      </c>
      <c r="CW28" s="436">
        <f>CV28/CU28</f>
        <v>8.3541080995067105</v>
      </c>
      <c r="CX28" s="439">
        <f>TableAFNSchools49[[#Totals],[Total Funded FTE]]/'F1. Prov School Area 1617'!$H$47</f>
        <v>2.8166780116673893E-3</v>
      </c>
    </row>
    <row r="29" spans="1:114" s="425" customFormat="1" ht="15">
      <c r="A29" s="970">
        <v>295</v>
      </c>
      <c r="B29" s="425" t="s">
        <v>320</v>
      </c>
      <c r="C29" s="427" t="s">
        <v>1286</v>
      </c>
      <c r="D29" s="425" t="s">
        <v>409</v>
      </c>
      <c r="E29" s="428">
        <v>5</v>
      </c>
      <c r="F29" s="428"/>
      <c r="G29" s="428"/>
      <c r="H29" s="428"/>
      <c r="I29" s="428"/>
      <c r="J29" s="428"/>
      <c r="K29" s="428"/>
      <c r="L29" s="428"/>
      <c r="M29" s="428"/>
      <c r="N29" s="428"/>
      <c r="O29" s="428"/>
      <c r="P29" s="428"/>
      <c r="Q29" s="428"/>
      <c r="R29" s="428"/>
      <c r="S29" s="428"/>
      <c r="T29" s="428"/>
      <c r="U29" s="971">
        <f>SUM(TableAFNSchools49[[#This Row],[K4]:[Ungrd. Sec.]])</f>
        <v>5</v>
      </c>
      <c r="V29" s="428"/>
      <c r="W29" s="428"/>
      <c r="X29" s="428"/>
      <c r="Y29" s="428"/>
      <c r="Z29" s="428"/>
      <c r="AA29" s="429">
        <f>SUM(TableAFNSchools49[[#This Row],[FTE &lt;22 Total]:[Ungrd. Sec. 22+]])</f>
        <v>5</v>
      </c>
      <c r="AB29" s="449">
        <v>5</v>
      </c>
      <c r="AC29" s="449"/>
      <c r="AD29" s="449"/>
      <c r="AE29" s="449"/>
      <c r="AF29" s="449"/>
      <c r="AG29" s="449"/>
      <c r="AH29" s="449"/>
      <c r="AI29" s="449"/>
      <c r="AJ29" s="449"/>
      <c r="AK29" s="449"/>
      <c r="AL29" s="449"/>
      <c r="AM29" s="449"/>
      <c r="AN29" s="449"/>
      <c r="AO29" s="449"/>
      <c r="AP29" s="449"/>
      <c r="AQ29" s="449"/>
      <c r="AR29" s="430">
        <f>SUM(TableAFNSchools49[[#This Row],[K4 H]:[Ugrd. Sec. H]])</f>
        <v>5</v>
      </c>
      <c r="AX29" s="430">
        <f t="shared" si="9"/>
        <v>5</v>
      </c>
      <c r="AY29" s="425">
        <f t="shared" si="10"/>
        <v>5</v>
      </c>
      <c r="AZ29" s="428">
        <f t="shared" si="11"/>
        <v>0</v>
      </c>
      <c r="BA29" s="431">
        <f t="shared" si="12"/>
        <v>5</v>
      </c>
      <c r="BB29" s="425">
        <f>TableAFNSchools49[[#This Row],[Gr9]]+TableAFNSchools49[[#This Row],[Gr9 22+]]</f>
        <v>0</v>
      </c>
      <c r="BC29" s="425">
        <f>TableAFNSchools49[[#This Row],[Gr10]]+TableAFNSchools49[[#This Row],[Gr10 22+]]</f>
        <v>0</v>
      </c>
      <c r="BD29" s="425">
        <f>TableAFNSchools49[[#This Row],[Gr11]]+TableAFNSchools49[[#This Row],[Gr11 22+]]</f>
        <v>0</v>
      </c>
      <c r="BE29" s="425">
        <f>TableAFNSchools49[[#This Row],[Gr12]]+TableAFNSchools49[[#This Row],[Gr12 22+]]</f>
        <v>0</v>
      </c>
      <c r="BF29" s="425">
        <f>COUNTIF(TableAFNSchools49[[#This Row],[K4]:[Gr8]],"&gt;0")</f>
        <v>1</v>
      </c>
      <c r="BG29" s="425">
        <f>COUNTIF(TableAFNSchools49[[#This Row],[Gr9 FTE Sum]:[Gr12 FTE Sum]],"&gt;0")</f>
        <v>0</v>
      </c>
      <c r="BH29" s="432">
        <f t="shared" si="13"/>
        <v>1</v>
      </c>
      <c r="BI29" s="433">
        <f t="shared" si="14"/>
        <v>5</v>
      </c>
      <c r="BJ29" s="433">
        <f t="shared" si="14"/>
        <v>0</v>
      </c>
      <c r="BK29" s="433">
        <f t="shared" si="15"/>
        <v>5</v>
      </c>
      <c r="BL29" s="433">
        <f>TableAFNSchools49[[#This Row],[K4]]+TableAFNSchools49[[#This Row],[K5]]+TableAFNSchools49[[#This Row],[Gr1]]+TableAFNSchools49[[#This Row],[Gr2]]+TableAFNSchools49[[#This Row],[Gr3]]+TableAFNSchools49[[#This Row],[Ungrd. Elem.]]</f>
        <v>5</v>
      </c>
      <c r="BM29" s="433">
        <f>TableAFNSchools49[[#This Row],[Gr4]]+TableAFNSchools49[[#This Row],[Gr5]]+TableAFNSchools49[[#This Row],[Gr6]]</f>
        <v>0</v>
      </c>
      <c r="BN29" s="433">
        <f>TableAFNSchools49[[#This Row],[Gr7]]+TableAFNSchools49[[#This Row],[Gr8]]</f>
        <v>0</v>
      </c>
      <c r="BO29"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29"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29"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R29" s="425" t="s">
        <v>451</v>
      </c>
      <c r="BS29" s="425" t="s">
        <v>1224</v>
      </c>
      <c r="BT29" s="425" t="s">
        <v>1254</v>
      </c>
      <c r="BU29" s="425" t="str">
        <f>IF(TableAFNSchools49[[#This Row],[K4]]=TableAFNSchools49[[#This Row],[K4 H]],"Full-Day",IF(TableAFNSchools49[[#This Row],[K4]]&lt;TableAFNSchools49[[#This Row],[K4 H]],"Half-Day","None"))</f>
        <v>Full-Day</v>
      </c>
      <c r="BV29" s="425" t="str">
        <f>IF(TableAFNSchools49[[#This Row],[K5]]=TableAFNSchools49[[#This Row],[K5 H]],"Full-Day",IF(TableAFNSchools49[[#This Row],[K5]]=0,"None","Half-Day"))</f>
        <v>Full-Day</v>
      </c>
      <c r="BW29" s="425" t="s">
        <v>473</v>
      </c>
      <c r="BZ29" s="425" t="s">
        <v>1228</v>
      </c>
      <c r="CB29" s="425">
        <v>49.945613999999999</v>
      </c>
      <c r="CC29" s="425">
        <v>-98.349721000000002</v>
      </c>
      <c r="CK29" s="427"/>
      <c r="CL29" s="435"/>
      <c r="CN29" s="427">
        <v>91</v>
      </c>
      <c r="CO29" s="427"/>
      <c r="CQ29" s="425">
        <v>0.12</v>
      </c>
      <c r="CR29" s="436">
        <f>(TableAFNSchools49[[#This Row],[Remoteness Index (According to the BCM)]]/2)+1</f>
        <v>1.06</v>
      </c>
      <c r="CS29" s="437">
        <v>80</v>
      </c>
      <c r="CT29" s="438"/>
      <c r="CW29" s="436"/>
      <c r="CX29" s="439"/>
    </row>
    <row r="30" spans="1:114" s="425" customFormat="1" ht="15">
      <c r="A30" s="970">
        <v>288</v>
      </c>
      <c r="B30" s="425" t="s">
        <v>398</v>
      </c>
      <c r="C30" s="427" t="s">
        <v>1287</v>
      </c>
      <c r="D30" s="425" t="s">
        <v>399</v>
      </c>
      <c r="E30" s="428">
        <v>6</v>
      </c>
      <c r="F30" s="428">
        <v>6</v>
      </c>
      <c r="G30" s="428">
        <v>11</v>
      </c>
      <c r="H30" s="428">
        <v>7</v>
      </c>
      <c r="I30" s="428">
        <v>12</v>
      </c>
      <c r="J30" s="428">
        <v>12</v>
      </c>
      <c r="K30" s="428">
        <v>3</v>
      </c>
      <c r="L30" s="428">
        <v>17</v>
      </c>
      <c r="M30" s="428">
        <v>10</v>
      </c>
      <c r="N30" s="428">
        <v>6</v>
      </c>
      <c r="O30" s="428"/>
      <c r="P30" s="428"/>
      <c r="Q30" s="428"/>
      <c r="R30" s="428"/>
      <c r="S30" s="428"/>
      <c r="T30" s="428"/>
      <c r="U30" s="971">
        <f>SUM(TableAFNSchools49[[#This Row],[K4]:[Ungrd. Sec.]])</f>
        <v>90</v>
      </c>
      <c r="V30" s="428"/>
      <c r="W30" s="428"/>
      <c r="X30" s="428"/>
      <c r="Y30" s="428"/>
      <c r="Z30" s="428"/>
      <c r="AA30" s="429">
        <f>SUM(TableAFNSchools49[[#This Row],[FTE &lt;22 Total]:[Ungrd. Sec. 22+]])</f>
        <v>90</v>
      </c>
      <c r="AB30" s="425">
        <v>6</v>
      </c>
      <c r="AC30" s="425">
        <v>6</v>
      </c>
      <c r="AD30" s="425">
        <v>11</v>
      </c>
      <c r="AE30" s="425">
        <v>7</v>
      </c>
      <c r="AF30" s="425">
        <v>12</v>
      </c>
      <c r="AG30" s="425">
        <v>12</v>
      </c>
      <c r="AH30" s="425">
        <v>3</v>
      </c>
      <c r="AI30" s="425">
        <v>17</v>
      </c>
      <c r="AJ30" s="425">
        <v>10</v>
      </c>
      <c r="AK30" s="425">
        <v>6</v>
      </c>
      <c r="AR30" s="430">
        <f>SUM(TableAFNSchools49[[#This Row],[K4 H]:[Ugrd. Sec. H]])</f>
        <v>90</v>
      </c>
      <c r="AX30" s="430">
        <f t="shared" si="9"/>
        <v>90</v>
      </c>
      <c r="AY30" s="425">
        <f t="shared" ref="AY30:AY35" si="16">SUM(E30:O30)</f>
        <v>90</v>
      </c>
      <c r="AZ30" s="428">
        <f t="shared" ref="AZ30:AZ35" si="17">SUM(P30:T30,V30:Z30)</f>
        <v>0</v>
      </c>
      <c r="BA30" s="431">
        <f t="shared" ref="BA30:BA35" si="18">SUM(AY30:AZ30)</f>
        <v>90</v>
      </c>
      <c r="BB30" s="425">
        <f>TableAFNSchools49[[#This Row],[Gr9]]+TableAFNSchools49[[#This Row],[Gr9 22+]]</f>
        <v>0</v>
      </c>
      <c r="BC30" s="425">
        <f>TableAFNSchools49[[#This Row],[Gr10]]+TableAFNSchools49[[#This Row],[Gr10 22+]]</f>
        <v>0</v>
      </c>
      <c r="BD30" s="425">
        <f>TableAFNSchools49[[#This Row],[Gr11]]+TableAFNSchools49[[#This Row],[Gr11 22+]]</f>
        <v>0</v>
      </c>
      <c r="BE30" s="425">
        <f>TableAFNSchools49[[#This Row],[Gr12]]+TableAFNSchools49[[#This Row],[Gr12 22+]]</f>
        <v>0</v>
      </c>
      <c r="BF30" s="425">
        <f>COUNTIF(TableAFNSchools49[[#This Row],[K4]:[Gr8]],"&gt;0")</f>
        <v>10</v>
      </c>
      <c r="BG30" s="425">
        <f>COUNTIF(TableAFNSchools49[[#This Row],[Gr9 FTE Sum]:[Gr12 FTE Sum]],"&gt;0")</f>
        <v>0</v>
      </c>
      <c r="BH30" s="432">
        <f t="shared" si="13"/>
        <v>10</v>
      </c>
      <c r="BI30" s="433">
        <f t="shared" ref="BI30:BI35" si="19">IFERROR(AY30/BF30,0)</f>
        <v>9</v>
      </c>
      <c r="BJ30" s="433">
        <f t="shared" ref="BJ30:BJ35" si="20">IFERROR(AZ30/BG30,0)</f>
        <v>0</v>
      </c>
      <c r="BK30" s="433">
        <f t="shared" ref="BK30:BK35" si="21">BA30/BH30</f>
        <v>9</v>
      </c>
      <c r="BL30" s="433">
        <f>TableAFNSchools49[[#This Row],[K4]]+TableAFNSchools49[[#This Row],[K5]]+TableAFNSchools49[[#This Row],[Gr1]]+TableAFNSchools49[[#This Row],[Gr2]]+TableAFNSchools49[[#This Row],[Gr3]]+TableAFNSchools49[[#This Row],[Ungrd. Elem.]]</f>
        <v>42</v>
      </c>
      <c r="BM30" s="433">
        <f>TableAFNSchools49[[#This Row],[Gr4]]+TableAFNSchools49[[#This Row],[Gr5]]+TableAFNSchools49[[#This Row],[Gr6]]</f>
        <v>32</v>
      </c>
      <c r="BN30" s="433">
        <f>TableAFNSchools49[[#This Row],[Gr7]]+TableAFNSchools49[[#This Row],[Gr8]]</f>
        <v>16</v>
      </c>
      <c r="BO30"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0"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0"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16</v>
      </c>
      <c r="BR30" s="425" t="s">
        <v>451</v>
      </c>
      <c r="BS30" s="425" t="s">
        <v>1224</v>
      </c>
      <c r="BT30" s="425" t="s">
        <v>1164</v>
      </c>
      <c r="BU30" s="425" t="str">
        <f>IF(TableAFNSchools49[[#This Row],[K4]]=TableAFNSchools49[[#This Row],[K4 H]],"Full-Day",IF(TableAFNSchools49[[#This Row],[K4]]&lt;TableAFNSchools49[[#This Row],[K4 H]],"Half-Day","None"))</f>
        <v>Full-Day</v>
      </c>
      <c r="BV30" s="425" t="str">
        <f>IF(TableAFNSchools49[[#This Row],[K5]]=TableAFNSchools49[[#This Row],[K5 H]],"Full-Day",IF(TableAFNSchools49[[#This Row],[K5]]=0,"None","Half-Day"))</f>
        <v>Full-Day</v>
      </c>
      <c r="BW30" s="425" t="s">
        <v>473</v>
      </c>
      <c r="BX30" s="425" t="s">
        <v>1255</v>
      </c>
      <c r="BY30" s="425" t="s">
        <v>1256</v>
      </c>
      <c r="BZ30" s="425" t="s">
        <v>1228</v>
      </c>
      <c r="CA30" s="425" t="s">
        <v>1257</v>
      </c>
      <c r="CB30" s="425">
        <v>49.818753999999998</v>
      </c>
      <c r="CC30" s="425">
        <v>-98.520718000000002</v>
      </c>
      <c r="CD30" s="425" t="s">
        <v>1242</v>
      </c>
      <c r="CE30" s="425">
        <v>2829</v>
      </c>
      <c r="CF30" s="425">
        <v>4609026</v>
      </c>
      <c r="CG30" s="425" t="s">
        <v>1258</v>
      </c>
      <c r="CH30" s="425" t="s">
        <v>1232</v>
      </c>
      <c r="CI30" s="425">
        <v>5723238</v>
      </c>
      <c r="CJ30" s="425">
        <v>1485021</v>
      </c>
      <c r="CK30" s="427">
        <v>210</v>
      </c>
      <c r="CL30" s="435">
        <v>1</v>
      </c>
      <c r="CM30" s="425" t="s">
        <v>1233</v>
      </c>
      <c r="CN30" s="427">
        <v>122</v>
      </c>
      <c r="CO30" s="427" t="s">
        <v>1234</v>
      </c>
      <c r="CP30" s="425" t="s">
        <v>856</v>
      </c>
      <c r="CQ30" s="425">
        <v>0.12</v>
      </c>
      <c r="CR30" s="436">
        <v>1.06</v>
      </c>
      <c r="CS30" s="437">
        <v>1385</v>
      </c>
      <c r="CT30" s="438">
        <v>115</v>
      </c>
      <c r="CU30" s="425">
        <v>5.3010000000000002</v>
      </c>
      <c r="CV30" s="425">
        <v>82</v>
      </c>
      <c r="CW30" s="436">
        <f t="shared" ref="CW30:CW35" si="22">CV30/CU30</f>
        <v>15.468779475570647</v>
      </c>
      <c r="CX30" s="439">
        <f>TableAFNSchools49[[#Totals],[Total Funded FTE]]/'F1. Prov School Area 1617'!$H$47</f>
        <v>2.8166780116673893E-3</v>
      </c>
    </row>
    <row r="31" spans="1:114" s="425" customFormat="1" ht="15">
      <c r="A31" s="970">
        <v>261</v>
      </c>
      <c r="B31" s="425" t="s">
        <v>400</v>
      </c>
      <c r="C31" s="427" t="s">
        <v>1288</v>
      </c>
      <c r="D31" s="425" t="s">
        <v>401</v>
      </c>
      <c r="E31" s="428">
        <v>8</v>
      </c>
      <c r="F31" s="428">
        <v>13</v>
      </c>
      <c r="G31" s="428">
        <v>4</v>
      </c>
      <c r="H31" s="428">
        <v>13</v>
      </c>
      <c r="I31" s="428">
        <v>8</v>
      </c>
      <c r="J31" s="428">
        <v>14</v>
      </c>
      <c r="K31" s="428">
        <v>7</v>
      </c>
      <c r="L31" s="428">
        <v>12</v>
      </c>
      <c r="M31" s="428">
        <v>10</v>
      </c>
      <c r="N31" s="428">
        <v>9</v>
      </c>
      <c r="O31" s="428"/>
      <c r="P31" s="428">
        <v>10</v>
      </c>
      <c r="Q31" s="428"/>
      <c r="R31" s="428"/>
      <c r="S31" s="428"/>
      <c r="T31" s="428"/>
      <c r="U31" s="971">
        <f>SUM(TableAFNSchools49[[#This Row],[K4]:[Ungrd. Sec.]])</f>
        <v>108</v>
      </c>
      <c r="V31" s="428"/>
      <c r="W31" s="428"/>
      <c r="X31" s="428"/>
      <c r="Y31" s="428"/>
      <c r="Z31" s="428"/>
      <c r="AA31" s="429">
        <f>SUM(TableAFNSchools49[[#This Row],[FTE &lt;22 Total]:[Ungrd. Sec. 22+]])</f>
        <v>108</v>
      </c>
      <c r="AB31" s="425">
        <v>8</v>
      </c>
      <c r="AC31" s="425">
        <v>13</v>
      </c>
      <c r="AD31" s="425">
        <v>4</v>
      </c>
      <c r="AE31" s="425">
        <v>13</v>
      </c>
      <c r="AF31" s="425">
        <v>8</v>
      </c>
      <c r="AG31" s="425">
        <v>14</v>
      </c>
      <c r="AH31" s="425">
        <v>7</v>
      </c>
      <c r="AI31" s="425">
        <v>12</v>
      </c>
      <c r="AJ31" s="425">
        <v>10</v>
      </c>
      <c r="AK31" s="425">
        <v>9</v>
      </c>
      <c r="AM31" s="425">
        <v>10</v>
      </c>
      <c r="AR31" s="430">
        <f>SUM(TableAFNSchools49[[#This Row],[K4 H]:[Ugrd. Sec. H]])</f>
        <v>108</v>
      </c>
      <c r="AX31" s="430">
        <f t="shared" si="9"/>
        <v>108</v>
      </c>
      <c r="AY31" s="428">
        <f t="shared" si="16"/>
        <v>98</v>
      </c>
      <c r="AZ31" s="428">
        <f t="shared" si="17"/>
        <v>10</v>
      </c>
      <c r="BA31" s="431">
        <f t="shared" si="18"/>
        <v>108</v>
      </c>
      <c r="BB31" s="425">
        <f>TableAFNSchools49[[#This Row],[Gr9]]+TableAFNSchools49[[#This Row],[Gr9 22+]]</f>
        <v>10</v>
      </c>
      <c r="BC31" s="425">
        <f>TableAFNSchools49[[#This Row],[Gr10]]+TableAFNSchools49[[#This Row],[Gr10 22+]]</f>
        <v>0</v>
      </c>
      <c r="BD31" s="425">
        <f>TableAFNSchools49[[#This Row],[Gr11]]+TableAFNSchools49[[#This Row],[Gr11 22+]]</f>
        <v>0</v>
      </c>
      <c r="BE31" s="425">
        <f>TableAFNSchools49[[#This Row],[Gr12]]+TableAFNSchools49[[#This Row],[Gr12 22+]]</f>
        <v>0</v>
      </c>
      <c r="BF31" s="425">
        <f>COUNTIF(TableAFNSchools49[[#This Row],[K4]:[Gr8]],"&gt;0")</f>
        <v>10</v>
      </c>
      <c r="BG31" s="425">
        <f>COUNTIF(TableAFNSchools49[[#This Row],[Gr9 FTE Sum]:[Gr12 FTE Sum]],"&gt;0")</f>
        <v>1</v>
      </c>
      <c r="BH31" s="432">
        <f t="shared" si="13"/>
        <v>11</v>
      </c>
      <c r="BI31" s="433">
        <f t="shared" si="19"/>
        <v>9.8000000000000007</v>
      </c>
      <c r="BJ31" s="433">
        <f t="shared" si="20"/>
        <v>10</v>
      </c>
      <c r="BK31" s="433">
        <f t="shared" si="21"/>
        <v>9.8181818181818183</v>
      </c>
      <c r="BL31" s="433">
        <f>TableAFNSchools49[[#This Row],[K4]]+TableAFNSchools49[[#This Row],[K5]]+TableAFNSchools49[[#This Row],[Gr1]]+TableAFNSchools49[[#This Row],[Gr2]]+TableAFNSchools49[[#This Row],[Gr3]]+TableAFNSchools49[[#This Row],[Ungrd. Elem.]]</f>
        <v>46</v>
      </c>
      <c r="BM31" s="433">
        <f>TableAFNSchools49[[#This Row],[Gr4]]+TableAFNSchools49[[#This Row],[Gr5]]+TableAFNSchools49[[#This Row],[Gr6]]</f>
        <v>33</v>
      </c>
      <c r="BN31" s="433">
        <f>TableAFNSchools49[[#This Row],[Gr7]]+TableAFNSchools49[[#This Row],[Gr8]]</f>
        <v>19</v>
      </c>
      <c r="BO31"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10</v>
      </c>
      <c r="BP31"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10</v>
      </c>
      <c r="BQ31"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29</v>
      </c>
      <c r="BR31" s="425" t="s">
        <v>443</v>
      </c>
      <c r="BS31" s="425" t="s">
        <v>1224</v>
      </c>
      <c r="BT31" s="425" t="s">
        <v>1225</v>
      </c>
      <c r="BU31" s="425" t="str">
        <f>IF(TableAFNSchools49[[#This Row],[K4]]=TableAFNSchools49[[#This Row],[K4 H]],"Full-Day",IF(TableAFNSchools49[[#This Row],[K4]]&lt;TableAFNSchools49[[#This Row],[K4 H]],"Half-Day","None"))</f>
        <v>Full-Day</v>
      </c>
      <c r="BV31" s="425" t="str">
        <f>IF(TableAFNSchools49[[#This Row],[K5]]=TableAFNSchools49[[#This Row],[K5 H]],"Full-Day",IF(TableAFNSchools49[[#This Row],[K5]]=0,"None","Half-Day"))</f>
        <v>Full-Day</v>
      </c>
      <c r="BW31" s="425" t="s">
        <v>473</v>
      </c>
      <c r="BX31" s="425" t="s">
        <v>1259</v>
      </c>
      <c r="BY31" s="425" t="s">
        <v>1260</v>
      </c>
      <c r="BZ31" s="425" t="s">
        <v>1228</v>
      </c>
      <c r="CA31" s="425" t="s">
        <v>1261</v>
      </c>
      <c r="CB31" s="425">
        <v>50.366585999999998</v>
      </c>
      <c r="CC31" s="425">
        <v>-96.611457999999999</v>
      </c>
      <c r="CD31" s="425" t="s">
        <v>1242</v>
      </c>
      <c r="CE31" s="425">
        <v>2846</v>
      </c>
      <c r="CF31" s="425">
        <v>4613062</v>
      </c>
      <c r="CG31" s="425" t="s">
        <v>1262</v>
      </c>
      <c r="CH31" s="425" t="s">
        <v>1232</v>
      </c>
      <c r="CI31" s="425">
        <v>5863841</v>
      </c>
      <c r="CJ31" s="425">
        <v>1534923</v>
      </c>
      <c r="CK31" s="427">
        <v>204</v>
      </c>
      <c r="CL31" s="435">
        <v>2</v>
      </c>
      <c r="CM31" s="425" t="s">
        <v>1233</v>
      </c>
      <c r="CN31" s="427">
        <v>72</v>
      </c>
      <c r="CO31" s="427" t="s">
        <v>1234</v>
      </c>
      <c r="CP31" s="425" t="s">
        <v>1233</v>
      </c>
      <c r="CQ31" s="425">
        <v>0.22</v>
      </c>
      <c r="CR31" s="436">
        <v>1.1100000000000001</v>
      </c>
      <c r="CS31" s="437">
        <v>1312</v>
      </c>
      <c r="CT31" s="438">
        <v>470</v>
      </c>
      <c r="CU31" s="425">
        <v>56.878</v>
      </c>
      <c r="CV31" s="425">
        <v>156</v>
      </c>
      <c r="CW31" s="436">
        <f t="shared" si="22"/>
        <v>2.7427124723091527</v>
      </c>
      <c r="CX31" s="439">
        <f>TableAFNSchools49[[#Totals],[Total Funded FTE]]/'F1. Prov School Area 1617'!$H$47</f>
        <v>2.8166780116673893E-3</v>
      </c>
    </row>
    <row r="32" spans="1:114" s="425" customFormat="1" ht="15">
      <c r="A32" s="970">
        <v>261</v>
      </c>
      <c r="B32" s="425" t="s">
        <v>400</v>
      </c>
      <c r="C32" s="427" t="s">
        <v>1289</v>
      </c>
      <c r="D32" s="425" t="s">
        <v>408</v>
      </c>
      <c r="E32" s="428"/>
      <c r="F32" s="428"/>
      <c r="G32" s="428"/>
      <c r="H32" s="428"/>
      <c r="I32" s="428"/>
      <c r="J32" s="428"/>
      <c r="K32" s="428"/>
      <c r="L32" s="428"/>
      <c r="M32" s="428"/>
      <c r="N32" s="428"/>
      <c r="O32" s="428"/>
      <c r="P32" s="428"/>
      <c r="Q32" s="428"/>
      <c r="R32" s="428"/>
      <c r="S32" s="428">
        <v>6</v>
      </c>
      <c r="T32" s="428"/>
      <c r="U32" s="971">
        <f>SUM(TableAFNSchools49[[#This Row],[K4]:[Ungrd. Sec.]])</f>
        <v>6</v>
      </c>
      <c r="V32" s="428"/>
      <c r="W32" s="428"/>
      <c r="X32" s="428"/>
      <c r="Y32" s="428">
        <v>29</v>
      </c>
      <c r="Z32" s="428"/>
      <c r="AA32" s="429">
        <f>SUM(TableAFNSchools49[[#This Row],[FTE &lt;22 Total]:[Ungrd. Sec. 22+]])</f>
        <v>35</v>
      </c>
      <c r="AB32" s="449"/>
      <c r="AC32" s="449"/>
      <c r="AD32" s="449"/>
      <c r="AE32" s="449"/>
      <c r="AF32" s="449"/>
      <c r="AG32" s="449"/>
      <c r="AH32" s="449"/>
      <c r="AI32" s="449"/>
      <c r="AJ32" s="449"/>
      <c r="AK32" s="449"/>
      <c r="AL32" s="449"/>
      <c r="AM32" s="449"/>
      <c r="AN32" s="449"/>
      <c r="AO32" s="449"/>
      <c r="AP32" s="449">
        <v>6</v>
      </c>
      <c r="AQ32" s="449"/>
      <c r="AR32" s="430">
        <f>SUM(TableAFNSchools49[[#This Row],[K4 H]:[Ugrd. Sec. H]])</f>
        <v>6</v>
      </c>
      <c r="AV32" s="425">
        <v>29</v>
      </c>
      <c r="AX32" s="430">
        <f t="shared" si="9"/>
        <v>35</v>
      </c>
      <c r="AY32" s="428">
        <f t="shared" si="16"/>
        <v>0</v>
      </c>
      <c r="AZ32" s="428">
        <f t="shared" si="17"/>
        <v>35</v>
      </c>
      <c r="BA32" s="431">
        <f t="shared" si="18"/>
        <v>35</v>
      </c>
      <c r="BB32" s="425">
        <f>TableAFNSchools49[[#This Row],[Gr9]]+TableAFNSchools49[[#This Row],[Gr9 22+]]</f>
        <v>0</v>
      </c>
      <c r="BC32" s="425">
        <f>TableAFNSchools49[[#This Row],[Gr10]]+TableAFNSchools49[[#This Row],[Gr10 22+]]</f>
        <v>0</v>
      </c>
      <c r="BD32" s="425">
        <f>TableAFNSchools49[[#This Row],[Gr11]]+TableAFNSchools49[[#This Row],[Gr11 22+]]</f>
        <v>0</v>
      </c>
      <c r="BE32" s="425">
        <f>TableAFNSchools49[[#This Row],[Gr12]]+TableAFNSchools49[[#This Row],[Gr12 22+]]</f>
        <v>35</v>
      </c>
      <c r="BF32" s="425">
        <f>COUNTIF(TableAFNSchools49[[#This Row],[K4]:[Gr8]],"&gt;0")</f>
        <v>0</v>
      </c>
      <c r="BG32" s="425">
        <f>COUNTIF(TableAFNSchools49[[#This Row],[Gr9 FTE Sum]:[Gr12 FTE Sum]],"&gt;0")</f>
        <v>1</v>
      </c>
      <c r="BH32" s="432">
        <f t="shared" si="13"/>
        <v>1</v>
      </c>
      <c r="BI32" s="433">
        <f t="shared" si="19"/>
        <v>0</v>
      </c>
      <c r="BJ32" s="433">
        <f t="shared" si="20"/>
        <v>35</v>
      </c>
      <c r="BK32" s="433">
        <f t="shared" si="21"/>
        <v>35</v>
      </c>
      <c r="BL32" s="433">
        <f>TableAFNSchools49[[#This Row],[K4]]+TableAFNSchools49[[#This Row],[K5]]+TableAFNSchools49[[#This Row],[Gr1]]+TableAFNSchools49[[#This Row],[Gr2]]+TableAFNSchools49[[#This Row],[Gr3]]+TableAFNSchools49[[#This Row],[Ungrd. Elem.]]</f>
        <v>0</v>
      </c>
      <c r="BM32" s="433">
        <f>TableAFNSchools49[[#This Row],[Gr4]]+TableAFNSchools49[[#This Row],[Gr5]]+TableAFNSchools49[[#This Row],[Gr6]]</f>
        <v>0</v>
      </c>
      <c r="BN32" s="433">
        <f>TableAFNSchools49[[#This Row],[Gr7]]+TableAFNSchools49[[#This Row],[Gr8]]</f>
        <v>0</v>
      </c>
      <c r="BO32"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35</v>
      </c>
      <c r="BP32"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35</v>
      </c>
      <c r="BQ32"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35</v>
      </c>
      <c r="BR32" s="425" t="s">
        <v>443</v>
      </c>
      <c r="BS32" s="425" t="s">
        <v>1224</v>
      </c>
      <c r="BT32" s="425" t="s">
        <v>1274</v>
      </c>
      <c r="BU32" s="425" t="str">
        <f>IF(TableAFNSchools49[[#This Row],[K4]]=TableAFNSchools49[[#This Row],[K4 H]],"Full-Day",IF(TableAFNSchools49[[#This Row],[K4]]&lt;TableAFNSchools49[[#This Row],[K4 H]],"Half-Day","None"))</f>
        <v>Full-Day</v>
      </c>
      <c r="BV32" s="425" t="str">
        <f>IF(TableAFNSchools49[[#This Row],[K5]]=TableAFNSchools49[[#This Row],[K5 H]],"Full-Day",IF(TableAFNSchools49[[#This Row],[K5]]=0,"None","Half-Day"))</f>
        <v>Full-Day</v>
      </c>
      <c r="BW32" s="425" t="s">
        <v>473</v>
      </c>
      <c r="BX32" s="425" t="s">
        <v>1259</v>
      </c>
      <c r="BY32" s="425" t="s">
        <v>1260</v>
      </c>
      <c r="BZ32" s="425" t="s">
        <v>1228</v>
      </c>
      <c r="CA32" s="425" t="s">
        <v>1261</v>
      </c>
      <c r="CB32" s="425">
        <v>50.366585999999998</v>
      </c>
      <c r="CC32" s="425">
        <v>-96.611457999999999</v>
      </c>
      <c r="CD32" s="425" t="s">
        <v>1242</v>
      </c>
      <c r="CE32" s="425">
        <v>2846</v>
      </c>
      <c r="CF32" s="425">
        <v>4613062</v>
      </c>
      <c r="CG32" s="425" t="s">
        <v>1262</v>
      </c>
      <c r="CH32" s="425" t="s">
        <v>1232</v>
      </c>
      <c r="CI32" s="425">
        <v>5863841</v>
      </c>
      <c r="CJ32" s="425">
        <v>1534923</v>
      </c>
      <c r="CK32" s="427">
        <v>204</v>
      </c>
      <c r="CL32" s="435">
        <v>2</v>
      </c>
      <c r="CM32" s="425" t="s">
        <v>1233</v>
      </c>
      <c r="CN32" s="427">
        <v>72</v>
      </c>
      <c r="CO32" s="427" t="s">
        <v>1234</v>
      </c>
      <c r="CP32" s="425" t="s">
        <v>1233</v>
      </c>
      <c r="CQ32" s="425">
        <v>0.22</v>
      </c>
      <c r="CR32" s="436">
        <v>1.1100000000000001</v>
      </c>
      <c r="CS32" s="437">
        <v>0</v>
      </c>
      <c r="CT32" s="438">
        <v>470</v>
      </c>
      <c r="CU32" s="425">
        <v>56.878</v>
      </c>
      <c r="CV32" s="425">
        <v>156</v>
      </c>
      <c r="CW32" s="436">
        <f t="shared" si="22"/>
        <v>2.7427124723091527</v>
      </c>
      <c r="CX32" s="439">
        <f>TableAFNSchools49[[#Totals],[Total Funded FTE]]/'F1. Prov School Area 1617'!$H$47</f>
        <v>2.8166780116673893E-3</v>
      </c>
    </row>
    <row r="33" spans="1:110" s="425" customFormat="1" ht="15">
      <c r="A33" s="970">
        <v>273</v>
      </c>
      <c r="B33" s="425" t="s">
        <v>402</v>
      </c>
      <c r="C33" s="427" t="s">
        <v>1290</v>
      </c>
      <c r="D33" s="425" t="s">
        <v>403</v>
      </c>
      <c r="E33" s="428">
        <v>20</v>
      </c>
      <c r="F33" s="428">
        <v>9</v>
      </c>
      <c r="G33" s="428">
        <v>19</v>
      </c>
      <c r="H33" s="428">
        <v>17</v>
      </c>
      <c r="I33" s="428">
        <v>23</v>
      </c>
      <c r="J33" s="428">
        <v>12</v>
      </c>
      <c r="K33" s="428">
        <v>11</v>
      </c>
      <c r="L33" s="428">
        <v>15</v>
      </c>
      <c r="M33" s="428">
        <v>13</v>
      </c>
      <c r="N33" s="428">
        <v>10</v>
      </c>
      <c r="O33" s="428"/>
      <c r="P33" s="428"/>
      <c r="Q33" s="428"/>
      <c r="R33" s="428"/>
      <c r="S33" s="428"/>
      <c r="T33" s="428"/>
      <c r="U33" s="971">
        <f>SUM(TableAFNSchools49[[#This Row],[K4]:[Ungrd. Sec.]])</f>
        <v>149</v>
      </c>
      <c r="V33" s="428"/>
      <c r="W33" s="428"/>
      <c r="X33" s="428"/>
      <c r="Y33" s="428"/>
      <c r="Z33" s="428"/>
      <c r="AA33" s="429">
        <f>SUM(TableAFNSchools49[[#This Row],[FTE &lt;22 Total]:[Ungrd. Sec. 22+]])</f>
        <v>149</v>
      </c>
      <c r="AB33" s="425">
        <v>20</v>
      </c>
      <c r="AC33" s="425">
        <v>9</v>
      </c>
      <c r="AD33" s="425">
        <v>19</v>
      </c>
      <c r="AE33" s="425">
        <v>17</v>
      </c>
      <c r="AF33" s="425">
        <v>23</v>
      </c>
      <c r="AG33" s="425">
        <v>12</v>
      </c>
      <c r="AH33" s="425">
        <v>11</v>
      </c>
      <c r="AI33" s="425">
        <v>15</v>
      </c>
      <c r="AJ33" s="425">
        <v>13</v>
      </c>
      <c r="AK33" s="425">
        <v>10</v>
      </c>
      <c r="AR33" s="430">
        <f>SUM(TableAFNSchools49[[#This Row],[K4 H]:[Ugrd. Sec. H]])</f>
        <v>149</v>
      </c>
      <c r="AX33" s="430">
        <f t="shared" si="9"/>
        <v>149</v>
      </c>
      <c r="AY33" s="425">
        <f t="shared" si="16"/>
        <v>149</v>
      </c>
      <c r="AZ33" s="428">
        <f t="shared" si="17"/>
        <v>0</v>
      </c>
      <c r="BA33" s="431">
        <f t="shared" si="18"/>
        <v>149</v>
      </c>
      <c r="BB33" s="425">
        <f>TableAFNSchools49[[#This Row],[Gr9]]+TableAFNSchools49[[#This Row],[Gr9 22+]]</f>
        <v>0</v>
      </c>
      <c r="BC33" s="425">
        <f>TableAFNSchools49[[#This Row],[Gr10]]+TableAFNSchools49[[#This Row],[Gr10 22+]]</f>
        <v>0</v>
      </c>
      <c r="BD33" s="425">
        <f>TableAFNSchools49[[#This Row],[Gr11]]+TableAFNSchools49[[#This Row],[Gr11 22+]]</f>
        <v>0</v>
      </c>
      <c r="BE33" s="425">
        <f>TableAFNSchools49[[#This Row],[Gr12]]+TableAFNSchools49[[#This Row],[Gr12 22+]]</f>
        <v>0</v>
      </c>
      <c r="BF33" s="425">
        <f>COUNTIF(TableAFNSchools49[[#This Row],[K4]:[Gr8]],"&gt;0")</f>
        <v>10</v>
      </c>
      <c r="BG33" s="425">
        <f>COUNTIF(TableAFNSchools49[[#This Row],[Gr9 FTE Sum]:[Gr12 FTE Sum]],"&gt;0")</f>
        <v>0</v>
      </c>
      <c r="BH33" s="432">
        <f t="shared" si="13"/>
        <v>10</v>
      </c>
      <c r="BI33" s="433">
        <f t="shared" si="19"/>
        <v>14.9</v>
      </c>
      <c r="BJ33" s="433">
        <f t="shared" si="20"/>
        <v>0</v>
      </c>
      <c r="BK33" s="433">
        <f t="shared" si="21"/>
        <v>14.9</v>
      </c>
      <c r="BL33" s="433">
        <f>TableAFNSchools49[[#This Row],[K4]]+TableAFNSchools49[[#This Row],[K5]]+TableAFNSchools49[[#This Row],[Gr1]]+TableAFNSchools49[[#This Row],[Gr2]]+TableAFNSchools49[[#This Row],[Gr3]]+TableAFNSchools49[[#This Row],[Ungrd. Elem.]]</f>
        <v>88</v>
      </c>
      <c r="BM33" s="433">
        <f>TableAFNSchools49[[#This Row],[Gr4]]+TableAFNSchools49[[#This Row],[Gr5]]+TableAFNSchools49[[#This Row],[Gr6]]</f>
        <v>38</v>
      </c>
      <c r="BN33" s="433">
        <f>TableAFNSchools49[[#This Row],[Gr7]]+TableAFNSchools49[[#This Row],[Gr8]]</f>
        <v>23</v>
      </c>
      <c r="BO33"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3"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3"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23</v>
      </c>
      <c r="BR33" s="425" t="s">
        <v>438</v>
      </c>
      <c r="BS33" s="425" t="s">
        <v>1224</v>
      </c>
      <c r="BT33" s="425" t="s">
        <v>1164</v>
      </c>
      <c r="BU33" s="425" t="str">
        <f>IF(TableAFNSchools49[[#This Row],[K4]]=TableAFNSchools49[[#This Row],[K4 H]],"Full-Day",IF(TableAFNSchools49[[#This Row],[K4]]&lt;TableAFNSchools49[[#This Row],[K4 H]],"Half-Day","None"))</f>
        <v>Full-Day</v>
      </c>
      <c r="BV33" s="425" t="str">
        <f>IF(TableAFNSchools49[[#This Row],[K5]]=TableAFNSchools49[[#This Row],[K5 H]],"Full-Day",IF(TableAFNSchools49[[#This Row],[K5]]=0,"None","Half-Day"))</f>
        <v>Full-Day</v>
      </c>
      <c r="BW33" s="425" t="s">
        <v>473</v>
      </c>
      <c r="BX33" s="425" t="s">
        <v>1263</v>
      </c>
      <c r="BY33" s="425" t="s">
        <v>1263</v>
      </c>
      <c r="BZ33" s="425" t="s">
        <v>1228</v>
      </c>
      <c r="CA33" s="425" t="s">
        <v>1263</v>
      </c>
      <c r="CB33" s="425">
        <v>49.133220999999999</v>
      </c>
      <c r="CC33" s="425">
        <v>-97.239776000000006</v>
      </c>
      <c r="CD33" s="425" t="s">
        <v>1242</v>
      </c>
      <c r="CE33" s="425">
        <v>2737</v>
      </c>
      <c r="CF33" s="425">
        <v>4602027</v>
      </c>
      <c r="CG33" s="425" t="s">
        <v>1264</v>
      </c>
      <c r="CH33" s="425" t="s">
        <v>1232</v>
      </c>
      <c r="CI33" s="425">
        <v>5808093</v>
      </c>
      <c r="CJ33" s="425">
        <v>1401198</v>
      </c>
      <c r="CK33" s="427">
        <v>246</v>
      </c>
      <c r="CL33" s="435">
        <v>2</v>
      </c>
      <c r="CM33" s="425" t="s">
        <v>1233</v>
      </c>
      <c r="CN33" s="427">
        <v>100</v>
      </c>
      <c r="CO33" s="427" t="s">
        <v>1265</v>
      </c>
      <c r="CP33" s="425" t="s">
        <v>1233</v>
      </c>
      <c r="CQ33" s="425">
        <v>0.18</v>
      </c>
      <c r="CR33" s="436">
        <v>1.0900000000000001</v>
      </c>
      <c r="CS33" s="437">
        <v>2380</v>
      </c>
      <c r="CT33" s="438">
        <v>695</v>
      </c>
      <c r="CU33" s="425">
        <v>25.774999999999999</v>
      </c>
      <c r="CV33" s="425">
        <v>216</v>
      </c>
      <c r="CW33" s="436">
        <f t="shared" si="22"/>
        <v>8.3802133850630458</v>
      </c>
      <c r="CX33" s="439">
        <f>TableAFNSchools49[[#Totals],[Total Funded FTE]]/'F1. Prov School Area 1617'!$H$47</f>
        <v>2.8166780116673893E-3</v>
      </c>
    </row>
    <row r="34" spans="1:110" s="425" customFormat="1" ht="15">
      <c r="A34" s="970">
        <v>305</v>
      </c>
      <c r="B34" s="425" t="s">
        <v>404</v>
      </c>
      <c r="C34" s="427" t="s">
        <v>1291</v>
      </c>
      <c r="D34" s="425" t="s">
        <v>405</v>
      </c>
      <c r="E34" s="428">
        <v>1</v>
      </c>
      <c r="F34" s="428">
        <v>2</v>
      </c>
      <c r="G34" s="428">
        <v>1</v>
      </c>
      <c r="H34" s="428">
        <v>1</v>
      </c>
      <c r="I34" s="428">
        <v>1</v>
      </c>
      <c r="J34" s="428">
        <v>5</v>
      </c>
      <c r="K34" s="428">
        <v>2</v>
      </c>
      <c r="L34" s="428">
        <v>3</v>
      </c>
      <c r="M34" s="428">
        <v>3</v>
      </c>
      <c r="N34" s="428">
        <v>1</v>
      </c>
      <c r="O34" s="428"/>
      <c r="P34" s="428"/>
      <c r="Q34" s="428"/>
      <c r="R34" s="428"/>
      <c r="S34" s="428"/>
      <c r="T34" s="428"/>
      <c r="U34" s="971">
        <f>SUM(TableAFNSchools49[[#This Row],[K4]:[Ungrd. Sec.]])</f>
        <v>20</v>
      </c>
      <c r="V34" s="428"/>
      <c r="W34" s="428"/>
      <c r="X34" s="428"/>
      <c r="Y34" s="428"/>
      <c r="Z34" s="428"/>
      <c r="AA34" s="429">
        <f>SUM(TableAFNSchools49[[#This Row],[FTE &lt;22 Total]:[Ungrd. Sec. 22+]])</f>
        <v>20</v>
      </c>
      <c r="AB34" s="425">
        <v>2</v>
      </c>
      <c r="AC34" s="425">
        <v>2</v>
      </c>
      <c r="AD34" s="425">
        <v>1</v>
      </c>
      <c r="AE34" s="425">
        <v>1</v>
      </c>
      <c r="AF34" s="425">
        <v>1</v>
      </c>
      <c r="AG34" s="425">
        <v>5</v>
      </c>
      <c r="AH34" s="425">
        <v>2</v>
      </c>
      <c r="AI34" s="425">
        <v>3</v>
      </c>
      <c r="AJ34" s="425">
        <v>3</v>
      </c>
      <c r="AK34" s="425">
        <v>1</v>
      </c>
      <c r="AR34" s="430">
        <f>SUM(TableAFNSchools49[[#This Row],[K4 H]:[Ugrd. Sec. H]])</f>
        <v>21</v>
      </c>
      <c r="AX34" s="430">
        <f t="shared" si="9"/>
        <v>21</v>
      </c>
      <c r="AY34" s="425">
        <f t="shared" si="16"/>
        <v>20</v>
      </c>
      <c r="AZ34" s="428">
        <f t="shared" si="17"/>
        <v>0</v>
      </c>
      <c r="BA34" s="431">
        <f t="shared" si="18"/>
        <v>20</v>
      </c>
      <c r="BB34" s="425">
        <f>TableAFNSchools49[[#This Row],[Gr9]]+TableAFNSchools49[[#This Row],[Gr9 22+]]</f>
        <v>0</v>
      </c>
      <c r="BC34" s="425">
        <f>TableAFNSchools49[[#This Row],[Gr10]]+TableAFNSchools49[[#This Row],[Gr10 22+]]</f>
        <v>0</v>
      </c>
      <c r="BD34" s="425">
        <f>TableAFNSchools49[[#This Row],[Gr11]]+TableAFNSchools49[[#This Row],[Gr11 22+]]</f>
        <v>0</v>
      </c>
      <c r="BE34" s="425">
        <f>TableAFNSchools49[[#This Row],[Gr12]]+TableAFNSchools49[[#This Row],[Gr12 22+]]</f>
        <v>0</v>
      </c>
      <c r="BF34" s="425">
        <f>COUNTIF(TableAFNSchools49[[#This Row],[K4]:[Gr8]],"&gt;0")</f>
        <v>10</v>
      </c>
      <c r="BG34" s="425">
        <f>COUNTIF(TableAFNSchools49[[#This Row],[Gr9 FTE Sum]:[Gr12 FTE Sum]],"&gt;0")</f>
        <v>0</v>
      </c>
      <c r="BH34" s="432">
        <f t="shared" si="13"/>
        <v>10</v>
      </c>
      <c r="BI34" s="433">
        <f t="shared" si="19"/>
        <v>2</v>
      </c>
      <c r="BJ34" s="433">
        <f t="shared" si="20"/>
        <v>0</v>
      </c>
      <c r="BK34" s="433">
        <f t="shared" si="21"/>
        <v>2</v>
      </c>
      <c r="BL34" s="433">
        <f>TableAFNSchools49[[#This Row],[K4]]+TableAFNSchools49[[#This Row],[K5]]+TableAFNSchools49[[#This Row],[Gr1]]+TableAFNSchools49[[#This Row],[Gr2]]+TableAFNSchools49[[#This Row],[Gr3]]+TableAFNSchools49[[#This Row],[Ungrd. Elem.]]</f>
        <v>6</v>
      </c>
      <c r="BM34" s="433">
        <f>TableAFNSchools49[[#This Row],[Gr4]]+TableAFNSchools49[[#This Row],[Gr5]]+TableAFNSchools49[[#This Row],[Gr6]]</f>
        <v>10</v>
      </c>
      <c r="BN34" s="433">
        <f>TableAFNSchools49[[#This Row],[Gr7]]+TableAFNSchools49[[#This Row],[Gr8]]</f>
        <v>4</v>
      </c>
      <c r="BO34"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4"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4"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4</v>
      </c>
      <c r="BR34" s="425" t="s">
        <v>441</v>
      </c>
      <c r="BS34" s="425" t="s">
        <v>1224</v>
      </c>
      <c r="BT34" s="425" t="s">
        <v>1164</v>
      </c>
      <c r="BU34" s="425" t="str">
        <f>IF(TableAFNSchools49[[#This Row],[K4]]=TableAFNSchools49[[#This Row],[K4 H]],"Full-Day",IF(TableAFNSchools49[[#This Row],[K4]]&lt;TableAFNSchools49[[#This Row],[K4 H]],"Half-Day","None"))</f>
        <v>Half-Day</v>
      </c>
      <c r="BV34" s="425" t="str">
        <f>IF(TableAFNSchools49[[#This Row],[K5]]=TableAFNSchools49[[#This Row],[K5 H]],"Full-Day",IF(TableAFNSchools49[[#This Row],[K5]]=0,"None","Half-Day"))</f>
        <v>Full-Day</v>
      </c>
      <c r="BW34" s="425" t="s">
        <v>474</v>
      </c>
      <c r="BX34" s="425" t="s">
        <v>1266</v>
      </c>
      <c r="BY34" s="425" t="s">
        <v>1267</v>
      </c>
      <c r="BZ34" s="425" t="s">
        <v>1228</v>
      </c>
      <c r="CA34" s="425" t="s">
        <v>1268</v>
      </c>
      <c r="CB34" s="425">
        <v>56.34572</v>
      </c>
      <c r="CC34" s="425">
        <v>-94.709654999999998</v>
      </c>
      <c r="CD34" s="425" t="s">
        <v>1242</v>
      </c>
      <c r="CE34" s="425">
        <v>2994</v>
      </c>
      <c r="CF34" s="425">
        <v>4623025</v>
      </c>
      <c r="CG34" s="425" t="s">
        <v>1095</v>
      </c>
      <c r="CH34" s="425" t="s">
        <v>1232</v>
      </c>
      <c r="CI34" s="425">
        <v>6023423</v>
      </c>
      <c r="CJ34" s="425">
        <v>2198424</v>
      </c>
      <c r="CK34" s="427">
        <v>216</v>
      </c>
      <c r="CL34" s="435">
        <v>2</v>
      </c>
      <c r="CM34" s="425" t="s">
        <v>1248</v>
      </c>
      <c r="CN34" s="427">
        <v>1064</v>
      </c>
      <c r="CO34" s="427" t="s">
        <v>1269</v>
      </c>
      <c r="CP34" s="425" t="s">
        <v>1248</v>
      </c>
      <c r="CQ34" s="425">
        <v>0.3</v>
      </c>
      <c r="CR34" s="436">
        <v>1.1499999999999999</v>
      </c>
      <c r="CS34" s="437">
        <v>1416</v>
      </c>
      <c r="CT34" s="438">
        <v>265</v>
      </c>
      <c r="CU34" s="425">
        <v>17.413</v>
      </c>
      <c r="CV34" s="425">
        <v>53</v>
      </c>
      <c r="CW34" s="436">
        <f t="shared" si="22"/>
        <v>3.0437029805317866</v>
      </c>
      <c r="CX34" s="439">
        <f>TableAFNSchools49[[#Totals],[Total Funded FTE]]/'F1. Prov School Area 1617'!$H$47</f>
        <v>2.8166780116673893E-3</v>
      </c>
    </row>
    <row r="35" spans="1:110" s="425" customFormat="1" ht="15">
      <c r="A35" s="970">
        <v>286</v>
      </c>
      <c r="B35" s="425" t="s">
        <v>406</v>
      </c>
      <c r="C35" s="427" t="s">
        <v>1292</v>
      </c>
      <c r="D35" s="425" t="s">
        <v>407</v>
      </c>
      <c r="E35" s="428">
        <v>9</v>
      </c>
      <c r="F35" s="428">
        <v>15</v>
      </c>
      <c r="G35" s="428">
        <v>7</v>
      </c>
      <c r="H35" s="428">
        <v>10</v>
      </c>
      <c r="I35" s="428">
        <v>10</v>
      </c>
      <c r="J35" s="428">
        <v>8</v>
      </c>
      <c r="K35" s="428">
        <v>9</v>
      </c>
      <c r="L35" s="428">
        <v>7</v>
      </c>
      <c r="M35" s="428">
        <v>9</v>
      </c>
      <c r="N35" s="428">
        <v>6</v>
      </c>
      <c r="O35" s="428"/>
      <c r="P35" s="428"/>
      <c r="Q35" s="428"/>
      <c r="R35" s="428"/>
      <c r="S35" s="428"/>
      <c r="T35" s="428"/>
      <c r="U35" s="971">
        <f>SUM(TableAFNSchools49[[#This Row],[K4]:[Ungrd. Sec.]])</f>
        <v>90</v>
      </c>
      <c r="V35" s="428"/>
      <c r="W35" s="428"/>
      <c r="X35" s="428"/>
      <c r="Y35" s="428"/>
      <c r="Z35" s="428"/>
      <c r="AA35" s="429">
        <f>SUM(TableAFNSchools49[[#This Row],[FTE &lt;22 Total]:[Ungrd. Sec. 22+]])</f>
        <v>90</v>
      </c>
      <c r="AB35" s="425">
        <v>9</v>
      </c>
      <c r="AC35" s="425">
        <v>15</v>
      </c>
      <c r="AD35" s="425">
        <v>7</v>
      </c>
      <c r="AE35" s="425">
        <v>10</v>
      </c>
      <c r="AF35" s="425">
        <v>10</v>
      </c>
      <c r="AG35" s="425">
        <v>8</v>
      </c>
      <c r="AH35" s="425">
        <v>9</v>
      </c>
      <c r="AI35" s="425">
        <v>7</v>
      </c>
      <c r="AJ35" s="425">
        <v>9</v>
      </c>
      <c r="AK35" s="425">
        <v>6</v>
      </c>
      <c r="AR35" s="430">
        <f>SUM(TableAFNSchools49[[#This Row],[K4 H]:[Ugrd. Sec. H]])</f>
        <v>90</v>
      </c>
      <c r="AX35" s="430">
        <f t="shared" si="9"/>
        <v>90</v>
      </c>
      <c r="AY35" s="425">
        <f t="shared" si="16"/>
        <v>90</v>
      </c>
      <c r="AZ35" s="428">
        <f t="shared" si="17"/>
        <v>0</v>
      </c>
      <c r="BA35" s="431">
        <f t="shared" si="18"/>
        <v>90</v>
      </c>
      <c r="BB35" s="425">
        <f>TableAFNSchools49[[#This Row],[Gr9]]+TableAFNSchools49[[#This Row],[Gr9 22+]]</f>
        <v>0</v>
      </c>
      <c r="BC35" s="425">
        <f>TableAFNSchools49[[#This Row],[Gr10]]+TableAFNSchools49[[#This Row],[Gr10 22+]]</f>
        <v>0</v>
      </c>
      <c r="BD35" s="425">
        <f>TableAFNSchools49[[#This Row],[Gr11]]+TableAFNSchools49[[#This Row],[Gr11 22+]]</f>
        <v>0</v>
      </c>
      <c r="BE35" s="425">
        <f>TableAFNSchools49[[#This Row],[Gr12]]+TableAFNSchools49[[#This Row],[Gr12 22+]]</f>
        <v>0</v>
      </c>
      <c r="BF35" s="425">
        <f>COUNTIF(TableAFNSchools49[[#This Row],[K4]:[Gr8]],"&gt;0")</f>
        <v>10</v>
      </c>
      <c r="BG35" s="425">
        <f>COUNTIF(TableAFNSchools49[[#This Row],[Gr9 FTE Sum]:[Gr12 FTE Sum]],"&gt;0")</f>
        <v>0</v>
      </c>
      <c r="BH35" s="432">
        <f t="shared" si="13"/>
        <v>10</v>
      </c>
      <c r="BI35" s="433">
        <f t="shared" si="19"/>
        <v>9</v>
      </c>
      <c r="BJ35" s="433">
        <f t="shared" si="20"/>
        <v>0</v>
      </c>
      <c r="BK35" s="433">
        <f t="shared" si="21"/>
        <v>9</v>
      </c>
      <c r="BL35" s="433">
        <f>TableAFNSchools49[[#This Row],[K4]]+TableAFNSchools49[[#This Row],[K5]]+TableAFNSchools49[[#This Row],[Gr1]]+TableAFNSchools49[[#This Row],[Gr2]]+TableAFNSchools49[[#This Row],[Gr3]]+TableAFNSchools49[[#This Row],[Ungrd. Elem.]]</f>
        <v>51</v>
      </c>
      <c r="BM35" s="433">
        <f>TableAFNSchools49[[#This Row],[Gr4]]+TableAFNSchools49[[#This Row],[Gr5]]+TableAFNSchools49[[#This Row],[Gr6]]</f>
        <v>24</v>
      </c>
      <c r="BN35" s="433">
        <f>TableAFNSchools49[[#This Row],[Gr7]]+TableAFNSchools49[[#This Row],[Gr8]]</f>
        <v>15</v>
      </c>
      <c r="BO35" s="433">
        <f>TableAFNSchools49[[#This Row],[Gr9]]+TableAFNSchools49[[#This Row],[Gr10]]+TableAFNSchools49[[#This Row],[Gr11]]+TableAFNSchools49[[#This Row],[Gr12]]+TableAFNSchools49[[#This Row],[Ungrd. Sec.]]+TableAFNSchools49[[#This Row],[Gr9 22+]]+TableAFNSchools49[[#This Row],[Gr10 22+]]+TableAFNSchools49[[#This Row],[Gr11 22+]]+TableAFNSchools49[[#This Row],[Gr12 22+]]+TableAFNSchools49[[#This Row],[Ungrd. Sec. 22+]]</f>
        <v>0</v>
      </c>
      <c r="BP35" s="433">
        <f>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0</v>
      </c>
      <c r="BQ35" s="433">
        <f>TableAFNSchools49[[#This Row],[Gr7 H]]+TableAFNSchools49[[#This Row],[Gr8 H]]+TableAFNSchools49[[#This Row],[Gr9 H]]+TableAFNSchools49[[#This Row],[Gr10 H]]+TableAFNSchools49[[#This Row],[Gr11 H]]+TableAFNSchools49[[#This Row],[Gr12 H]]+TableAFNSchools49[[#This Row],[Ugrd. Sec. H]]+TableAFNSchools49[[#This Row],[Gr9 H 22+]]+TableAFNSchools49[[#This Row],[Gr10 H 22+]]+TableAFNSchools49[[#This Row],[Gr11 H 22+]]+TableAFNSchools49[[#This Row],[Gr12 H 22+]]+TableAFNSchools49[[#This Row],[Ungrd. Sec. H 22+]]</f>
        <v>15</v>
      </c>
      <c r="BR35" s="425" t="s">
        <v>446</v>
      </c>
      <c r="BS35" s="425" t="s">
        <v>1224</v>
      </c>
      <c r="BT35" s="425" t="s">
        <v>1164</v>
      </c>
      <c r="BU35" s="425" t="str">
        <f>IF(TableAFNSchools49[[#This Row],[K4]]=TableAFNSchools49[[#This Row],[K4 H]],"Full-Day",IF(TableAFNSchools49[[#This Row],[K4]]&lt;TableAFNSchools49[[#This Row],[K4 H]],"Half-Day","None"))</f>
        <v>Full-Day</v>
      </c>
      <c r="BV35" s="425" t="str">
        <f>IF(TableAFNSchools49[[#This Row],[K5]]=TableAFNSchools49[[#This Row],[K5 H]],"Full-Day",IF(TableAFNSchools49[[#This Row],[K5]]=0,"None","Half-Day"))</f>
        <v>Full-Day</v>
      </c>
      <c r="BW35" s="425" t="s">
        <v>473</v>
      </c>
      <c r="BX35" s="425" t="s">
        <v>1270</v>
      </c>
      <c r="BY35" s="425" t="s">
        <v>1271</v>
      </c>
      <c r="BZ35" s="425" t="s">
        <v>1228</v>
      </c>
      <c r="CA35" s="425" t="s">
        <v>1272</v>
      </c>
      <c r="CB35" s="425">
        <v>50.629339999999999</v>
      </c>
      <c r="CC35" s="425">
        <v>-100.177097</v>
      </c>
      <c r="CD35" s="425" t="s">
        <v>1242</v>
      </c>
      <c r="CE35" s="425">
        <v>2870</v>
      </c>
      <c r="CF35" s="425">
        <v>4615067</v>
      </c>
      <c r="CG35" s="425" t="s">
        <v>1273</v>
      </c>
      <c r="CH35" s="425" t="s">
        <v>1232</v>
      </c>
      <c r="CI35" s="425">
        <v>5605494</v>
      </c>
      <c r="CJ35" s="425">
        <v>1579529</v>
      </c>
      <c r="CK35" s="427">
        <v>222</v>
      </c>
      <c r="CL35" s="435">
        <v>2</v>
      </c>
      <c r="CM35" s="425" t="s">
        <v>845</v>
      </c>
      <c r="CN35" s="427">
        <v>276</v>
      </c>
      <c r="CO35" s="427" t="s">
        <v>1234</v>
      </c>
      <c r="CP35" s="425" t="s">
        <v>845</v>
      </c>
      <c r="CQ35" s="425">
        <v>0.22</v>
      </c>
      <c r="CR35" s="436">
        <v>1.1100000000000001</v>
      </c>
      <c r="CS35" s="437">
        <v>1585</v>
      </c>
      <c r="CT35" s="438">
        <v>440</v>
      </c>
      <c r="CU35" s="425">
        <v>25.908000000000001</v>
      </c>
      <c r="CV35" s="425">
        <v>112</v>
      </c>
      <c r="CW35" s="436">
        <f t="shared" si="22"/>
        <v>4.3229890381349385</v>
      </c>
      <c r="CX35" s="439">
        <f>TableAFNSchools49[[#Totals],[Total Funded FTE]]/'F1. Prov School Area 1617'!$H$47</f>
        <v>2.8166780116673893E-3</v>
      </c>
    </row>
    <row r="36" spans="1:110" s="425" customFormat="1" ht="15">
      <c r="A36" s="607" t="s">
        <v>72</v>
      </c>
      <c r="C36" s="427"/>
      <c r="E36" s="428">
        <f>SUBTOTAL(109,TableAFNSchools49[K4])</f>
        <v>140</v>
      </c>
      <c r="F36" s="428">
        <f>SUBTOTAL(109,TableAFNSchools49[K5])</f>
        <v>132</v>
      </c>
      <c r="G36" s="428">
        <f>SUBTOTAL(109,TableAFNSchools49[Gr1])</f>
        <v>147</v>
      </c>
      <c r="H36" s="428">
        <f>SUBTOTAL(109,TableAFNSchools49[Gr2])</f>
        <v>136</v>
      </c>
      <c r="I36" s="428">
        <f>SUBTOTAL(109,TableAFNSchools49[Gr3])</f>
        <v>143</v>
      </c>
      <c r="J36" s="428">
        <f>SUBTOTAL(109,TableAFNSchools49[Gr4])</f>
        <v>136</v>
      </c>
      <c r="K36" s="428">
        <f>SUBTOTAL(109,TableAFNSchools49[Gr5])</f>
        <v>122</v>
      </c>
      <c r="L36" s="428">
        <f>SUBTOTAL(109,TableAFNSchools49[Gr6])</f>
        <v>175</v>
      </c>
      <c r="M36" s="428">
        <f>SUBTOTAL(109,TableAFNSchools49[Gr7])</f>
        <v>126</v>
      </c>
      <c r="N36" s="428">
        <f>SUBTOTAL(109,TableAFNSchools49[Gr8])</f>
        <v>103</v>
      </c>
      <c r="O36" s="428">
        <f>SUBTOTAL(109,TableAFNSchools49[Ungrd. Elem.])</f>
        <v>0</v>
      </c>
      <c r="P36" s="428">
        <f>SUBTOTAL(109,TableAFNSchools49[Gr9])</f>
        <v>102</v>
      </c>
      <c r="Q36" s="428">
        <f>SUBTOTAL(109,TableAFNSchools49[Gr10])</f>
        <v>73</v>
      </c>
      <c r="R36" s="428">
        <f>SUBTOTAL(109,TableAFNSchools49[Gr11])</f>
        <v>28</v>
      </c>
      <c r="S36" s="428">
        <f>SUBTOTAL(109,TableAFNSchools49[Gr12])</f>
        <v>45</v>
      </c>
      <c r="T36" s="428">
        <f>SUBTOTAL(109,TableAFNSchools49[Ungrd. Sec.])</f>
        <v>0</v>
      </c>
      <c r="U36" s="608">
        <f>SUBTOTAL(109,TableAFNSchools49[FTE &lt;22 Total])</f>
        <v>1608</v>
      </c>
      <c r="V36" s="428">
        <f>SUBTOTAL(109,TableAFNSchools49[Gr9 22+])</f>
        <v>0</v>
      </c>
      <c r="W36" s="428">
        <f>SUBTOTAL(109,TableAFNSchools49[Gr10 22+])</f>
        <v>0</v>
      </c>
      <c r="X36" s="428">
        <f>SUBTOTAL(109,TableAFNSchools49[Gr11 22+])</f>
        <v>0</v>
      </c>
      <c r="Y36" s="428">
        <f>SUBTOTAL(109,TableAFNSchools49[Gr12 22+])</f>
        <v>35</v>
      </c>
      <c r="AA36" s="608">
        <f>SUBTOTAL(109,TableAFNSchools49[Total FTE])</f>
        <v>1643</v>
      </c>
      <c r="AB36" s="425">
        <f>SUBTOTAL(109,TableAFNSchools49[K4 H])</f>
        <v>141</v>
      </c>
      <c r="AC36" s="425">
        <f>SUBTOTAL(109,TableAFNSchools49[K5 H])</f>
        <v>132</v>
      </c>
      <c r="AD36" s="425">
        <f>SUBTOTAL(109,TableAFNSchools49[Gr1 H])</f>
        <v>147</v>
      </c>
      <c r="AE36" s="425">
        <f>SUBTOTAL(109,TableAFNSchools49[Gr2 H])</f>
        <v>136</v>
      </c>
      <c r="AF36" s="425">
        <f>SUBTOTAL(109,TableAFNSchools49[Gr3 H])</f>
        <v>143</v>
      </c>
      <c r="AG36" s="425">
        <f>SUBTOTAL(109,TableAFNSchools49[Gr4 H])</f>
        <v>136</v>
      </c>
      <c r="AH36" s="425">
        <f>SUBTOTAL(109,TableAFNSchools49[Gr5 H])</f>
        <v>122</v>
      </c>
      <c r="AI36" s="425">
        <f>SUBTOTAL(109,TableAFNSchools49[Gr6 H])</f>
        <v>175</v>
      </c>
      <c r="AJ36" s="425">
        <f>SUBTOTAL(109,TableAFNSchools49[Gr7 H])</f>
        <v>126</v>
      </c>
      <c r="AK36" s="425">
        <f>SUBTOTAL(109,TableAFNSchools49[Gr8 H])</f>
        <v>103</v>
      </c>
      <c r="AL36" s="425">
        <f>SUBTOTAL(109,TableAFNSchools49[Ungrd. Elem. H])</f>
        <v>0</v>
      </c>
      <c r="AM36" s="425">
        <f>SUBTOTAL(109,TableAFNSchools49[Gr9 H])</f>
        <v>102</v>
      </c>
      <c r="AN36" s="425">
        <f>SUBTOTAL(109,TableAFNSchools49[Gr10 H])</f>
        <v>73</v>
      </c>
      <c r="AO36" s="425">
        <f>SUBTOTAL(109,TableAFNSchools49[Gr11 H])</f>
        <v>28</v>
      </c>
      <c r="AP36" s="425">
        <f>SUBTOTAL(109,TableAFNSchools49[Gr12 H])</f>
        <v>45</v>
      </c>
      <c r="AQ36" s="425">
        <f>SUBTOTAL(109,TableAFNSchools49[Ugrd. Sec. H])</f>
        <v>0</v>
      </c>
      <c r="AR36" s="609">
        <f>SUBTOTAL(109,TableAFNSchools49[Headcount &lt;22 Total])</f>
        <v>1609</v>
      </c>
      <c r="AS36" s="425">
        <f>SUBTOTAL(109,TableAFNSchools49[Gr9 H 22+])</f>
        <v>0</v>
      </c>
      <c r="AT36" s="425">
        <f>SUBTOTAL(109,TableAFNSchools49[Gr10 H 22+])</f>
        <v>0</v>
      </c>
      <c r="AU36" s="425">
        <f>SUBTOTAL(109,TableAFNSchools49[Gr11 H 22+])</f>
        <v>0</v>
      </c>
      <c r="AV36" s="425">
        <f>SUBTOTAL(109,TableAFNSchools49[Gr12 H 22+])</f>
        <v>35</v>
      </c>
      <c r="AW36" s="425">
        <f>SUBTOTAL(109,TableAFNSchools49[Ungrd. Sec. H 22+])</f>
        <v>0</v>
      </c>
      <c r="AX36" s="609">
        <f>SUBTOTAL(109,TableAFNSchools49[Total Headcount])</f>
        <v>1644</v>
      </c>
      <c r="AY36" s="425">
        <f>SUBTOTAL(109,TableAFNSchools49[Elementary])</f>
        <v>1360</v>
      </c>
      <c r="AZ36" s="428">
        <f>SUBTOTAL(109,TableAFNSchools49[Secondary])</f>
        <v>283</v>
      </c>
      <c r="BA36" s="608">
        <f>SUBTOTAL(109,TableAFNSchools49[Total Funded FTE])</f>
        <v>1643</v>
      </c>
      <c r="BB36" s="609">
        <f>SUBTOTAL(109,TableAFNSchools49[Gr9 FTE Sum])</f>
        <v>102</v>
      </c>
      <c r="BC36" s="609">
        <f>SUBTOTAL(109,TableAFNSchools49[Gr10 FTE Sum])</f>
        <v>73</v>
      </c>
      <c r="BD36" s="425">
        <f>SUBTOTAL(109,TableAFNSchools49[Gr11 FTE Sum])</f>
        <v>28</v>
      </c>
      <c r="BE36" s="425">
        <f>SUBTOTAL(109,TableAFNSchools49[Gr12 FTE Sum])</f>
        <v>80</v>
      </c>
      <c r="BH36" s="432"/>
      <c r="BL36" s="428">
        <f>SUBTOTAL(109,TableAFNSchools49[Total FTE K4-Gr.3 and Elementary Ungraded ])</f>
        <v>698</v>
      </c>
      <c r="BM36" s="428">
        <f>SUBTOTAL(109,TableAFNSchools49[Gr. 4-6 FTE])</f>
        <v>433</v>
      </c>
      <c r="BN36" s="428">
        <f>SUBTOTAL(109,TableAFNSchools49[Gr. 7-8 FTE])</f>
        <v>229</v>
      </c>
      <c r="BO36" s="428">
        <f>SUBTOTAL(109,TableAFNSchools49[Gr. 9-12 FTE and Sec Ungraded])</f>
        <v>283</v>
      </c>
      <c r="BP36" s="428">
        <f>SUBTOTAL(109,TableAFNSchools49[Gr. 9-12 HC and Ungradeable ])</f>
        <v>283</v>
      </c>
      <c r="BQ36" s="428">
        <f>SUBTOTAL(109,TableAFNSchools49[Gr. 7-12 HC and Ungradeable])</f>
        <v>512</v>
      </c>
      <c r="CK36" s="427"/>
      <c r="CL36" s="427"/>
      <c r="CN36" s="427"/>
      <c r="CO36" s="427"/>
      <c r="CS36" s="608">
        <f>SUBTOTAL(109,TableAFNSchools49[School size])</f>
        <v>27727.39</v>
      </c>
      <c r="CY36" s="425">
        <f>SUBTOTAL(109,TableAFNSchools49[Mandatory room &amp; board &lt;18])</f>
        <v>0</v>
      </c>
      <c r="CZ36" s="425">
        <f>SUBTOTAL(109,TableAFNSchools49[Student residence &lt;18])</f>
        <v>0</v>
      </c>
      <c r="DA36" s="425">
        <f>SUBTOTAL(109,TableAFNSchools49[Boarding school &lt;18])</f>
        <v>0</v>
      </c>
      <c r="DB36" s="425">
        <f>SUBTOTAL(109,TableAFNSchools49[Room and board (5 days) &lt;18])</f>
        <v>0</v>
      </c>
      <c r="DC36" s="425">
        <f>SUBTOTAL(109,TableAFNSchools49[Mandatory room &amp; board 18-21])</f>
        <v>0</v>
      </c>
      <c r="DD36" s="425">
        <f>SUBTOTAL(109,TableAFNSchools49[Student residence 18-21])</f>
        <v>0</v>
      </c>
      <c r="DE36" s="425">
        <f>SUBTOTAL(109,TableAFNSchools49[Boarding school 18-21])</f>
        <v>0</v>
      </c>
      <c r="DF36" s="425">
        <f>SUBTOTAL(109,TableAFNSchools49[Room and board (5 days) 18-21])</f>
        <v>0</v>
      </c>
    </row>
    <row r="37" spans="1:110">
      <c r="A37" s="425" t="s">
        <v>1293</v>
      </c>
      <c r="AA37" s="166"/>
    </row>
    <row r="38" spans="1:110" s="425" customFormat="1" ht="42.75" customHeight="1">
      <c r="A38" s="602" t="s">
        <v>739</v>
      </c>
      <c r="B38" s="603" t="s">
        <v>1112</v>
      </c>
      <c r="C38" s="603" t="s">
        <v>375</v>
      </c>
      <c r="D38" s="603" t="s">
        <v>1113</v>
      </c>
      <c r="E38" s="604" t="s">
        <v>1276</v>
      </c>
      <c r="F38" s="604" t="s">
        <v>1277</v>
      </c>
      <c r="G38" s="604" t="s">
        <v>1118</v>
      </c>
      <c r="H38" s="604" t="s">
        <v>1119</v>
      </c>
      <c r="I38" s="604" t="s">
        <v>1120</v>
      </c>
      <c r="J38" s="604" t="s">
        <v>1121</v>
      </c>
      <c r="K38" s="604" t="s">
        <v>1122</v>
      </c>
      <c r="L38" s="604" t="s">
        <v>1123</v>
      </c>
      <c r="M38" s="604" t="s">
        <v>1124</v>
      </c>
      <c r="N38" s="604" t="s">
        <v>1125</v>
      </c>
      <c r="O38" s="604" t="s">
        <v>1126</v>
      </c>
      <c r="P38" s="604" t="s">
        <v>1127</v>
      </c>
      <c r="Q38" s="604" t="s">
        <v>1128</v>
      </c>
      <c r="R38" s="604" t="s">
        <v>1129</v>
      </c>
      <c r="S38" s="604" t="s">
        <v>1130</v>
      </c>
      <c r="T38" s="604" t="s">
        <v>1131</v>
      </c>
      <c r="U38" s="605" t="s">
        <v>1132</v>
      </c>
      <c r="V38" s="604" t="s">
        <v>1133</v>
      </c>
      <c r="W38" s="604" t="s">
        <v>1134</v>
      </c>
      <c r="X38" s="604" t="s">
        <v>1135</v>
      </c>
      <c r="Y38" s="604" t="s">
        <v>1136</v>
      </c>
      <c r="Z38" s="604" t="s">
        <v>1137</v>
      </c>
      <c r="AA38" s="605" t="s">
        <v>1138</v>
      </c>
      <c r="AB38" s="604" t="s">
        <v>1278</v>
      </c>
      <c r="AC38" s="604" t="s">
        <v>1279</v>
      </c>
      <c r="AD38" s="604" t="s">
        <v>1143</v>
      </c>
      <c r="AE38" s="604" t="s">
        <v>1144</v>
      </c>
      <c r="AF38" s="604" t="s">
        <v>1145</v>
      </c>
      <c r="AG38" s="604" t="s">
        <v>1146</v>
      </c>
      <c r="AH38" s="604" t="s">
        <v>1147</v>
      </c>
      <c r="AI38" s="604" t="s">
        <v>1148</v>
      </c>
      <c r="AJ38" s="604" t="s">
        <v>1149</v>
      </c>
      <c r="AK38" s="604" t="s">
        <v>1150</v>
      </c>
      <c r="AL38" s="604" t="s">
        <v>1151</v>
      </c>
      <c r="AM38" s="604" t="s">
        <v>1152</v>
      </c>
      <c r="AN38" s="604" t="s">
        <v>1153</v>
      </c>
      <c r="AO38" s="604" t="s">
        <v>1154</v>
      </c>
      <c r="AP38" s="604" t="s">
        <v>1155</v>
      </c>
      <c r="AQ38" s="604" t="s">
        <v>1156</v>
      </c>
      <c r="AR38" s="604" t="s">
        <v>1157</v>
      </c>
      <c r="AS38" s="604" t="s">
        <v>1158</v>
      </c>
      <c r="AT38" s="604" t="s">
        <v>1159</v>
      </c>
      <c r="AU38" s="604" t="s">
        <v>1160</v>
      </c>
      <c r="AV38" s="604" t="s">
        <v>1161</v>
      </c>
      <c r="AW38" s="604" t="s">
        <v>1162</v>
      </c>
      <c r="AX38" s="605" t="s">
        <v>1163</v>
      </c>
      <c r="AY38" s="603" t="s">
        <v>1164</v>
      </c>
      <c r="AZ38" s="603" t="s">
        <v>1165</v>
      </c>
      <c r="BA38" s="603" t="s">
        <v>1166</v>
      </c>
      <c r="BB38" s="603" t="s">
        <v>1167</v>
      </c>
      <c r="BC38" s="603" t="s">
        <v>1168</v>
      </c>
      <c r="BD38" s="603" t="s">
        <v>1169</v>
      </c>
      <c r="BE38" s="603" t="s">
        <v>1170</v>
      </c>
      <c r="BF38" s="603" t="s">
        <v>1171</v>
      </c>
      <c r="BG38" s="603" t="s">
        <v>1172</v>
      </c>
      <c r="BH38" s="603" t="s">
        <v>1173</v>
      </c>
      <c r="BI38" s="603" t="s">
        <v>1174</v>
      </c>
      <c r="BJ38" s="603" t="s">
        <v>1175</v>
      </c>
      <c r="BK38" s="603" t="s">
        <v>1176</v>
      </c>
      <c r="BL38" s="603" t="s">
        <v>1280</v>
      </c>
      <c r="BM38" s="603" t="s">
        <v>1184</v>
      </c>
      <c r="BN38" s="603" t="s">
        <v>1185</v>
      </c>
      <c r="BO38" s="603" t="s">
        <v>1186</v>
      </c>
      <c r="BP38" s="603" t="s">
        <v>1187</v>
      </c>
      <c r="BQ38" s="603" t="s">
        <v>1188</v>
      </c>
      <c r="BR38" s="603" t="s">
        <v>1189</v>
      </c>
      <c r="BS38" s="603" t="s">
        <v>1190</v>
      </c>
      <c r="BT38" s="603" t="s">
        <v>1191</v>
      </c>
      <c r="BU38" s="603" t="s">
        <v>1192</v>
      </c>
      <c r="BV38" s="603" t="s">
        <v>1193</v>
      </c>
      <c r="BW38" s="603" t="s">
        <v>1194</v>
      </c>
      <c r="BX38" s="603" t="s">
        <v>1195</v>
      </c>
      <c r="BY38" s="603" t="s">
        <v>1196</v>
      </c>
      <c r="BZ38" s="603" t="s">
        <v>1197</v>
      </c>
      <c r="CA38" s="603" t="s">
        <v>1198</v>
      </c>
      <c r="CB38" s="603" t="s">
        <v>1199</v>
      </c>
      <c r="CC38" s="603" t="s">
        <v>1200</v>
      </c>
      <c r="CD38" s="603" t="s">
        <v>1201</v>
      </c>
      <c r="CE38" s="603" t="s">
        <v>1202</v>
      </c>
      <c r="CF38" s="603" t="s">
        <v>1203</v>
      </c>
      <c r="CG38" s="603" t="s">
        <v>1204</v>
      </c>
      <c r="CH38" s="603" t="s">
        <v>1205</v>
      </c>
      <c r="CI38" s="603" t="s">
        <v>1206</v>
      </c>
      <c r="CJ38" s="603" t="s">
        <v>1207</v>
      </c>
      <c r="CK38" s="603" t="s">
        <v>1294</v>
      </c>
      <c r="CL38" s="603" t="s">
        <v>1210</v>
      </c>
      <c r="CM38" s="603" t="s">
        <v>1211</v>
      </c>
      <c r="CN38" s="603" t="s">
        <v>1212</v>
      </c>
      <c r="CO38" s="603" t="s">
        <v>1213</v>
      </c>
      <c r="CP38" s="603" t="s">
        <v>1214</v>
      </c>
      <c r="CQ38" s="603" t="s">
        <v>1215</v>
      </c>
      <c r="CR38" s="603" t="s">
        <v>1216</v>
      </c>
      <c r="CS38" s="603" t="s">
        <v>1217</v>
      </c>
      <c r="CT38" s="603" t="s">
        <v>1218</v>
      </c>
      <c r="CU38" s="603" t="s">
        <v>1219</v>
      </c>
      <c r="CV38" s="603" t="s">
        <v>1220</v>
      </c>
      <c r="CW38" s="603" t="s">
        <v>1221</v>
      </c>
      <c r="CX38" s="603" t="s">
        <v>1222</v>
      </c>
      <c r="CY38" s="603" t="s">
        <v>1223</v>
      </c>
    </row>
    <row r="39" spans="1:110" s="425" customFormat="1" ht="15">
      <c r="A39" s="426">
        <v>261</v>
      </c>
      <c r="B39" s="425" t="s">
        <v>1295</v>
      </c>
      <c r="C39" s="427">
        <v>1756</v>
      </c>
      <c r="D39" s="425" t="s">
        <v>1296</v>
      </c>
      <c r="E39" s="428">
        <v>2.5</v>
      </c>
      <c r="F39" s="428">
        <v>12</v>
      </c>
      <c r="G39" s="428">
        <v>10</v>
      </c>
      <c r="H39" s="428">
        <v>11</v>
      </c>
      <c r="I39" s="428">
        <v>9</v>
      </c>
      <c r="J39" s="428">
        <v>12</v>
      </c>
      <c r="K39" s="428">
        <v>12</v>
      </c>
      <c r="L39" s="428">
        <v>6</v>
      </c>
      <c r="M39" s="428">
        <v>6</v>
      </c>
      <c r="N39" s="428">
        <v>5</v>
      </c>
      <c r="O39" s="428"/>
      <c r="P39" s="428">
        <v>10</v>
      </c>
      <c r="Q39" s="428">
        <v>0</v>
      </c>
      <c r="R39" s="428">
        <v>0</v>
      </c>
      <c r="S39" s="428">
        <v>0</v>
      </c>
      <c r="T39" s="428">
        <v>0</v>
      </c>
      <c r="U39" s="429">
        <v>95.5</v>
      </c>
      <c r="V39" s="428">
        <v>0</v>
      </c>
      <c r="W39" s="428">
        <v>0</v>
      </c>
      <c r="X39" s="428">
        <v>0</v>
      </c>
      <c r="Y39" s="428">
        <v>0</v>
      </c>
      <c r="Z39" s="428">
        <v>0</v>
      </c>
      <c r="AA39" s="429">
        <v>95.5</v>
      </c>
      <c r="AB39" s="425">
        <v>5</v>
      </c>
      <c r="AC39" s="425">
        <v>12</v>
      </c>
      <c r="AD39" s="425">
        <v>10</v>
      </c>
      <c r="AE39" s="425">
        <v>11</v>
      </c>
      <c r="AF39" s="425">
        <v>9</v>
      </c>
      <c r="AG39" s="425">
        <v>12</v>
      </c>
      <c r="AH39" s="425">
        <v>12</v>
      </c>
      <c r="AI39" s="425">
        <v>6</v>
      </c>
      <c r="AJ39" s="425">
        <v>6</v>
      </c>
      <c r="AK39" s="425">
        <v>5</v>
      </c>
      <c r="AM39" s="425">
        <v>10</v>
      </c>
      <c r="AN39" s="425">
        <v>0</v>
      </c>
      <c r="AO39" s="425">
        <v>0</v>
      </c>
      <c r="AP39" s="425">
        <v>0</v>
      </c>
      <c r="AQ39" s="425">
        <v>0</v>
      </c>
      <c r="AR39" s="430">
        <f>SUM(AB39:AQ39)</f>
        <v>98</v>
      </c>
      <c r="AS39" s="425">
        <v>0</v>
      </c>
      <c r="AT39" s="425">
        <v>0</v>
      </c>
      <c r="AU39" s="425">
        <v>0</v>
      </c>
      <c r="AV39" s="425">
        <v>0</v>
      </c>
      <c r="AW39" s="425">
        <v>0</v>
      </c>
      <c r="AX39" s="430">
        <f>SUM(AR39:AW39)</f>
        <v>98</v>
      </c>
      <c r="AY39" s="428">
        <f>SUM(E39:O39)</f>
        <v>85.5</v>
      </c>
      <c r="AZ39" s="428">
        <f>SUM(P39:T39,V39:Z39)</f>
        <v>10</v>
      </c>
      <c r="BA39" s="431">
        <f>SUM(AY39:AZ39)</f>
        <v>95.5</v>
      </c>
      <c r="BB39" s="425">
        <f>Table1741[[#This Row],[Gr9]]+Table1741[[#This Row],[Gr9 22+]]</f>
        <v>10</v>
      </c>
      <c r="BC39" s="425">
        <f>Table1741[[#This Row],[Gr10]]+Table1741[[#This Row],[Gr10 22+]]</f>
        <v>0</v>
      </c>
      <c r="BD39" s="425">
        <f>Table1741[[#This Row],[Gr11]]+Table1741[[#This Row],[Gr11 22+]]</f>
        <v>0</v>
      </c>
      <c r="BE39" s="425">
        <f>Table1741[[#This Row],[Gr12]]+Table1741[[#This Row],[Gr12 22+]]</f>
        <v>0</v>
      </c>
      <c r="BF39" s="425">
        <f>COUNTIF(Table1741[[#This Row],[K4]:[Gr8]],"&gt;0")</f>
        <v>10</v>
      </c>
      <c r="BG39" s="425">
        <f>COUNTIF(Table1741[[#This Row],[Gr9 FTE Sum]:[Gr12 FTE Sum]],"&gt;0")</f>
        <v>1</v>
      </c>
      <c r="BH39" s="432">
        <f>SUM(BF39:BG39)</f>
        <v>11</v>
      </c>
      <c r="BI39" s="433">
        <f t="shared" ref="BI39:BI48" si="23">IFERROR(AY39/BF39,0)</f>
        <v>8.5500000000000007</v>
      </c>
      <c r="BJ39" s="433">
        <f t="shared" ref="BJ39:BJ48" si="24">IFERROR(AZ39/BG39,0)</f>
        <v>10</v>
      </c>
      <c r="BK39" s="433">
        <f t="shared" ref="BK39:BK48" si="25">BA39/BH39</f>
        <v>8.6818181818181817</v>
      </c>
      <c r="BL39" s="425" t="s">
        <v>443</v>
      </c>
      <c r="BM39" s="425" t="s">
        <v>1224</v>
      </c>
      <c r="BN39" s="425" t="s">
        <v>1225</v>
      </c>
      <c r="BO39" s="425" t="s">
        <v>1297</v>
      </c>
      <c r="BP39" s="434" t="s">
        <v>1298</v>
      </c>
      <c r="BQ39" s="425" t="s">
        <v>473</v>
      </c>
      <c r="BR39" s="425" t="s">
        <v>1259</v>
      </c>
      <c r="BS39" s="425" t="s">
        <v>1260</v>
      </c>
      <c r="BT39" s="425" t="s">
        <v>1228</v>
      </c>
      <c r="BU39" s="425" t="s">
        <v>1261</v>
      </c>
      <c r="BV39" s="425">
        <v>50.366585999999998</v>
      </c>
      <c r="BW39" s="425">
        <v>-96.611457999999999</v>
      </c>
      <c r="BX39" s="425" t="s">
        <v>1242</v>
      </c>
      <c r="BY39" s="425">
        <v>2846</v>
      </c>
      <c r="BZ39" s="425">
        <v>4613062</v>
      </c>
      <c r="CA39" s="425" t="s">
        <v>1262</v>
      </c>
      <c r="CB39" s="425" t="s">
        <v>1232</v>
      </c>
      <c r="CC39" s="425">
        <v>5863841</v>
      </c>
      <c r="CD39" s="425">
        <v>1534923</v>
      </c>
      <c r="CE39" s="427">
        <v>204</v>
      </c>
      <c r="CF39" s="435">
        <v>2</v>
      </c>
      <c r="CG39" s="425" t="s">
        <v>1233</v>
      </c>
      <c r="CH39" s="427">
        <v>72</v>
      </c>
      <c r="CI39" s="427" t="s">
        <v>1234</v>
      </c>
      <c r="CJ39" s="425" t="s">
        <v>1233</v>
      </c>
      <c r="CK39" s="436">
        <v>1.1100000000000001</v>
      </c>
      <c r="CL39" s="437">
        <v>1312</v>
      </c>
      <c r="CM39" s="438">
        <v>470</v>
      </c>
      <c r="CN39" s="425">
        <v>56.878</v>
      </c>
      <c r="CO39" s="425">
        <v>156</v>
      </c>
      <c r="CP39" s="436">
        <f t="shared" ref="CP39:CP47" si="26">CO39/CN39</f>
        <v>2.7427124723091527</v>
      </c>
      <c r="CQ39" s="439">
        <f>Table1741[[#Totals],[Total Funded FTE]]/'F1. Prov School Area 1617'!$H$47</f>
        <v>2.1523671598590428E-3</v>
      </c>
    </row>
    <row r="40" spans="1:110" s="425" customFormat="1" ht="15">
      <c r="A40" s="426">
        <v>267</v>
      </c>
      <c r="B40" s="425" t="s">
        <v>392</v>
      </c>
      <c r="C40" s="427">
        <v>1148</v>
      </c>
      <c r="D40" s="425" t="s">
        <v>1299</v>
      </c>
      <c r="E40" s="428">
        <v>8</v>
      </c>
      <c r="F40" s="428">
        <v>18</v>
      </c>
      <c r="G40" s="428">
        <v>17</v>
      </c>
      <c r="H40" s="428">
        <v>18</v>
      </c>
      <c r="I40" s="428">
        <v>16</v>
      </c>
      <c r="J40" s="428">
        <v>26</v>
      </c>
      <c r="K40" s="428">
        <v>11</v>
      </c>
      <c r="L40" s="428">
        <v>13</v>
      </c>
      <c r="M40" s="428">
        <v>15</v>
      </c>
      <c r="N40" s="428">
        <v>6</v>
      </c>
      <c r="O40" s="428"/>
      <c r="P40" s="428">
        <v>12</v>
      </c>
      <c r="Q40" s="428">
        <v>0</v>
      </c>
      <c r="R40" s="428">
        <v>0</v>
      </c>
      <c r="S40" s="428">
        <v>0</v>
      </c>
      <c r="T40" s="428">
        <v>0</v>
      </c>
      <c r="U40" s="429">
        <v>160</v>
      </c>
      <c r="V40" s="428">
        <v>0</v>
      </c>
      <c r="W40" s="428">
        <v>0</v>
      </c>
      <c r="X40" s="428">
        <v>0</v>
      </c>
      <c r="Y40" s="428">
        <v>0</v>
      </c>
      <c r="Z40" s="428">
        <v>0</v>
      </c>
      <c r="AA40" s="429">
        <v>160</v>
      </c>
      <c r="AB40" s="425">
        <v>16</v>
      </c>
      <c r="AC40" s="425">
        <v>18</v>
      </c>
      <c r="AD40" s="425">
        <v>17</v>
      </c>
      <c r="AE40" s="425">
        <v>18</v>
      </c>
      <c r="AF40" s="425">
        <v>16</v>
      </c>
      <c r="AG40" s="425">
        <v>26</v>
      </c>
      <c r="AH40" s="425">
        <v>11</v>
      </c>
      <c r="AI40" s="425">
        <v>13</v>
      </c>
      <c r="AJ40" s="425">
        <v>15</v>
      </c>
      <c r="AK40" s="425">
        <v>6</v>
      </c>
      <c r="AM40" s="425">
        <v>12</v>
      </c>
      <c r="AN40" s="425">
        <v>0</v>
      </c>
      <c r="AO40" s="425">
        <v>0</v>
      </c>
      <c r="AP40" s="425">
        <v>0</v>
      </c>
      <c r="AQ40" s="425">
        <v>0</v>
      </c>
      <c r="AR40" s="430">
        <f t="shared" ref="AR40:AR48" si="27">SUM(AB40:AQ40)</f>
        <v>168</v>
      </c>
      <c r="AS40" s="425">
        <v>0</v>
      </c>
      <c r="AT40" s="425">
        <v>0</v>
      </c>
      <c r="AU40" s="425">
        <v>0</v>
      </c>
      <c r="AV40" s="425">
        <v>0</v>
      </c>
      <c r="AW40" s="425">
        <v>0</v>
      </c>
      <c r="AX40" s="430">
        <f t="shared" ref="AX40:AX48" si="28">SUM(AR40:AW40)</f>
        <v>168</v>
      </c>
      <c r="AY40" s="425">
        <f t="shared" ref="AY40:AY48" si="29">SUM(E40:O40)</f>
        <v>148</v>
      </c>
      <c r="AZ40" s="428">
        <f t="shared" ref="AZ40:AZ48" si="30">SUM(P40:T40,V40:Z40)</f>
        <v>12</v>
      </c>
      <c r="BA40" s="431">
        <f t="shared" ref="BA40:BA47" si="31">SUM(AY40:AZ40)</f>
        <v>160</v>
      </c>
      <c r="BB40" s="425">
        <f>Table1741[[#This Row],[Gr9]]+Table1741[[#This Row],[Gr9 22+]]</f>
        <v>12</v>
      </c>
      <c r="BC40" s="425">
        <f>Table1741[[#This Row],[Gr10]]+Table1741[[#This Row],[Gr10 22+]]</f>
        <v>0</v>
      </c>
      <c r="BD40" s="425">
        <f>Table1741[[#This Row],[Gr11]]+Table1741[[#This Row],[Gr11 22+]]</f>
        <v>0</v>
      </c>
      <c r="BE40" s="425">
        <f>Table1741[[#This Row],[Gr12]]+Table1741[[#This Row],[Gr12 22+]]</f>
        <v>0</v>
      </c>
      <c r="BF40" s="425">
        <f>COUNTIF(Table1741[[#This Row],[K4]:[Gr8]],"&gt;0")</f>
        <v>10</v>
      </c>
      <c r="BG40" s="425">
        <f>COUNTIF(Table1741[[#This Row],[Gr9 FTE Sum]:[Gr12 FTE Sum]],"&gt;0")</f>
        <v>1</v>
      </c>
      <c r="BH40" s="432">
        <f t="shared" ref="BH40:BH47" si="32">SUM(BF40:BG40)</f>
        <v>11</v>
      </c>
      <c r="BI40" s="433">
        <f t="shared" si="23"/>
        <v>14.8</v>
      </c>
      <c r="BJ40" s="433">
        <f t="shared" si="24"/>
        <v>12</v>
      </c>
      <c r="BK40" s="433">
        <f t="shared" si="25"/>
        <v>14.545454545454545</v>
      </c>
      <c r="BL40" s="425" t="s">
        <v>441</v>
      </c>
      <c r="BM40" s="425" t="s">
        <v>1224</v>
      </c>
      <c r="BN40" s="425" t="s">
        <v>1225</v>
      </c>
      <c r="BO40" s="425" t="s">
        <v>1297</v>
      </c>
      <c r="BP40" s="434" t="s">
        <v>1298</v>
      </c>
      <c r="BQ40" s="425" t="s">
        <v>474</v>
      </c>
      <c r="BR40" s="425" t="s">
        <v>1239</v>
      </c>
      <c r="BS40" s="425" t="s">
        <v>1240</v>
      </c>
      <c r="BT40" s="425" t="s">
        <v>1228</v>
      </c>
      <c r="BU40" s="425" t="s">
        <v>1241</v>
      </c>
      <c r="BV40" s="425">
        <v>51.783408000000001</v>
      </c>
      <c r="BW40" s="425">
        <v>-96.696916999999999</v>
      </c>
      <c r="BX40" s="425" t="s">
        <v>1242</v>
      </c>
      <c r="BY40" s="425">
        <v>2932</v>
      </c>
      <c r="BZ40" s="425">
        <v>4619052</v>
      </c>
      <c r="CA40" s="425" t="s">
        <v>1243</v>
      </c>
      <c r="CB40" s="425" t="s">
        <v>1232</v>
      </c>
      <c r="CC40" s="425">
        <v>5869864</v>
      </c>
      <c r="CD40" s="425">
        <v>1692471</v>
      </c>
      <c r="CE40" s="427">
        <v>203</v>
      </c>
      <c r="CF40" s="435">
        <v>4</v>
      </c>
      <c r="CG40" s="425" t="s">
        <v>1233</v>
      </c>
      <c r="CH40" s="427">
        <v>249</v>
      </c>
      <c r="CI40" s="427" t="s">
        <v>1244</v>
      </c>
      <c r="CJ40" s="425" t="s">
        <v>1233</v>
      </c>
      <c r="CK40" s="436">
        <v>1.3149999999999999</v>
      </c>
      <c r="CL40" s="606">
        <v>1790.7</v>
      </c>
      <c r="CM40" s="438">
        <v>645</v>
      </c>
      <c r="CN40" s="425">
        <v>16.251999999999999</v>
      </c>
      <c r="CO40" s="425">
        <v>162</v>
      </c>
      <c r="CP40" s="436">
        <f t="shared" si="26"/>
        <v>9.9680039379768655</v>
      </c>
      <c r="CQ40" s="439">
        <f>Table1741[[#Totals],[Total Funded FTE]]/'F1. Prov School Area 1617'!$H$47</f>
        <v>2.1523671598590428E-3</v>
      </c>
      <c r="CR40" s="425">
        <v>0</v>
      </c>
    </row>
    <row r="41" spans="1:110" s="425" customFormat="1" ht="15">
      <c r="A41" s="426">
        <v>271</v>
      </c>
      <c r="B41" s="425" t="s">
        <v>396</v>
      </c>
      <c r="C41" s="427">
        <v>1345</v>
      </c>
      <c r="D41" s="425" t="s">
        <v>1300</v>
      </c>
      <c r="E41" s="428">
        <v>11</v>
      </c>
      <c r="F41" s="428">
        <v>6</v>
      </c>
      <c r="G41" s="428">
        <v>20.5</v>
      </c>
      <c r="H41" s="428">
        <v>13</v>
      </c>
      <c r="I41" s="428">
        <v>29</v>
      </c>
      <c r="J41" s="428">
        <v>21</v>
      </c>
      <c r="K41" s="428">
        <v>20</v>
      </c>
      <c r="L41" s="428">
        <v>18</v>
      </c>
      <c r="M41" s="428">
        <v>17</v>
      </c>
      <c r="N41" s="428">
        <v>23</v>
      </c>
      <c r="O41" s="428">
        <v>6</v>
      </c>
      <c r="P41" s="428">
        <v>0</v>
      </c>
      <c r="Q41" s="428">
        <v>0</v>
      </c>
      <c r="R41" s="428">
        <v>0</v>
      </c>
      <c r="S41" s="428">
        <v>0</v>
      </c>
      <c r="T41" s="428">
        <v>0</v>
      </c>
      <c r="U41" s="429">
        <v>184.5</v>
      </c>
      <c r="V41" s="428">
        <v>0</v>
      </c>
      <c r="W41" s="428">
        <v>0</v>
      </c>
      <c r="X41" s="428">
        <v>0</v>
      </c>
      <c r="Y41" s="428">
        <v>0</v>
      </c>
      <c r="Z41" s="428">
        <v>0</v>
      </c>
      <c r="AA41" s="429">
        <v>184.5</v>
      </c>
      <c r="AB41" s="425">
        <v>22</v>
      </c>
      <c r="AC41" s="425">
        <v>12</v>
      </c>
      <c r="AD41" s="425">
        <v>21</v>
      </c>
      <c r="AE41" s="425">
        <v>13</v>
      </c>
      <c r="AF41" s="425">
        <v>29</v>
      </c>
      <c r="AG41" s="425">
        <v>21</v>
      </c>
      <c r="AH41" s="425">
        <v>20</v>
      </c>
      <c r="AI41" s="425">
        <v>18</v>
      </c>
      <c r="AJ41" s="425">
        <v>17</v>
      </c>
      <c r="AK41" s="425">
        <v>23</v>
      </c>
      <c r="AM41" s="425">
        <v>0</v>
      </c>
      <c r="AN41" s="425">
        <v>0</v>
      </c>
      <c r="AO41" s="425">
        <v>0</v>
      </c>
      <c r="AP41" s="425">
        <v>0</v>
      </c>
      <c r="AQ41" s="425">
        <v>6</v>
      </c>
      <c r="AR41" s="430">
        <f t="shared" si="27"/>
        <v>202</v>
      </c>
      <c r="AS41" s="425">
        <v>0</v>
      </c>
      <c r="AT41" s="425">
        <v>0</v>
      </c>
      <c r="AU41" s="425">
        <v>0</v>
      </c>
      <c r="AV41" s="425">
        <v>0</v>
      </c>
      <c r="AW41" s="425">
        <v>0</v>
      </c>
      <c r="AX41" s="430">
        <f t="shared" si="28"/>
        <v>202</v>
      </c>
      <c r="AY41" s="425">
        <f t="shared" si="29"/>
        <v>184.5</v>
      </c>
      <c r="AZ41" s="428">
        <f t="shared" si="30"/>
        <v>0</v>
      </c>
      <c r="BA41" s="431">
        <f t="shared" si="31"/>
        <v>184.5</v>
      </c>
      <c r="BB41" s="425">
        <f>Table1741[[#This Row],[Gr9]]+Table1741[[#This Row],[Gr9 22+]]</f>
        <v>0</v>
      </c>
      <c r="BC41" s="425">
        <f>Table1741[[#This Row],[Gr10]]+Table1741[[#This Row],[Gr10 22+]]</f>
        <v>0</v>
      </c>
      <c r="BD41" s="425">
        <f>Table1741[[#This Row],[Gr11]]+Table1741[[#This Row],[Gr11 22+]]</f>
        <v>0</v>
      </c>
      <c r="BE41" s="425">
        <f>Table1741[[#This Row],[Gr12]]+Table1741[[#This Row],[Gr12 22+]]</f>
        <v>0</v>
      </c>
      <c r="BF41" s="425">
        <f>COUNTIF(Table1741[[#This Row],[K4]:[Gr8]],"&gt;0")</f>
        <v>10</v>
      </c>
      <c r="BG41" s="425">
        <f>COUNTIF(Table1741[[#This Row],[Gr9 FTE Sum]:[Gr12 FTE Sum]],"&gt;0")</f>
        <v>0</v>
      </c>
      <c r="BH41" s="432">
        <f t="shared" si="32"/>
        <v>10</v>
      </c>
      <c r="BI41" s="433">
        <f t="shared" si="23"/>
        <v>18.45</v>
      </c>
      <c r="BJ41" s="433">
        <f t="shared" si="24"/>
        <v>0</v>
      </c>
      <c r="BK41" s="433">
        <f t="shared" si="25"/>
        <v>18.45</v>
      </c>
      <c r="BL41" s="425" t="s">
        <v>442</v>
      </c>
      <c r="BM41" s="425" t="s">
        <v>1224</v>
      </c>
      <c r="BN41" s="425" t="s">
        <v>1164</v>
      </c>
      <c r="BO41" s="425" t="s">
        <v>1297</v>
      </c>
      <c r="BP41" s="425" t="s">
        <v>1297</v>
      </c>
      <c r="BQ41" s="425" t="s">
        <v>473</v>
      </c>
      <c r="BR41" s="425" t="s">
        <v>1250</v>
      </c>
      <c r="BS41" s="425" t="s">
        <v>1251</v>
      </c>
      <c r="BT41" s="425" t="s">
        <v>1228</v>
      </c>
      <c r="BU41" s="425" t="s">
        <v>1252</v>
      </c>
      <c r="BV41" s="425">
        <v>50.908029999999997</v>
      </c>
      <c r="BW41" s="425">
        <v>-98.597160000000002</v>
      </c>
      <c r="BX41" s="425" t="s">
        <v>1230</v>
      </c>
      <c r="BY41" s="425">
        <v>2918</v>
      </c>
      <c r="BZ41" s="425">
        <v>4618055</v>
      </c>
      <c r="CA41" s="425" t="s">
        <v>1253</v>
      </c>
      <c r="CB41" s="425" t="s">
        <v>1232</v>
      </c>
      <c r="CC41" s="425">
        <v>5728400</v>
      </c>
      <c r="CD41" s="425">
        <v>1612386</v>
      </c>
      <c r="CE41" s="427">
        <v>224</v>
      </c>
      <c r="CF41" s="435">
        <v>2</v>
      </c>
      <c r="CG41" s="425" t="s">
        <v>1233</v>
      </c>
      <c r="CH41" s="427">
        <v>180</v>
      </c>
      <c r="CI41" s="427" t="s">
        <v>1234</v>
      </c>
      <c r="CJ41" s="425" t="s">
        <v>1233</v>
      </c>
      <c r="CK41" s="436">
        <v>1.1100000000000001</v>
      </c>
      <c r="CL41" s="437">
        <v>2892.3</v>
      </c>
      <c r="CM41" s="438">
        <v>680</v>
      </c>
      <c r="CN41" s="425">
        <v>37.705999999999996</v>
      </c>
      <c r="CO41" s="425">
        <v>315</v>
      </c>
      <c r="CP41" s="436">
        <f t="shared" si="26"/>
        <v>8.3541080995067105</v>
      </c>
      <c r="CQ41" s="439">
        <f>Table1741[[#Totals],[Total Funded FTE]]/'F1. Prov School Area 1617'!$H$47</f>
        <v>2.1523671598590428E-3</v>
      </c>
    </row>
    <row r="42" spans="1:110" s="425" customFormat="1" ht="15">
      <c r="A42" s="426">
        <v>272</v>
      </c>
      <c r="B42" s="425" t="s">
        <v>388</v>
      </c>
      <c r="C42" s="427">
        <v>1140</v>
      </c>
      <c r="D42" s="425" t="s">
        <v>1301</v>
      </c>
      <c r="E42" s="428">
        <v>14.5</v>
      </c>
      <c r="F42" s="428">
        <v>12</v>
      </c>
      <c r="G42" s="428">
        <v>30</v>
      </c>
      <c r="H42" s="428">
        <v>28</v>
      </c>
      <c r="I42" s="428">
        <v>18</v>
      </c>
      <c r="J42" s="428">
        <v>32</v>
      </c>
      <c r="K42" s="428">
        <v>24</v>
      </c>
      <c r="L42" s="428">
        <v>16</v>
      </c>
      <c r="M42" s="428">
        <v>21</v>
      </c>
      <c r="N42" s="428">
        <v>17</v>
      </c>
      <c r="O42" s="428"/>
      <c r="P42" s="428">
        <v>24</v>
      </c>
      <c r="Q42" s="428">
        <v>22</v>
      </c>
      <c r="R42" s="428">
        <v>16</v>
      </c>
      <c r="S42" s="440">
        <v>14</v>
      </c>
      <c r="T42" s="428">
        <v>0</v>
      </c>
      <c r="U42" s="429">
        <v>288.5</v>
      </c>
      <c r="V42" s="428">
        <v>0</v>
      </c>
      <c r="W42" s="428">
        <v>0</v>
      </c>
      <c r="X42" s="428">
        <v>0</v>
      </c>
      <c r="Y42" s="440">
        <v>15</v>
      </c>
      <c r="Z42" s="428">
        <v>0</v>
      </c>
      <c r="AA42" s="429">
        <v>303.5</v>
      </c>
      <c r="AB42" s="425">
        <v>29</v>
      </c>
      <c r="AC42" s="425">
        <v>24</v>
      </c>
      <c r="AD42" s="425">
        <v>30</v>
      </c>
      <c r="AE42" s="425">
        <v>28</v>
      </c>
      <c r="AF42" s="425">
        <v>18</v>
      </c>
      <c r="AG42" s="425">
        <v>32</v>
      </c>
      <c r="AH42" s="425">
        <v>24</v>
      </c>
      <c r="AI42" s="425">
        <v>16</v>
      </c>
      <c r="AJ42" s="425">
        <v>21</v>
      </c>
      <c r="AK42" s="425">
        <v>17</v>
      </c>
      <c r="AM42" s="425">
        <v>24</v>
      </c>
      <c r="AN42" s="425">
        <v>22</v>
      </c>
      <c r="AO42" s="425">
        <v>16</v>
      </c>
      <c r="AP42" s="441">
        <v>14</v>
      </c>
      <c r="AQ42" s="425">
        <v>0</v>
      </c>
      <c r="AR42" s="430">
        <f t="shared" si="27"/>
        <v>315</v>
      </c>
      <c r="AS42" s="425">
        <v>0</v>
      </c>
      <c r="AT42" s="425">
        <v>0</v>
      </c>
      <c r="AU42" s="425">
        <v>0</v>
      </c>
      <c r="AV42" s="441">
        <v>15</v>
      </c>
      <c r="AW42" s="425">
        <v>0</v>
      </c>
      <c r="AX42" s="430">
        <f t="shared" si="28"/>
        <v>330</v>
      </c>
      <c r="AY42" s="425">
        <f t="shared" si="29"/>
        <v>212.5</v>
      </c>
      <c r="AZ42" s="428">
        <f t="shared" si="30"/>
        <v>91</v>
      </c>
      <c r="BA42" s="431">
        <f t="shared" si="31"/>
        <v>303.5</v>
      </c>
      <c r="BB42" s="425">
        <f>Table1741[[#This Row],[Gr9]]+Table1741[[#This Row],[Gr9 22+]]</f>
        <v>24</v>
      </c>
      <c r="BC42" s="425">
        <f>Table1741[[#This Row],[Gr10]]+Table1741[[#This Row],[Gr10 22+]]</f>
        <v>22</v>
      </c>
      <c r="BD42" s="425">
        <f>Table1741[[#This Row],[Gr11]]+Table1741[[#This Row],[Gr11 22+]]</f>
        <v>16</v>
      </c>
      <c r="BE42" s="425">
        <f>Table1741[[#This Row],[Gr12]]+Table1741[[#This Row],[Gr12 22+]]</f>
        <v>29</v>
      </c>
      <c r="BF42" s="425">
        <f>COUNTIF(Table1741[[#This Row],[K4]:[Gr8]],"&gt;0")</f>
        <v>10</v>
      </c>
      <c r="BG42" s="425">
        <f>COUNTIF(Table1741[[#This Row],[Gr9 FTE Sum]:[Gr12 FTE Sum]],"&gt;0")</f>
        <v>4</v>
      </c>
      <c r="BH42" s="432">
        <f t="shared" si="32"/>
        <v>14</v>
      </c>
      <c r="BI42" s="433">
        <f t="shared" si="23"/>
        <v>21.25</v>
      </c>
      <c r="BJ42" s="433">
        <f t="shared" si="24"/>
        <v>22.75</v>
      </c>
      <c r="BK42" s="433">
        <f t="shared" si="25"/>
        <v>21.678571428571427</v>
      </c>
      <c r="BL42" s="425" t="s">
        <v>442</v>
      </c>
      <c r="BM42" s="425" t="s">
        <v>1224</v>
      </c>
      <c r="BN42" s="425" t="s">
        <v>1225</v>
      </c>
      <c r="BO42" s="425" t="s">
        <v>1297</v>
      </c>
      <c r="BP42" s="425" t="s">
        <v>1297</v>
      </c>
      <c r="BQ42" s="425" t="s">
        <v>473</v>
      </c>
      <c r="BR42" s="425" t="s">
        <v>1226</v>
      </c>
      <c r="BS42" s="425" t="s">
        <v>1227</v>
      </c>
      <c r="BT42" s="425" t="s">
        <v>1228</v>
      </c>
      <c r="BU42" s="425" t="s">
        <v>1229</v>
      </c>
      <c r="BV42" s="425">
        <v>51.592910000000003</v>
      </c>
      <c r="BW42" s="425">
        <v>-98.687219999999996</v>
      </c>
      <c r="BX42" s="425" t="s">
        <v>1230</v>
      </c>
      <c r="BY42" s="425">
        <v>2922</v>
      </c>
      <c r="BZ42" s="425">
        <v>4618067</v>
      </c>
      <c r="CA42" s="425" t="s">
        <v>1231</v>
      </c>
      <c r="CB42" s="425" t="s">
        <v>1232</v>
      </c>
      <c r="CC42" s="425">
        <v>5733186</v>
      </c>
      <c r="CD42" s="425">
        <v>1680574</v>
      </c>
      <c r="CE42" s="427">
        <v>241</v>
      </c>
      <c r="CF42" s="435">
        <v>2</v>
      </c>
      <c r="CG42" s="425" t="s">
        <v>1233</v>
      </c>
      <c r="CH42" s="427">
        <v>236</v>
      </c>
      <c r="CI42" s="427" t="s">
        <v>1234</v>
      </c>
      <c r="CJ42" s="425" t="s">
        <v>1233</v>
      </c>
      <c r="CK42" s="436">
        <v>1.1100000000000001</v>
      </c>
      <c r="CL42" s="437">
        <v>4753.7</v>
      </c>
      <c r="CM42" s="438">
        <v>975</v>
      </c>
      <c r="CN42" s="425">
        <v>74.126000000000005</v>
      </c>
      <c r="CO42" s="425">
        <v>297</v>
      </c>
      <c r="CP42" s="436">
        <f t="shared" si="26"/>
        <v>4.0066913093921155</v>
      </c>
      <c r="CQ42" s="439">
        <f>Table1741[[#Totals],[Total Funded FTE]]/'F1. Prov School Area 1617'!$H$47</f>
        <v>2.1523671598590428E-3</v>
      </c>
    </row>
    <row r="43" spans="1:110" s="425" customFormat="1" ht="15">
      <c r="A43" s="426">
        <v>273</v>
      </c>
      <c r="B43" s="425" t="s">
        <v>402</v>
      </c>
      <c r="C43" s="427">
        <v>5717</v>
      </c>
      <c r="D43" s="425" t="s">
        <v>1302</v>
      </c>
      <c r="E43" s="428">
        <v>7.5</v>
      </c>
      <c r="F43" s="428">
        <v>16</v>
      </c>
      <c r="G43" s="428">
        <v>15</v>
      </c>
      <c r="H43" s="428">
        <v>9</v>
      </c>
      <c r="I43" s="428">
        <v>12</v>
      </c>
      <c r="J43" s="428">
        <v>14</v>
      </c>
      <c r="K43" s="428">
        <v>8</v>
      </c>
      <c r="L43" s="428">
        <v>14</v>
      </c>
      <c r="M43" s="428">
        <v>6</v>
      </c>
      <c r="N43" s="428">
        <v>6</v>
      </c>
      <c r="O43" s="428"/>
      <c r="P43" s="428">
        <v>0</v>
      </c>
      <c r="Q43" s="428">
        <v>0</v>
      </c>
      <c r="R43" s="428">
        <v>0</v>
      </c>
      <c r="S43" s="428">
        <v>0</v>
      </c>
      <c r="T43" s="428">
        <v>0</v>
      </c>
      <c r="U43" s="429">
        <v>107.5</v>
      </c>
      <c r="V43" s="428">
        <v>0</v>
      </c>
      <c r="W43" s="428">
        <v>0</v>
      </c>
      <c r="X43" s="428">
        <v>0</v>
      </c>
      <c r="Y43" s="428">
        <v>0</v>
      </c>
      <c r="Z43" s="428">
        <v>0</v>
      </c>
      <c r="AA43" s="429">
        <v>107.5</v>
      </c>
      <c r="AB43" s="425">
        <v>15</v>
      </c>
      <c r="AC43" s="425">
        <v>16</v>
      </c>
      <c r="AD43" s="425">
        <v>15</v>
      </c>
      <c r="AE43" s="425">
        <v>9</v>
      </c>
      <c r="AF43" s="425">
        <v>12</v>
      </c>
      <c r="AG43" s="425">
        <v>14</v>
      </c>
      <c r="AH43" s="425">
        <v>8</v>
      </c>
      <c r="AI43" s="425">
        <v>14</v>
      </c>
      <c r="AJ43" s="425">
        <v>6</v>
      </c>
      <c r="AK43" s="425">
        <v>6</v>
      </c>
      <c r="AM43" s="425">
        <v>0</v>
      </c>
      <c r="AN43" s="425">
        <v>0</v>
      </c>
      <c r="AO43" s="425">
        <v>0</v>
      </c>
      <c r="AP43" s="425">
        <v>0</v>
      </c>
      <c r="AQ43" s="425">
        <v>0</v>
      </c>
      <c r="AR43" s="430">
        <f t="shared" si="27"/>
        <v>115</v>
      </c>
      <c r="AS43" s="425">
        <v>0</v>
      </c>
      <c r="AT43" s="425">
        <v>0</v>
      </c>
      <c r="AU43" s="425">
        <v>0</v>
      </c>
      <c r="AV43" s="425">
        <v>0</v>
      </c>
      <c r="AW43" s="425">
        <v>0</v>
      </c>
      <c r="AX43" s="430">
        <f t="shared" si="28"/>
        <v>115</v>
      </c>
      <c r="AY43" s="425">
        <f t="shared" si="29"/>
        <v>107.5</v>
      </c>
      <c r="AZ43" s="428">
        <f t="shared" si="30"/>
        <v>0</v>
      </c>
      <c r="BA43" s="431">
        <f t="shared" si="31"/>
        <v>107.5</v>
      </c>
      <c r="BB43" s="425">
        <f>Table1741[[#This Row],[Gr9]]+Table1741[[#This Row],[Gr9 22+]]</f>
        <v>0</v>
      </c>
      <c r="BC43" s="425">
        <f>Table1741[[#This Row],[Gr10]]+Table1741[[#This Row],[Gr10 22+]]</f>
        <v>0</v>
      </c>
      <c r="BD43" s="425">
        <f>Table1741[[#This Row],[Gr11]]+Table1741[[#This Row],[Gr11 22+]]</f>
        <v>0</v>
      </c>
      <c r="BE43" s="425">
        <f>Table1741[[#This Row],[Gr12]]+Table1741[[#This Row],[Gr12 22+]]</f>
        <v>0</v>
      </c>
      <c r="BF43" s="425">
        <f>COUNTIF(Table1741[[#This Row],[K4]:[Gr8]],"&gt;0")</f>
        <v>10</v>
      </c>
      <c r="BG43" s="425">
        <f>COUNTIF(Table1741[[#This Row],[Gr9 FTE Sum]:[Gr12 FTE Sum]],"&gt;0")</f>
        <v>0</v>
      </c>
      <c r="BH43" s="432">
        <f t="shared" si="32"/>
        <v>10</v>
      </c>
      <c r="BI43" s="433">
        <f t="shared" si="23"/>
        <v>10.75</v>
      </c>
      <c r="BJ43" s="433">
        <f t="shared" si="24"/>
        <v>0</v>
      </c>
      <c r="BK43" s="433">
        <f t="shared" si="25"/>
        <v>10.75</v>
      </c>
      <c r="BL43" s="425" t="s">
        <v>438</v>
      </c>
      <c r="BM43" s="425" t="s">
        <v>1224</v>
      </c>
      <c r="BN43" s="425" t="s">
        <v>1164</v>
      </c>
      <c r="BO43" s="425" t="s">
        <v>1297</v>
      </c>
      <c r="BP43" s="434" t="s">
        <v>1298</v>
      </c>
      <c r="BQ43" s="425" t="s">
        <v>473</v>
      </c>
      <c r="BR43" s="425" t="s">
        <v>1263</v>
      </c>
      <c r="BS43" s="425" t="s">
        <v>1263</v>
      </c>
      <c r="BT43" s="425" t="s">
        <v>1228</v>
      </c>
      <c r="BU43" s="425" t="s">
        <v>1263</v>
      </c>
      <c r="BV43" s="425">
        <v>49.133220999999999</v>
      </c>
      <c r="BW43" s="425">
        <v>-97.239776000000006</v>
      </c>
      <c r="BX43" s="425" t="s">
        <v>1242</v>
      </c>
      <c r="BY43" s="425">
        <v>2737</v>
      </c>
      <c r="BZ43" s="425">
        <v>4602027</v>
      </c>
      <c r="CA43" s="425" t="s">
        <v>1264</v>
      </c>
      <c r="CB43" s="425" t="s">
        <v>1232</v>
      </c>
      <c r="CC43" s="425">
        <v>5808093</v>
      </c>
      <c r="CD43" s="425">
        <v>1401198</v>
      </c>
      <c r="CE43" s="427">
        <v>246</v>
      </c>
      <c r="CF43" s="435">
        <v>2</v>
      </c>
      <c r="CG43" s="425" t="s">
        <v>1233</v>
      </c>
      <c r="CH43" s="427">
        <v>100</v>
      </c>
      <c r="CI43" s="427" t="s">
        <v>1265</v>
      </c>
      <c r="CJ43" s="425" t="s">
        <v>1233</v>
      </c>
      <c r="CK43" s="436">
        <v>1.0900000000000001</v>
      </c>
      <c r="CL43" s="437">
        <v>2380</v>
      </c>
      <c r="CM43" s="438">
        <v>695</v>
      </c>
      <c r="CN43" s="425">
        <v>25.774999999999999</v>
      </c>
      <c r="CO43" s="425">
        <v>216</v>
      </c>
      <c r="CP43" s="436">
        <f t="shared" si="26"/>
        <v>8.3802133850630458</v>
      </c>
      <c r="CQ43" s="439">
        <f>Table1741[[#Totals],[Total Funded FTE]]/'F1. Prov School Area 1617'!$H$47</f>
        <v>2.1523671598590428E-3</v>
      </c>
    </row>
    <row r="44" spans="1:110" s="425" customFormat="1" ht="15">
      <c r="A44" s="426">
        <v>275</v>
      </c>
      <c r="B44" s="425" t="s">
        <v>390</v>
      </c>
      <c r="C44" s="427">
        <v>1144</v>
      </c>
      <c r="D44" s="425" t="s">
        <v>1303</v>
      </c>
      <c r="E44" s="428">
        <v>14</v>
      </c>
      <c r="F44" s="428">
        <v>12</v>
      </c>
      <c r="G44" s="428">
        <v>11</v>
      </c>
      <c r="H44" s="428">
        <v>15</v>
      </c>
      <c r="I44" s="428">
        <v>13</v>
      </c>
      <c r="J44" s="428">
        <v>12</v>
      </c>
      <c r="K44" s="428">
        <v>5</v>
      </c>
      <c r="L44" s="428">
        <v>8</v>
      </c>
      <c r="M44" s="428">
        <v>6</v>
      </c>
      <c r="N44" s="428">
        <v>8</v>
      </c>
      <c r="O44" s="428"/>
      <c r="P44" s="428">
        <v>8</v>
      </c>
      <c r="Q44" s="428">
        <v>0</v>
      </c>
      <c r="R44" s="428">
        <v>0</v>
      </c>
      <c r="S44" s="428">
        <v>0</v>
      </c>
      <c r="T44" s="428">
        <v>0</v>
      </c>
      <c r="U44" s="429">
        <v>112</v>
      </c>
      <c r="V44" s="428">
        <v>0</v>
      </c>
      <c r="W44" s="428">
        <v>0</v>
      </c>
      <c r="X44" s="428">
        <v>0</v>
      </c>
      <c r="Y44" s="428">
        <v>0</v>
      </c>
      <c r="Z44" s="428">
        <v>0</v>
      </c>
      <c r="AA44" s="429">
        <v>112</v>
      </c>
      <c r="AB44" s="425">
        <v>14</v>
      </c>
      <c r="AC44" s="425">
        <v>12</v>
      </c>
      <c r="AD44" s="425">
        <v>11</v>
      </c>
      <c r="AE44" s="425">
        <v>15</v>
      </c>
      <c r="AF44" s="425">
        <v>13</v>
      </c>
      <c r="AG44" s="425">
        <v>12</v>
      </c>
      <c r="AH44" s="425">
        <v>5</v>
      </c>
      <c r="AI44" s="425">
        <v>8</v>
      </c>
      <c r="AJ44" s="425">
        <v>6</v>
      </c>
      <c r="AK44" s="425">
        <v>8</v>
      </c>
      <c r="AM44" s="425">
        <v>8</v>
      </c>
      <c r="AN44" s="425">
        <v>0</v>
      </c>
      <c r="AO44" s="425">
        <v>0</v>
      </c>
      <c r="AP44" s="425">
        <v>0</v>
      </c>
      <c r="AQ44" s="425">
        <v>0</v>
      </c>
      <c r="AR44" s="430">
        <f t="shared" si="27"/>
        <v>112</v>
      </c>
      <c r="AS44" s="425">
        <v>0</v>
      </c>
      <c r="AT44" s="425">
        <v>0</v>
      </c>
      <c r="AU44" s="425">
        <v>0</v>
      </c>
      <c r="AV44" s="425">
        <v>0</v>
      </c>
      <c r="AW44" s="425">
        <v>0</v>
      </c>
      <c r="AX44" s="430">
        <f t="shared" si="28"/>
        <v>112</v>
      </c>
      <c r="AY44" s="425">
        <f t="shared" si="29"/>
        <v>104</v>
      </c>
      <c r="AZ44" s="428">
        <f t="shared" si="30"/>
        <v>8</v>
      </c>
      <c r="BA44" s="431">
        <f t="shared" si="31"/>
        <v>112</v>
      </c>
      <c r="BB44" s="425">
        <f>Table1741[[#This Row],[Gr9]]+Table1741[[#This Row],[Gr9 22+]]</f>
        <v>8</v>
      </c>
      <c r="BC44" s="425">
        <f>Table1741[[#This Row],[Gr10]]+Table1741[[#This Row],[Gr10 22+]]</f>
        <v>0</v>
      </c>
      <c r="BD44" s="425">
        <f>Table1741[[#This Row],[Gr11]]+Table1741[[#This Row],[Gr11 22+]]</f>
        <v>0</v>
      </c>
      <c r="BE44" s="425">
        <f>Table1741[[#This Row],[Gr12]]+Table1741[[#This Row],[Gr12 22+]]</f>
        <v>0</v>
      </c>
      <c r="BF44" s="425">
        <f>COUNTIF(Table1741[[#This Row],[K4]:[Gr8]],"&gt;0")</f>
        <v>10</v>
      </c>
      <c r="BG44" s="425">
        <f>COUNTIF(Table1741[[#This Row],[Gr9 FTE Sum]:[Gr12 FTE Sum]],"&gt;0")</f>
        <v>1</v>
      </c>
      <c r="BH44" s="432">
        <f t="shared" si="32"/>
        <v>11</v>
      </c>
      <c r="BI44" s="433">
        <f t="shared" si="23"/>
        <v>10.4</v>
      </c>
      <c r="BJ44" s="433">
        <f t="shared" si="24"/>
        <v>8</v>
      </c>
      <c r="BK44" s="433">
        <f t="shared" si="25"/>
        <v>10.181818181818182</v>
      </c>
      <c r="BL44" s="425" t="s">
        <v>1304</v>
      </c>
      <c r="BM44" s="425" t="s">
        <v>1224</v>
      </c>
      <c r="BN44" s="425" t="s">
        <v>1225</v>
      </c>
      <c r="BO44" s="434" t="s">
        <v>1298</v>
      </c>
      <c r="BP44" s="434" t="s">
        <v>1298</v>
      </c>
      <c r="BQ44" s="425" t="s">
        <v>473</v>
      </c>
      <c r="BR44" s="425" t="s">
        <v>1235</v>
      </c>
      <c r="BS44" s="425" t="s">
        <v>1233</v>
      </c>
      <c r="BT44" s="425" t="s">
        <v>1228</v>
      </c>
      <c r="BU44" s="425" t="s">
        <v>1236</v>
      </c>
      <c r="BV44" s="425">
        <v>49.883907000000001</v>
      </c>
      <c r="BW44" s="425">
        <v>-97.225853000000001</v>
      </c>
      <c r="BX44" s="425" t="s">
        <v>1237</v>
      </c>
      <c r="BY44" s="425">
        <v>2941</v>
      </c>
      <c r="BZ44" s="425">
        <v>4619065</v>
      </c>
      <c r="CA44" s="425" t="s">
        <v>1238</v>
      </c>
      <c r="CB44" s="425" t="s">
        <v>1232</v>
      </c>
      <c r="CC44" s="425">
        <v>5752386</v>
      </c>
      <c r="CD44" s="425">
        <v>1700661</v>
      </c>
      <c r="CE44" s="427">
        <v>225</v>
      </c>
      <c r="CF44" s="435">
        <v>2</v>
      </c>
      <c r="CG44" s="425" t="s">
        <v>1233</v>
      </c>
      <c r="CH44" s="427">
        <v>9</v>
      </c>
      <c r="CI44" s="427" t="s">
        <v>1234</v>
      </c>
      <c r="CJ44" s="425" t="s">
        <v>1233</v>
      </c>
      <c r="CK44" s="436">
        <v>1.1100000000000001</v>
      </c>
      <c r="CL44" s="606">
        <v>4032</v>
      </c>
      <c r="CM44" s="438">
        <v>505</v>
      </c>
      <c r="CN44" s="425">
        <v>35.953000000000003</v>
      </c>
      <c r="CO44" s="425">
        <v>182</v>
      </c>
      <c r="CP44" s="436">
        <f t="shared" si="26"/>
        <v>5.0621644925319167</v>
      </c>
      <c r="CQ44" s="439">
        <f>Table1741[[#Totals],[Total Funded FTE]]/'F1. Prov School Area 1617'!$H$47</f>
        <v>2.1523671598590428E-3</v>
      </c>
    </row>
    <row r="45" spans="1:110" s="425" customFormat="1" ht="15">
      <c r="A45" s="426">
        <v>286</v>
      </c>
      <c r="B45" s="425" t="s">
        <v>406</v>
      </c>
      <c r="C45" s="427">
        <v>8990</v>
      </c>
      <c r="D45" s="425" t="s">
        <v>1305</v>
      </c>
      <c r="E45" s="428">
        <v>4.5</v>
      </c>
      <c r="F45" s="428">
        <v>6</v>
      </c>
      <c r="G45" s="428">
        <v>14</v>
      </c>
      <c r="H45" s="428">
        <v>9</v>
      </c>
      <c r="I45" s="428">
        <v>12</v>
      </c>
      <c r="J45" s="428">
        <v>7</v>
      </c>
      <c r="K45" s="428">
        <v>8</v>
      </c>
      <c r="L45" s="428">
        <v>4</v>
      </c>
      <c r="M45" s="428">
        <v>8</v>
      </c>
      <c r="N45" s="428">
        <v>6</v>
      </c>
      <c r="O45" s="428"/>
      <c r="P45" s="428">
        <v>0</v>
      </c>
      <c r="Q45" s="428">
        <v>0</v>
      </c>
      <c r="R45" s="428">
        <v>0</v>
      </c>
      <c r="S45" s="428">
        <v>0</v>
      </c>
      <c r="T45" s="428">
        <v>0</v>
      </c>
      <c r="U45" s="429">
        <v>78.5</v>
      </c>
      <c r="V45" s="428">
        <v>0</v>
      </c>
      <c r="W45" s="428">
        <v>0</v>
      </c>
      <c r="X45" s="428">
        <v>0</v>
      </c>
      <c r="Y45" s="428">
        <v>0</v>
      </c>
      <c r="Z45" s="428">
        <v>0</v>
      </c>
      <c r="AA45" s="429">
        <v>78.5</v>
      </c>
      <c r="AB45" s="425">
        <v>9</v>
      </c>
      <c r="AC45" s="425">
        <v>6</v>
      </c>
      <c r="AD45" s="425">
        <v>14</v>
      </c>
      <c r="AE45" s="425">
        <v>9</v>
      </c>
      <c r="AF45" s="425">
        <v>12</v>
      </c>
      <c r="AG45" s="425">
        <v>7</v>
      </c>
      <c r="AH45" s="425">
        <v>8</v>
      </c>
      <c r="AI45" s="425">
        <v>4</v>
      </c>
      <c r="AJ45" s="425">
        <v>8</v>
      </c>
      <c r="AK45" s="425">
        <v>6</v>
      </c>
      <c r="AM45" s="425">
        <v>0</v>
      </c>
      <c r="AN45" s="425">
        <v>0</v>
      </c>
      <c r="AO45" s="425">
        <v>0</v>
      </c>
      <c r="AP45" s="425">
        <v>0</v>
      </c>
      <c r="AQ45" s="425">
        <v>0</v>
      </c>
      <c r="AR45" s="430">
        <f t="shared" si="27"/>
        <v>83</v>
      </c>
      <c r="AS45" s="425">
        <v>0</v>
      </c>
      <c r="AT45" s="425">
        <v>0</v>
      </c>
      <c r="AU45" s="425">
        <v>0</v>
      </c>
      <c r="AV45" s="425">
        <v>0</v>
      </c>
      <c r="AW45" s="425">
        <v>0</v>
      </c>
      <c r="AX45" s="430">
        <f t="shared" si="28"/>
        <v>83</v>
      </c>
      <c r="AY45" s="425">
        <f t="shared" si="29"/>
        <v>78.5</v>
      </c>
      <c r="AZ45" s="428">
        <f t="shared" si="30"/>
        <v>0</v>
      </c>
      <c r="BA45" s="431">
        <f t="shared" si="31"/>
        <v>78.5</v>
      </c>
      <c r="BB45" s="425">
        <f>Table1741[[#This Row],[Gr9]]+Table1741[[#This Row],[Gr9 22+]]</f>
        <v>0</v>
      </c>
      <c r="BC45" s="425">
        <f>Table1741[[#This Row],[Gr10]]+Table1741[[#This Row],[Gr10 22+]]</f>
        <v>0</v>
      </c>
      <c r="BD45" s="425">
        <f>Table1741[[#This Row],[Gr11]]+Table1741[[#This Row],[Gr11 22+]]</f>
        <v>0</v>
      </c>
      <c r="BE45" s="425">
        <f>Table1741[[#This Row],[Gr12]]+Table1741[[#This Row],[Gr12 22+]]</f>
        <v>0</v>
      </c>
      <c r="BF45" s="425">
        <f>COUNTIF(Table1741[[#This Row],[K4]:[Gr8]],"&gt;0")</f>
        <v>10</v>
      </c>
      <c r="BG45" s="425">
        <f>COUNTIF(Table1741[[#This Row],[Gr9 FTE Sum]:[Gr12 FTE Sum]],"&gt;0")</f>
        <v>0</v>
      </c>
      <c r="BH45" s="432">
        <f t="shared" si="32"/>
        <v>10</v>
      </c>
      <c r="BI45" s="433">
        <f t="shared" si="23"/>
        <v>7.85</v>
      </c>
      <c r="BJ45" s="433">
        <f t="shared" si="24"/>
        <v>0</v>
      </c>
      <c r="BK45" s="433">
        <f t="shared" si="25"/>
        <v>7.85</v>
      </c>
      <c r="BL45" s="425" t="s">
        <v>446</v>
      </c>
      <c r="BM45" s="425" t="s">
        <v>1224</v>
      </c>
      <c r="BN45" s="425" t="s">
        <v>1164</v>
      </c>
      <c r="BO45" s="425" t="s">
        <v>1306</v>
      </c>
      <c r="BP45" s="434" t="s">
        <v>1298</v>
      </c>
      <c r="BQ45" s="425" t="s">
        <v>473</v>
      </c>
      <c r="BR45" s="425" t="s">
        <v>1270</v>
      </c>
      <c r="BS45" s="425" t="s">
        <v>1271</v>
      </c>
      <c r="BT45" s="425" t="s">
        <v>1228</v>
      </c>
      <c r="BU45" s="425" t="s">
        <v>1272</v>
      </c>
      <c r="BV45" s="425">
        <v>50.629339999999999</v>
      </c>
      <c r="BW45" s="425">
        <v>-100.177097</v>
      </c>
      <c r="BX45" s="425" t="s">
        <v>1242</v>
      </c>
      <c r="BY45" s="425">
        <v>2870</v>
      </c>
      <c r="BZ45" s="425">
        <v>4615067</v>
      </c>
      <c r="CA45" s="425" t="s">
        <v>1273</v>
      </c>
      <c r="CB45" s="425" t="s">
        <v>1232</v>
      </c>
      <c r="CC45" s="425">
        <v>5605494</v>
      </c>
      <c r="CD45" s="425">
        <v>1579529</v>
      </c>
      <c r="CE45" s="427">
        <v>222</v>
      </c>
      <c r="CF45" s="435">
        <v>2</v>
      </c>
      <c r="CG45" s="425" t="s">
        <v>845</v>
      </c>
      <c r="CH45" s="427">
        <v>276</v>
      </c>
      <c r="CI45" s="427" t="s">
        <v>1234</v>
      </c>
      <c r="CJ45" s="425" t="s">
        <v>845</v>
      </c>
      <c r="CK45" s="436">
        <v>1.1100000000000001</v>
      </c>
      <c r="CL45" s="437">
        <v>1585</v>
      </c>
      <c r="CM45" s="438">
        <v>440</v>
      </c>
      <c r="CN45" s="425">
        <v>25.908000000000001</v>
      </c>
      <c r="CO45" s="425">
        <v>112</v>
      </c>
      <c r="CP45" s="436">
        <f t="shared" si="26"/>
        <v>4.3229890381349385</v>
      </c>
      <c r="CQ45" s="439">
        <f>Table1741[[#Totals],[Total Funded FTE]]/'F1. Prov School Area 1617'!$H$47</f>
        <v>2.1523671598590428E-3</v>
      </c>
    </row>
    <row r="46" spans="1:110" s="425" customFormat="1" ht="15">
      <c r="A46" s="426">
        <v>288</v>
      </c>
      <c r="B46" s="425" t="s">
        <v>398</v>
      </c>
      <c r="C46" s="427">
        <v>1486</v>
      </c>
      <c r="D46" s="425" t="s">
        <v>1307</v>
      </c>
      <c r="E46" s="428">
        <v>0</v>
      </c>
      <c r="F46" s="428">
        <v>6</v>
      </c>
      <c r="G46" s="428">
        <v>10</v>
      </c>
      <c r="H46" s="428">
        <v>9</v>
      </c>
      <c r="I46" s="428">
        <v>7</v>
      </c>
      <c r="J46" s="428">
        <v>17</v>
      </c>
      <c r="K46" s="428">
        <v>11</v>
      </c>
      <c r="L46" s="428">
        <v>7</v>
      </c>
      <c r="M46" s="428">
        <v>10</v>
      </c>
      <c r="N46" s="428">
        <v>8</v>
      </c>
      <c r="O46" s="428"/>
      <c r="P46" s="428">
        <v>0</v>
      </c>
      <c r="Q46" s="428">
        <v>0</v>
      </c>
      <c r="R46" s="428">
        <v>0</v>
      </c>
      <c r="S46" s="428">
        <v>0</v>
      </c>
      <c r="T46" s="428">
        <v>0</v>
      </c>
      <c r="U46" s="429">
        <v>85</v>
      </c>
      <c r="V46" s="428">
        <v>0</v>
      </c>
      <c r="W46" s="428">
        <v>0</v>
      </c>
      <c r="X46" s="428">
        <v>0</v>
      </c>
      <c r="Y46" s="428">
        <v>0</v>
      </c>
      <c r="Z46" s="428">
        <v>0</v>
      </c>
      <c r="AA46" s="429">
        <v>85</v>
      </c>
      <c r="AB46" s="425">
        <v>0</v>
      </c>
      <c r="AC46" s="425">
        <v>6</v>
      </c>
      <c r="AD46" s="425">
        <v>10</v>
      </c>
      <c r="AE46" s="425">
        <v>9</v>
      </c>
      <c r="AF46" s="425">
        <v>7</v>
      </c>
      <c r="AG46" s="425">
        <v>17</v>
      </c>
      <c r="AH46" s="425">
        <v>11</v>
      </c>
      <c r="AI46" s="425">
        <v>7</v>
      </c>
      <c r="AJ46" s="425">
        <v>10</v>
      </c>
      <c r="AK46" s="425">
        <v>8</v>
      </c>
      <c r="AM46" s="425">
        <v>0</v>
      </c>
      <c r="AN46" s="425">
        <v>0</v>
      </c>
      <c r="AO46" s="425">
        <v>0</v>
      </c>
      <c r="AP46" s="425">
        <v>0</v>
      </c>
      <c r="AQ46" s="425">
        <v>0</v>
      </c>
      <c r="AR46" s="430">
        <f t="shared" si="27"/>
        <v>85</v>
      </c>
      <c r="AS46" s="425">
        <v>0</v>
      </c>
      <c r="AT46" s="425">
        <v>0</v>
      </c>
      <c r="AU46" s="425">
        <v>0</v>
      </c>
      <c r="AV46" s="425">
        <v>0</v>
      </c>
      <c r="AW46" s="425">
        <v>0</v>
      </c>
      <c r="AX46" s="430">
        <f t="shared" si="28"/>
        <v>85</v>
      </c>
      <c r="AY46" s="425">
        <f t="shared" si="29"/>
        <v>85</v>
      </c>
      <c r="AZ46" s="428">
        <f t="shared" si="30"/>
        <v>0</v>
      </c>
      <c r="BA46" s="431">
        <f t="shared" si="31"/>
        <v>85</v>
      </c>
      <c r="BB46" s="425">
        <f>Table1741[[#This Row],[Gr9]]+Table1741[[#This Row],[Gr9 22+]]</f>
        <v>0</v>
      </c>
      <c r="BC46" s="425">
        <f>Table1741[[#This Row],[Gr10]]+Table1741[[#This Row],[Gr10 22+]]</f>
        <v>0</v>
      </c>
      <c r="BD46" s="425">
        <f>Table1741[[#This Row],[Gr11]]+Table1741[[#This Row],[Gr11 22+]]</f>
        <v>0</v>
      </c>
      <c r="BE46" s="425">
        <f>Table1741[[#This Row],[Gr12]]+Table1741[[#This Row],[Gr12 22+]]</f>
        <v>0</v>
      </c>
      <c r="BF46" s="425">
        <f>COUNTIF(Table1741[[#This Row],[K4]:[Gr8]],"&gt;0")</f>
        <v>9</v>
      </c>
      <c r="BG46" s="425">
        <f>COUNTIF(Table1741[[#This Row],[Gr9 FTE Sum]:[Gr12 FTE Sum]],"&gt;0")</f>
        <v>0</v>
      </c>
      <c r="BH46" s="432">
        <f t="shared" si="32"/>
        <v>9</v>
      </c>
      <c r="BI46" s="433">
        <f t="shared" si="23"/>
        <v>9.4444444444444446</v>
      </c>
      <c r="BJ46" s="433">
        <f t="shared" si="24"/>
        <v>0</v>
      </c>
      <c r="BK46" s="433">
        <f t="shared" si="25"/>
        <v>9.4444444444444446</v>
      </c>
      <c r="BL46" s="425" t="s">
        <v>445</v>
      </c>
      <c r="BM46" s="425" t="s">
        <v>1224</v>
      </c>
      <c r="BN46" s="425" t="s">
        <v>1164</v>
      </c>
      <c r="BO46" s="425" t="s">
        <v>1306</v>
      </c>
      <c r="BP46" s="434" t="s">
        <v>1298</v>
      </c>
      <c r="BQ46" s="425" t="s">
        <v>473</v>
      </c>
      <c r="BR46" s="425" t="s">
        <v>1255</v>
      </c>
      <c r="BS46" s="425" t="s">
        <v>1256</v>
      </c>
      <c r="BT46" s="425" t="s">
        <v>1228</v>
      </c>
      <c r="BU46" s="425" t="s">
        <v>1257</v>
      </c>
      <c r="BV46" s="425">
        <v>49.818753999999998</v>
      </c>
      <c r="BW46" s="425">
        <v>-98.520718000000002</v>
      </c>
      <c r="BX46" s="425" t="s">
        <v>1242</v>
      </c>
      <c r="BY46" s="425">
        <v>2829</v>
      </c>
      <c r="BZ46" s="425">
        <v>4609026</v>
      </c>
      <c r="CA46" s="425" t="s">
        <v>1258</v>
      </c>
      <c r="CB46" s="425" t="s">
        <v>1232</v>
      </c>
      <c r="CC46" s="425">
        <v>5723238</v>
      </c>
      <c r="CD46" s="425">
        <v>1485021</v>
      </c>
      <c r="CE46" s="427">
        <v>210</v>
      </c>
      <c r="CF46" s="435">
        <v>1</v>
      </c>
      <c r="CG46" s="425" t="s">
        <v>1233</v>
      </c>
      <c r="CH46" s="427">
        <v>122</v>
      </c>
      <c r="CI46" s="427" t="s">
        <v>1234</v>
      </c>
      <c r="CJ46" s="425" t="s">
        <v>856</v>
      </c>
      <c r="CK46" s="436">
        <v>1.06</v>
      </c>
      <c r="CL46" s="437">
        <v>1385</v>
      </c>
      <c r="CM46" s="438">
        <v>115</v>
      </c>
      <c r="CN46" s="425">
        <v>5.3010000000000002</v>
      </c>
      <c r="CO46" s="425">
        <v>82</v>
      </c>
      <c r="CP46" s="436">
        <f t="shared" si="26"/>
        <v>15.468779475570647</v>
      </c>
      <c r="CQ46" s="439">
        <f>Table1741[[#Totals],[Total Funded FTE]]/'F1. Prov School Area 1617'!$H$47</f>
        <v>2.1523671598590428E-3</v>
      </c>
      <c r="CR46" s="425">
        <v>0</v>
      </c>
    </row>
    <row r="47" spans="1:110" s="425" customFormat="1" ht="15">
      <c r="A47" s="426">
        <v>304</v>
      </c>
      <c r="B47" s="425" t="s">
        <v>394</v>
      </c>
      <c r="C47" s="427">
        <v>1166</v>
      </c>
      <c r="D47" s="425" t="s">
        <v>1308</v>
      </c>
      <c r="E47" s="428">
        <v>6</v>
      </c>
      <c r="F47" s="428">
        <v>10</v>
      </c>
      <c r="G47" s="428">
        <v>13</v>
      </c>
      <c r="H47" s="428">
        <v>5</v>
      </c>
      <c r="I47" s="428">
        <v>10</v>
      </c>
      <c r="J47" s="428">
        <v>9</v>
      </c>
      <c r="K47" s="428">
        <v>8</v>
      </c>
      <c r="L47" s="428">
        <v>8</v>
      </c>
      <c r="M47" s="428">
        <v>10</v>
      </c>
      <c r="N47" s="428">
        <v>13</v>
      </c>
      <c r="O47" s="428"/>
      <c r="P47" s="428">
        <v>16</v>
      </c>
      <c r="Q47" s="428">
        <v>0</v>
      </c>
      <c r="R47" s="428">
        <v>0</v>
      </c>
      <c r="S47" s="428">
        <v>0</v>
      </c>
      <c r="T47" s="428">
        <v>0</v>
      </c>
      <c r="U47" s="429">
        <v>108</v>
      </c>
      <c r="V47" s="428">
        <v>0</v>
      </c>
      <c r="W47" s="428">
        <v>0</v>
      </c>
      <c r="X47" s="428">
        <v>0</v>
      </c>
      <c r="Y47" s="428">
        <v>0</v>
      </c>
      <c r="Z47" s="428">
        <v>0</v>
      </c>
      <c r="AA47" s="429">
        <v>108</v>
      </c>
      <c r="AB47" s="425">
        <v>6</v>
      </c>
      <c r="AC47" s="425">
        <v>10</v>
      </c>
      <c r="AD47" s="425">
        <v>13</v>
      </c>
      <c r="AE47" s="425">
        <v>5</v>
      </c>
      <c r="AF47" s="425">
        <v>10</v>
      </c>
      <c r="AG47" s="425">
        <v>9</v>
      </c>
      <c r="AH47" s="425">
        <v>8</v>
      </c>
      <c r="AI47" s="425">
        <v>8</v>
      </c>
      <c r="AJ47" s="425">
        <v>10</v>
      </c>
      <c r="AK47" s="425">
        <v>13</v>
      </c>
      <c r="AM47" s="425">
        <v>16</v>
      </c>
      <c r="AN47" s="425">
        <v>0</v>
      </c>
      <c r="AO47" s="425">
        <v>0</v>
      </c>
      <c r="AP47" s="425">
        <v>0</v>
      </c>
      <c r="AQ47" s="425">
        <v>0</v>
      </c>
      <c r="AR47" s="430">
        <f t="shared" si="27"/>
        <v>108</v>
      </c>
      <c r="AS47" s="425">
        <v>0</v>
      </c>
      <c r="AT47" s="425">
        <v>0</v>
      </c>
      <c r="AU47" s="425">
        <v>0</v>
      </c>
      <c r="AV47" s="425">
        <v>0</v>
      </c>
      <c r="AW47" s="425">
        <v>0</v>
      </c>
      <c r="AX47" s="430">
        <f t="shared" si="28"/>
        <v>108</v>
      </c>
      <c r="AY47" s="425">
        <f t="shared" si="29"/>
        <v>92</v>
      </c>
      <c r="AZ47" s="428">
        <f t="shared" si="30"/>
        <v>16</v>
      </c>
      <c r="BA47" s="431">
        <f t="shared" si="31"/>
        <v>108</v>
      </c>
      <c r="BB47" s="425">
        <f>Table1741[[#This Row],[Gr9]]+Table1741[[#This Row],[Gr9 22+]]</f>
        <v>16</v>
      </c>
      <c r="BC47" s="425">
        <f>Table1741[[#This Row],[Gr10]]+Table1741[[#This Row],[Gr10 22+]]</f>
        <v>0</v>
      </c>
      <c r="BD47" s="425">
        <f>Table1741[[#This Row],[Gr11]]+Table1741[[#This Row],[Gr11 22+]]</f>
        <v>0</v>
      </c>
      <c r="BE47" s="425">
        <f>Table1741[[#This Row],[Gr12]]+Table1741[[#This Row],[Gr12 22+]]</f>
        <v>0</v>
      </c>
      <c r="BF47" s="425">
        <f>COUNTIF(Table1741[[#This Row],[K4]:[Gr8]],"&gt;0")</f>
        <v>10</v>
      </c>
      <c r="BG47" s="425">
        <f>COUNTIF(Table1741[[#This Row],[Gr9 FTE Sum]:[Gr12 FTE Sum]],"&gt;0")</f>
        <v>1</v>
      </c>
      <c r="BH47" s="432">
        <f t="shared" si="32"/>
        <v>11</v>
      </c>
      <c r="BI47" s="433">
        <f t="shared" si="23"/>
        <v>9.1999999999999993</v>
      </c>
      <c r="BJ47" s="433">
        <f t="shared" si="24"/>
        <v>16</v>
      </c>
      <c r="BK47" s="433">
        <f t="shared" si="25"/>
        <v>9.8181818181818183</v>
      </c>
      <c r="BL47" s="425" t="s">
        <v>441</v>
      </c>
      <c r="BM47" s="425" t="s">
        <v>1224</v>
      </c>
      <c r="BN47" s="425" t="s">
        <v>1164</v>
      </c>
      <c r="BO47" s="434" t="s">
        <v>1298</v>
      </c>
      <c r="BP47" s="434" t="s">
        <v>1298</v>
      </c>
      <c r="BQ47" s="425" t="s">
        <v>474</v>
      </c>
      <c r="BR47" s="425" t="s">
        <v>1245</v>
      </c>
      <c r="BS47" s="425" t="s">
        <v>1246</v>
      </c>
      <c r="BT47" s="425" t="s">
        <v>1228</v>
      </c>
      <c r="BU47" s="425" t="s">
        <v>1247</v>
      </c>
      <c r="BV47" s="425">
        <v>56.087443</v>
      </c>
      <c r="BW47" s="425">
        <v>-96.098977000000005</v>
      </c>
      <c r="BX47" s="425" t="s">
        <v>1242</v>
      </c>
      <c r="BY47" s="425">
        <v>2989</v>
      </c>
      <c r="BZ47" s="425">
        <v>4622065</v>
      </c>
      <c r="CA47" s="425" t="s">
        <v>1096</v>
      </c>
      <c r="CB47" s="425" t="s">
        <v>1232</v>
      </c>
      <c r="CC47" s="425">
        <v>5942112</v>
      </c>
      <c r="CD47" s="425">
        <v>2175215</v>
      </c>
      <c r="CE47" s="427">
        <v>261</v>
      </c>
      <c r="CF47" s="435">
        <v>4</v>
      </c>
      <c r="CG47" s="425" t="s">
        <v>1248</v>
      </c>
      <c r="CH47" s="427">
        <v>936</v>
      </c>
      <c r="CI47" s="427" t="s">
        <v>1249</v>
      </c>
      <c r="CJ47" s="425" t="s">
        <v>1248</v>
      </c>
      <c r="CK47" s="436">
        <v>1.3</v>
      </c>
      <c r="CL47" s="437">
        <v>1390</v>
      </c>
      <c r="CM47" s="438">
        <v>450</v>
      </c>
      <c r="CN47" s="425">
        <v>9.6739999999999995</v>
      </c>
      <c r="CO47" s="425">
        <v>123</v>
      </c>
      <c r="CP47" s="436">
        <f t="shared" si="26"/>
        <v>12.714492454000414</v>
      </c>
      <c r="CQ47" s="439">
        <f>Table1741[[#Totals],[Total Funded FTE]]/'F1. Prov School Area 1617'!$H$47</f>
        <v>2.1523671598590428E-3</v>
      </c>
      <c r="CV47" s="425">
        <v>2</v>
      </c>
    </row>
    <row r="48" spans="1:110" s="425" customFormat="1" ht="15">
      <c r="A48" s="426">
        <v>305</v>
      </c>
      <c r="B48" s="425" t="s">
        <v>404</v>
      </c>
      <c r="C48" s="427">
        <v>6413</v>
      </c>
      <c r="D48" s="425" t="s">
        <v>1309</v>
      </c>
      <c r="E48" s="428">
        <v>1.5</v>
      </c>
      <c r="F48" s="428">
        <v>1</v>
      </c>
      <c r="G48" s="428">
        <v>1.5</v>
      </c>
      <c r="H48" s="428">
        <v>7</v>
      </c>
      <c r="I48" s="428">
        <v>1</v>
      </c>
      <c r="J48" s="428">
        <v>3</v>
      </c>
      <c r="K48" s="428">
        <v>3</v>
      </c>
      <c r="L48" s="428">
        <v>1</v>
      </c>
      <c r="M48" s="428">
        <v>0</v>
      </c>
      <c r="N48" s="428">
        <v>2</v>
      </c>
      <c r="O48" s="428"/>
      <c r="P48" s="428">
        <v>0</v>
      </c>
      <c r="Q48" s="428">
        <v>0</v>
      </c>
      <c r="R48" s="428">
        <v>0</v>
      </c>
      <c r="S48" s="428">
        <v>0</v>
      </c>
      <c r="T48" s="428">
        <v>0</v>
      </c>
      <c r="U48" s="437">
        <v>21</v>
      </c>
      <c r="V48" s="428">
        <v>0</v>
      </c>
      <c r="W48" s="428">
        <v>0</v>
      </c>
      <c r="X48" s="428">
        <v>0</v>
      </c>
      <c r="Y48" s="428">
        <v>0</v>
      </c>
      <c r="Z48" s="428">
        <v>0</v>
      </c>
      <c r="AA48" s="442">
        <v>21</v>
      </c>
      <c r="AB48" s="425">
        <v>3</v>
      </c>
      <c r="AC48" s="425">
        <v>1</v>
      </c>
      <c r="AD48" s="425">
        <v>2</v>
      </c>
      <c r="AE48" s="425">
        <v>7</v>
      </c>
      <c r="AF48" s="425">
        <v>1</v>
      </c>
      <c r="AG48" s="425">
        <v>3</v>
      </c>
      <c r="AH48" s="425">
        <v>3</v>
      </c>
      <c r="AI48" s="425">
        <v>1</v>
      </c>
      <c r="AJ48" s="425">
        <v>0</v>
      </c>
      <c r="AK48" s="425">
        <v>2</v>
      </c>
      <c r="AM48" s="425">
        <v>0</v>
      </c>
      <c r="AN48" s="425">
        <v>0</v>
      </c>
      <c r="AO48" s="425">
        <v>0</v>
      </c>
      <c r="AP48" s="425">
        <v>0</v>
      </c>
      <c r="AQ48" s="425">
        <v>0</v>
      </c>
      <c r="AR48" s="443">
        <f t="shared" si="27"/>
        <v>23</v>
      </c>
      <c r="AS48" s="425">
        <v>0</v>
      </c>
      <c r="AT48" s="425">
        <v>0</v>
      </c>
      <c r="AU48" s="425">
        <v>0</v>
      </c>
      <c r="AV48" s="425">
        <v>0</v>
      </c>
      <c r="AW48" s="425">
        <v>0</v>
      </c>
      <c r="AX48" s="443">
        <f t="shared" si="28"/>
        <v>23</v>
      </c>
      <c r="AY48" s="425">
        <f t="shared" si="29"/>
        <v>21</v>
      </c>
      <c r="AZ48" s="428">
        <f t="shared" si="30"/>
        <v>0</v>
      </c>
      <c r="BA48" s="431">
        <f>SUM(AY48:AZ48)</f>
        <v>21</v>
      </c>
      <c r="BB48" s="425">
        <f>Table1741[[#This Row],[Gr9]]+Table1741[[#This Row],[Gr9 22+]]</f>
        <v>0</v>
      </c>
      <c r="BC48" s="425">
        <f>Table1741[[#This Row],[Gr10]]+Table1741[[#This Row],[Gr10 22+]]</f>
        <v>0</v>
      </c>
      <c r="BD48" s="425">
        <f>Table1741[[#This Row],[Gr11]]+Table1741[[#This Row],[Gr11 22+]]</f>
        <v>0</v>
      </c>
      <c r="BE48" s="425">
        <f>Table1741[[#This Row],[Gr12]]+Table1741[[#This Row],[Gr12 22+]]</f>
        <v>0</v>
      </c>
      <c r="BF48" s="425">
        <f>COUNTIF(Table1741[[#This Row],[K4]:[Gr8]],"&gt;0")</f>
        <v>9</v>
      </c>
      <c r="BG48" s="425">
        <f>COUNTIF(Table1741[[#This Row],[Gr9 FTE Sum]:[Gr12 FTE Sum]],"&gt;0")</f>
        <v>0</v>
      </c>
      <c r="BH48" s="432">
        <f>SUM(BF48:BG48)</f>
        <v>9</v>
      </c>
      <c r="BI48" s="433">
        <f t="shared" si="23"/>
        <v>2.3333333333333335</v>
      </c>
      <c r="BJ48" s="433">
        <f t="shared" si="24"/>
        <v>0</v>
      </c>
      <c r="BK48" s="433">
        <f t="shared" si="25"/>
        <v>2.3333333333333335</v>
      </c>
      <c r="BL48" s="425" t="s">
        <v>441</v>
      </c>
      <c r="BM48" s="425" t="s">
        <v>1224</v>
      </c>
      <c r="BN48" s="425" t="s">
        <v>1225</v>
      </c>
      <c r="BO48" s="434" t="s">
        <v>1297</v>
      </c>
      <c r="BP48" s="434" t="s">
        <v>1298</v>
      </c>
      <c r="BQ48" s="425" t="s">
        <v>474</v>
      </c>
      <c r="BR48" s="425" t="s">
        <v>1266</v>
      </c>
      <c r="BS48" s="425" t="s">
        <v>1267</v>
      </c>
      <c r="BT48" s="425" t="s">
        <v>1228</v>
      </c>
      <c r="BU48" s="425" t="s">
        <v>1268</v>
      </c>
      <c r="BV48" s="425">
        <v>56.34572</v>
      </c>
      <c r="BW48" s="425">
        <v>-94.709654999999998</v>
      </c>
      <c r="BX48" s="425" t="s">
        <v>1242</v>
      </c>
      <c r="BY48" s="425">
        <v>2994</v>
      </c>
      <c r="BZ48" s="425">
        <v>4623025</v>
      </c>
      <c r="CA48" s="425" t="s">
        <v>1095</v>
      </c>
      <c r="CB48" s="425" t="s">
        <v>1232</v>
      </c>
      <c r="CC48" s="425">
        <v>6023423</v>
      </c>
      <c r="CD48" s="425">
        <v>2198424</v>
      </c>
      <c r="CE48" s="427">
        <v>216</v>
      </c>
      <c r="CF48" s="435">
        <v>2</v>
      </c>
      <c r="CG48" s="425" t="s">
        <v>1248</v>
      </c>
      <c r="CH48" s="427">
        <v>1064</v>
      </c>
      <c r="CI48" s="427" t="s">
        <v>1269</v>
      </c>
      <c r="CJ48" s="425" t="s">
        <v>1248</v>
      </c>
      <c r="CK48" s="436">
        <v>1.1499999999999999</v>
      </c>
      <c r="CL48" s="437">
        <v>1416</v>
      </c>
      <c r="CM48" s="438">
        <v>265</v>
      </c>
      <c r="CN48" s="425">
        <v>17.413</v>
      </c>
      <c r="CO48" s="425">
        <v>53</v>
      </c>
      <c r="CP48" s="436">
        <f>CO48/CN48</f>
        <v>3.0437029805317866</v>
      </c>
      <c r="CQ48" s="439">
        <f>Table1741[[#Totals],[Total Funded FTE]]/'F1. Prov School Area 1617'!$H$47</f>
        <v>2.1523671598590428E-3</v>
      </c>
    </row>
    <row r="49" spans="1:103" s="425" customFormat="1" ht="15">
      <c r="A49" s="607" t="s">
        <v>72</v>
      </c>
      <c r="C49" s="427"/>
      <c r="E49" s="428">
        <f>SUBTOTAL(109,Table1741[K4])</f>
        <v>69.5</v>
      </c>
      <c r="F49" s="428">
        <f>SUBTOTAL(109,Table1741[K5])</f>
        <v>99</v>
      </c>
      <c r="G49" s="428">
        <f>SUBTOTAL(109,Table1741[Gr1])</f>
        <v>142</v>
      </c>
      <c r="H49" s="428">
        <f>SUBTOTAL(109,Table1741[Gr2])</f>
        <v>124</v>
      </c>
      <c r="I49" s="428">
        <f>SUBTOTAL(109,Table1741[Gr3])</f>
        <v>127</v>
      </c>
      <c r="J49" s="428">
        <f>SUBTOTAL(109,Table1741[Gr4])</f>
        <v>153</v>
      </c>
      <c r="K49" s="428">
        <f>SUBTOTAL(109,Table1741[Gr5])</f>
        <v>110</v>
      </c>
      <c r="L49" s="428">
        <f>SUBTOTAL(109,Table1741[Gr6])</f>
        <v>95</v>
      </c>
      <c r="M49" s="428">
        <f>SUBTOTAL(109,Table1741[Gr7])</f>
        <v>99</v>
      </c>
      <c r="N49" s="428">
        <f>SUBTOTAL(109,Table1741[Gr8])</f>
        <v>94</v>
      </c>
      <c r="O49" s="428">
        <f>SUBTOTAL(109,Table1741[Ungrd. Elem.])</f>
        <v>6</v>
      </c>
      <c r="P49" s="428">
        <f>SUBTOTAL(109,Table1741[Gr9])</f>
        <v>70</v>
      </c>
      <c r="Q49" s="428">
        <f>SUBTOTAL(109,Table1741[Gr10])</f>
        <v>22</v>
      </c>
      <c r="R49" s="428">
        <f>SUBTOTAL(109,Table1741[Gr11])</f>
        <v>16</v>
      </c>
      <c r="S49" s="428">
        <f>SUBTOTAL(109,Table1741[Gr12])</f>
        <v>14</v>
      </c>
      <c r="T49" s="428">
        <f>SUBTOTAL(109,Table1741[Ungrd. Sec.])</f>
        <v>0</v>
      </c>
      <c r="U49" s="608">
        <f>SUBTOTAL(109,Table1741[FTE &lt;22 Total])</f>
        <v>1240.5</v>
      </c>
      <c r="V49" s="428">
        <f>SUBTOTAL(109,Table1741[Gr9 22+])</f>
        <v>0</v>
      </c>
      <c r="W49" s="428">
        <f>SUBTOTAL(109,Table1741[Gr10 22+])</f>
        <v>0</v>
      </c>
      <c r="X49" s="428">
        <f>SUBTOTAL(109,Table1741[Gr11 22+])</f>
        <v>0</v>
      </c>
      <c r="Y49" s="428">
        <f>SUBTOTAL(109,Table1741[Gr12 22+])</f>
        <v>15</v>
      </c>
      <c r="AA49" s="608">
        <f>SUBTOTAL(109,Table1741[Total FTE])</f>
        <v>1255.5</v>
      </c>
      <c r="AB49" s="425">
        <f>SUBTOTAL(109,Table1741[K4 H])</f>
        <v>119</v>
      </c>
      <c r="AC49" s="425">
        <f>SUBTOTAL(109,Table1741[K5 H])</f>
        <v>117</v>
      </c>
      <c r="AD49" s="425">
        <f>SUBTOTAL(109,Table1741[Gr1 H])</f>
        <v>143</v>
      </c>
      <c r="AE49" s="425">
        <f>SUBTOTAL(109,Table1741[Gr2 H])</f>
        <v>124</v>
      </c>
      <c r="AF49" s="425">
        <f>SUBTOTAL(109,Table1741[Gr3 H])</f>
        <v>127</v>
      </c>
      <c r="AG49" s="425">
        <f>SUBTOTAL(109,Table1741[Gr4 H])</f>
        <v>153</v>
      </c>
      <c r="AH49" s="425">
        <f>SUBTOTAL(109,Table1741[Gr5 H])</f>
        <v>110</v>
      </c>
      <c r="AI49" s="425">
        <f>SUBTOTAL(109,Table1741[Gr6 H])</f>
        <v>95</v>
      </c>
      <c r="AJ49" s="425">
        <f>SUBTOTAL(109,Table1741[Gr7 H])</f>
        <v>99</v>
      </c>
      <c r="AK49" s="425">
        <f>SUBTOTAL(109,Table1741[Gr8 H])</f>
        <v>94</v>
      </c>
      <c r="AL49" s="425">
        <f>SUBTOTAL(109,Table1741[Ungrd. Elem. H])</f>
        <v>0</v>
      </c>
      <c r="AM49" s="425">
        <f>SUBTOTAL(109,Table1741[Gr9 H])</f>
        <v>70</v>
      </c>
      <c r="AN49" s="425">
        <f>SUBTOTAL(109,Table1741[Gr10 H])</f>
        <v>22</v>
      </c>
      <c r="AO49" s="425">
        <f>SUBTOTAL(109,Table1741[Gr11 H])</f>
        <v>16</v>
      </c>
      <c r="AP49" s="425">
        <f>SUBTOTAL(109,Table1741[Gr12 H])</f>
        <v>14</v>
      </c>
      <c r="AQ49" s="425">
        <f>SUBTOTAL(109,Table1741[Ugrd. Sec. H])</f>
        <v>6</v>
      </c>
      <c r="AR49" s="609">
        <f>SUBTOTAL(109,Table1741[Headcount &lt;22 Total])</f>
        <v>1309</v>
      </c>
      <c r="AS49" s="425">
        <f>SUBTOTAL(109,Table1741[Gr9 H 22+])</f>
        <v>0</v>
      </c>
      <c r="AT49" s="425">
        <f>SUBTOTAL(109,Table1741[Gr10 H 22+])</f>
        <v>0</v>
      </c>
      <c r="AU49" s="425">
        <f>SUBTOTAL(109,Table1741[Gr11 H 22+])</f>
        <v>0</v>
      </c>
      <c r="AV49" s="425">
        <f>SUBTOTAL(109,Table1741[Gr12 H 22+])</f>
        <v>15</v>
      </c>
      <c r="AW49" s="425">
        <f>SUBTOTAL(109,Table1741[Ungrd. Sec. H 22+])</f>
        <v>0</v>
      </c>
      <c r="AX49" s="609">
        <f>SUBTOTAL(109,Table1741[Total Headcount])</f>
        <v>1324</v>
      </c>
      <c r="AY49" s="425">
        <f>SUBTOTAL(109,Table1741[Elementary])</f>
        <v>1118.5</v>
      </c>
      <c r="AZ49" s="428">
        <f>SUBTOTAL(109,Table1741[Secondary])</f>
        <v>137</v>
      </c>
      <c r="BA49" s="608">
        <f>SUBTOTAL(109,Table1741[Total Funded FTE])</f>
        <v>1255.5</v>
      </c>
      <c r="BB49" s="609">
        <f>SUBTOTAL(109,Table1741[Gr9 FTE Sum])</f>
        <v>70</v>
      </c>
      <c r="BC49" s="609">
        <f>SUBTOTAL(109,Table1741[Gr10 FTE Sum])</f>
        <v>22</v>
      </c>
      <c r="BD49" s="425">
        <f>SUBTOTAL(109,Table1741[Gr11 FTE Sum])</f>
        <v>16</v>
      </c>
      <c r="BE49" s="425">
        <f>SUBTOTAL(109,Table1741[Gr12 FTE Sum])</f>
        <v>29</v>
      </c>
      <c r="BH49" s="432"/>
      <c r="CE49" s="427"/>
      <c r="CF49" s="427"/>
      <c r="CH49" s="427"/>
      <c r="CI49" s="427"/>
      <c r="CL49" s="608">
        <f>SUBTOTAL(109,Table1741[School size])</f>
        <v>22936.7</v>
      </c>
      <c r="CR49" s="425">
        <f>SUBTOTAL(109,Table1741[Mandatory room &amp; board &lt;18])</f>
        <v>0</v>
      </c>
      <c r="CS49" s="425">
        <f>SUBTOTAL(109,Table1741[Student residence &lt;18])</f>
        <v>0</v>
      </c>
      <c r="CT49" s="425">
        <f>SUBTOTAL(109,Table1741[Boarding school &lt;18])</f>
        <v>0</v>
      </c>
      <c r="CU49" s="425">
        <f>SUBTOTAL(109,Table1741[Room and board (5 days) &lt;18])</f>
        <v>0</v>
      </c>
      <c r="CV49" s="425">
        <f>SUBTOTAL(109,Table1741[Mandatory room &amp; board 18-21])</f>
        <v>2</v>
      </c>
      <c r="CW49" s="425">
        <f>SUBTOTAL(109,Table1741[Student residence 18-21])</f>
        <v>0</v>
      </c>
      <c r="CX49" s="425">
        <f>SUBTOTAL(109,Table1741[Boarding school 18-21])</f>
        <v>0</v>
      </c>
      <c r="CY49" s="425">
        <f>SUBTOTAL(109,Table1741[Room and board (5 days) 18-21])</f>
        <v>0</v>
      </c>
    </row>
    <row r="50" spans="1:103">
      <c r="F50">
        <f>Table1741[[#Totals],[K4]]-TableAFNSchools[[#Totals],[K5- Half-Day]]</f>
        <v>69.5</v>
      </c>
      <c r="G50">
        <f>Table1741[[#Totals],[K5]]-TableAFNSchools[[#Totals],[Gr1]]</f>
        <v>-89</v>
      </c>
      <c r="H50">
        <f>Table1741[[#Totals],[Gr1]]-TableAFNSchools[[#Totals],[Gr2]]</f>
        <v>5</v>
      </c>
      <c r="I50">
        <f>Table1741[[#Totals],[Gr2]]-TableAFNSchools[[#Totals],[Gr3]]</f>
        <v>-41</v>
      </c>
      <c r="J50">
        <f>Table1741[[#Totals],[Gr3]]-TableAFNSchools[[#Totals],[Gr4]]</f>
        <v>-38</v>
      </c>
      <c r="K50">
        <f>Table1741[[#Totals],[Gr4]]-TableAFNSchools[[#Totals],[Gr5]]</f>
        <v>3</v>
      </c>
      <c r="L50">
        <f>Table1741[[#Totals],[Gr5]]-TableAFNSchools[[#Totals],[Gr6]]</f>
        <v>-45</v>
      </c>
      <c r="M50">
        <f>Table1741[[#Totals],[Gr6]]-TableAFNSchools[[#Totals],[Gr7]]</f>
        <v>-47</v>
      </c>
      <c r="N50">
        <f>Table1741[[#Totals],[Gr7]]-TableAFNSchools[[#Totals],[Gr8]]</f>
        <v>-82</v>
      </c>
      <c r="O50">
        <f>Table1741[[#Totals],[Gr8]]-TableAFNSchools[[#Totals],[Ungrd. Elem.]]</f>
        <v>94</v>
      </c>
      <c r="P50">
        <f>Table1741[[#Totals],[Gr8]]-TableAFNSchools[[#Totals],[Gr9]]</f>
        <v>-60</v>
      </c>
      <c r="Q50">
        <f>Table1741[[#Totals],[Ungrd. Elem.]]-TableAFNSchools[[#Totals],[Gr10]]</f>
        <v>-86</v>
      </c>
      <c r="R50">
        <f>Table1741[[#Totals],[Gr9]]-TableAFNSchools[[#Totals],[Gr11]]</f>
        <v>-16</v>
      </c>
      <c r="S50">
        <f>Table1741[[#Totals],[Gr10]]-TableAFNSchools[[#Totals],[Gr12]]</f>
        <v>-35</v>
      </c>
      <c r="T50">
        <f>Table1741[[#Totals],[Gr11]]-TableAFNSchools[[#Totals],[Ungrd. Sec.]]</f>
        <v>16</v>
      </c>
      <c r="U50">
        <f>Table1741[[#Totals],[FTE &lt;22 Total]]-TableAFNSchools[[#Totals],[FTE &lt;22 Total]]</f>
        <v>-727.5</v>
      </c>
    </row>
    <row r="53" spans="1:103">
      <c r="A53" s="425" t="s">
        <v>1310</v>
      </c>
      <c r="B53" s="425"/>
      <c r="C53" s="425"/>
      <c r="D53" s="425"/>
      <c r="E53" s="425"/>
      <c r="F53" s="425"/>
      <c r="G53" s="425"/>
      <c r="H53" s="425"/>
      <c r="I53" s="425"/>
      <c r="J53" s="425"/>
      <c r="K53" s="425"/>
      <c r="L53" s="425"/>
      <c r="M53" s="425"/>
      <c r="N53" s="425"/>
      <c r="O53" s="425"/>
      <c r="P53" s="425"/>
      <c r="Q53" s="425"/>
      <c r="R53" s="425"/>
      <c r="S53" s="425"/>
      <c r="T53" s="425"/>
      <c r="U53" s="425"/>
      <c r="V53" s="425"/>
      <c r="W53" s="425"/>
      <c r="X53" s="425"/>
      <c r="Y53" s="425"/>
      <c r="Z53" s="425"/>
      <c r="AA53" s="425"/>
      <c r="AB53" s="425"/>
      <c r="AC53" s="425"/>
      <c r="AD53" s="425"/>
      <c r="AE53" s="425"/>
      <c r="AF53" s="425"/>
      <c r="AG53" s="425"/>
      <c r="AH53" s="425"/>
      <c r="AI53" s="425"/>
      <c r="AJ53" s="425"/>
      <c r="AK53" s="425"/>
      <c r="AL53" s="425"/>
      <c r="AM53" s="425"/>
      <c r="AN53" s="425"/>
      <c r="AO53" s="425"/>
      <c r="AP53" s="425"/>
      <c r="AQ53" s="425"/>
      <c r="AR53" s="425"/>
      <c r="AS53" s="425"/>
      <c r="AT53" s="425"/>
      <c r="AU53" s="425"/>
      <c r="AV53" s="425"/>
      <c r="AW53" s="425"/>
      <c r="AX53" s="425"/>
      <c r="AY53" s="425"/>
      <c r="AZ53" s="425"/>
      <c r="BA53" s="425"/>
      <c r="BB53" s="425"/>
      <c r="BC53" s="425"/>
      <c r="BD53" s="425"/>
      <c r="BE53" s="425"/>
      <c r="BF53" s="425"/>
      <c r="BG53" s="425"/>
      <c r="BH53" s="425"/>
      <c r="BI53" s="425"/>
      <c r="BJ53" s="425"/>
      <c r="BK53" s="425"/>
      <c r="BL53" s="425"/>
      <c r="BM53" s="425"/>
      <c r="BN53" s="425"/>
      <c r="BO53" s="425"/>
      <c r="BP53" s="425"/>
      <c r="BQ53" s="425"/>
      <c r="BR53" s="425"/>
      <c r="BS53" s="425"/>
      <c r="BT53" s="425"/>
      <c r="BU53" s="425"/>
      <c r="BV53" s="425"/>
      <c r="BW53" s="425"/>
      <c r="BX53" s="425"/>
      <c r="BY53" s="425"/>
      <c r="BZ53" s="425"/>
      <c r="CA53" s="425"/>
      <c r="CB53" s="425"/>
      <c r="CC53" s="425"/>
      <c r="CD53" s="425"/>
      <c r="CE53" s="425"/>
      <c r="CF53" s="425"/>
      <c r="CG53" s="425"/>
      <c r="CH53" s="425"/>
      <c r="CI53" s="425"/>
      <c r="CJ53" s="425"/>
      <c r="CK53" s="425"/>
      <c r="CL53" s="425"/>
      <c r="CM53" s="425"/>
      <c r="CN53" s="425"/>
      <c r="CO53" s="425"/>
      <c r="CP53" s="425"/>
      <c r="CQ53" s="425"/>
      <c r="CR53" s="425"/>
      <c r="CS53" s="425"/>
      <c r="CT53" s="425"/>
      <c r="CU53" s="425"/>
      <c r="CV53" s="425"/>
      <c r="CW53" s="425"/>
      <c r="CX53" s="425"/>
      <c r="CY53" s="425"/>
    </row>
    <row r="54" spans="1:103" ht="60">
      <c r="A54" s="1508" t="s">
        <v>739</v>
      </c>
      <c r="B54" s="1509" t="s">
        <v>1112</v>
      </c>
      <c r="C54" s="1509" t="s">
        <v>375</v>
      </c>
      <c r="D54" s="1509" t="s">
        <v>1113</v>
      </c>
      <c r="E54" s="1510" t="s">
        <v>1276</v>
      </c>
      <c r="F54" s="1510" t="s">
        <v>1277</v>
      </c>
      <c r="G54" s="1510" t="s">
        <v>1118</v>
      </c>
      <c r="H54" s="1510" t="s">
        <v>1119</v>
      </c>
      <c r="I54" s="1510" t="s">
        <v>1120</v>
      </c>
      <c r="J54" s="1510" t="s">
        <v>1121</v>
      </c>
      <c r="K54" s="1510" t="s">
        <v>1122</v>
      </c>
      <c r="L54" s="1510" t="s">
        <v>1123</v>
      </c>
      <c r="M54" s="1510" t="s">
        <v>1124</v>
      </c>
      <c r="N54" s="1510" t="s">
        <v>1125</v>
      </c>
      <c r="O54" s="1510" t="s">
        <v>1126</v>
      </c>
      <c r="P54" s="1510" t="s">
        <v>1127</v>
      </c>
      <c r="Q54" s="1510" t="s">
        <v>1128</v>
      </c>
      <c r="R54" s="1510" t="s">
        <v>1129</v>
      </c>
      <c r="S54" s="1510" t="s">
        <v>1130</v>
      </c>
      <c r="T54" s="1510" t="s">
        <v>1131</v>
      </c>
      <c r="U54" s="1511" t="s">
        <v>1132</v>
      </c>
      <c r="V54" s="1510" t="s">
        <v>1133</v>
      </c>
      <c r="W54" s="1510" t="s">
        <v>1134</v>
      </c>
      <c r="X54" s="1510" t="s">
        <v>1135</v>
      </c>
      <c r="Y54" s="1510" t="s">
        <v>1136</v>
      </c>
      <c r="Z54" s="1510" t="s">
        <v>1137</v>
      </c>
      <c r="AA54" s="1511" t="s">
        <v>1138</v>
      </c>
      <c r="AB54" s="1510" t="s">
        <v>1278</v>
      </c>
      <c r="AC54" s="1510" t="s">
        <v>1279</v>
      </c>
      <c r="AD54" s="1510" t="s">
        <v>1143</v>
      </c>
      <c r="AE54" s="1510" t="s">
        <v>1144</v>
      </c>
      <c r="AF54" s="1510" t="s">
        <v>1145</v>
      </c>
      <c r="AG54" s="1510" t="s">
        <v>1146</v>
      </c>
      <c r="AH54" s="1510" t="s">
        <v>1147</v>
      </c>
      <c r="AI54" s="1510" t="s">
        <v>1148</v>
      </c>
      <c r="AJ54" s="1510" t="s">
        <v>1149</v>
      </c>
      <c r="AK54" s="1510" t="s">
        <v>1150</v>
      </c>
      <c r="AL54" s="1510" t="s">
        <v>1151</v>
      </c>
      <c r="AM54" s="1510" t="s">
        <v>1152</v>
      </c>
      <c r="AN54" s="1510" t="s">
        <v>1153</v>
      </c>
      <c r="AO54" s="1510" t="s">
        <v>1154</v>
      </c>
      <c r="AP54" s="1510" t="s">
        <v>1155</v>
      </c>
      <c r="AQ54" s="1510" t="s">
        <v>1156</v>
      </c>
      <c r="AR54" s="1510" t="s">
        <v>1157</v>
      </c>
      <c r="AS54" s="1510" t="s">
        <v>1158</v>
      </c>
      <c r="AT54" s="1510" t="s">
        <v>1159</v>
      </c>
      <c r="AU54" s="1510" t="s">
        <v>1160</v>
      </c>
      <c r="AV54" s="1510" t="s">
        <v>1161</v>
      </c>
      <c r="AW54" s="1510" t="s">
        <v>1162</v>
      </c>
      <c r="AX54" s="1511" t="s">
        <v>1163</v>
      </c>
      <c r="AY54" s="1509" t="s">
        <v>1164</v>
      </c>
      <c r="AZ54" s="1509" t="s">
        <v>1165</v>
      </c>
      <c r="BA54" s="1509" t="s">
        <v>1166</v>
      </c>
      <c r="BB54" s="1509" t="s">
        <v>1167</v>
      </c>
      <c r="BC54" s="1509" t="s">
        <v>1168</v>
      </c>
      <c r="BD54" s="1509" t="s">
        <v>1169</v>
      </c>
      <c r="BE54" s="1509" t="s">
        <v>1170</v>
      </c>
      <c r="BF54" s="1509" t="s">
        <v>1171</v>
      </c>
      <c r="BG54" s="1509" t="s">
        <v>1172</v>
      </c>
      <c r="BH54" s="1509" t="s">
        <v>1173</v>
      </c>
      <c r="BI54" s="1509" t="s">
        <v>1174</v>
      </c>
      <c r="BJ54" s="1509" t="s">
        <v>1175</v>
      </c>
      <c r="BK54" s="1509" t="s">
        <v>1176</v>
      </c>
      <c r="BL54" s="1509" t="s">
        <v>1280</v>
      </c>
      <c r="BM54" s="1509" t="s">
        <v>1184</v>
      </c>
      <c r="BN54" s="1509" t="s">
        <v>1185</v>
      </c>
      <c r="BO54" s="1509" t="s">
        <v>1186</v>
      </c>
      <c r="BP54" s="1509" t="s">
        <v>1187</v>
      </c>
      <c r="BQ54" s="1509" t="s">
        <v>1188</v>
      </c>
      <c r="BR54" s="1509" t="s">
        <v>1189</v>
      </c>
      <c r="BS54" s="1509" t="s">
        <v>1190</v>
      </c>
      <c r="BT54" s="1509" t="s">
        <v>1191</v>
      </c>
      <c r="BU54" s="1509" t="s">
        <v>1192</v>
      </c>
      <c r="BV54" s="1509" t="s">
        <v>1193</v>
      </c>
      <c r="BW54" s="1509" t="s">
        <v>1194</v>
      </c>
      <c r="BX54" s="1509" t="s">
        <v>1195</v>
      </c>
      <c r="BY54" s="1509" t="s">
        <v>1196</v>
      </c>
      <c r="BZ54" s="1509" t="s">
        <v>1197</v>
      </c>
      <c r="CA54" s="1509" t="s">
        <v>1198</v>
      </c>
      <c r="CB54" s="1509" t="s">
        <v>1199</v>
      </c>
      <c r="CC54" s="1509" t="s">
        <v>1200</v>
      </c>
      <c r="CD54" s="1509" t="s">
        <v>1201</v>
      </c>
      <c r="CE54" s="1509" t="s">
        <v>1202</v>
      </c>
      <c r="CF54" s="1509" t="s">
        <v>1203</v>
      </c>
      <c r="CG54" s="1509" t="s">
        <v>1204</v>
      </c>
      <c r="CH54" s="1509" t="s">
        <v>1205</v>
      </c>
      <c r="CI54" s="1509" t="s">
        <v>1206</v>
      </c>
      <c r="CJ54" s="1509" t="s">
        <v>1207</v>
      </c>
      <c r="CK54" s="1509" t="s">
        <v>1294</v>
      </c>
      <c r="CL54" s="1509" t="s">
        <v>1210</v>
      </c>
      <c r="CM54" s="1509" t="s">
        <v>1211</v>
      </c>
      <c r="CN54" s="1509" t="s">
        <v>1212</v>
      </c>
      <c r="CO54" s="1509" t="s">
        <v>1213</v>
      </c>
      <c r="CP54" s="1509" t="s">
        <v>1214</v>
      </c>
      <c r="CQ54" s="1509" t="s">
        <v>1215</v>
      </c>
      <c r="CR54" s="1509" t="s">
        <v>1216</v>
      </c>
      <c r="CS54" s="1509" t="s">
        <v>1217</v>
      </c>
      <c r="CT54" s="1509" t="s">
        <v>1218</v>
      </c>
      <c r="CU54" s="1509" t="s">
        <v>1219</v>
      </c>
      <c r="CV54" s="1509" t="s">
        <v>1220</v>
      </c>
      <c r="CW54" s="1509" t="s">
        <v>1221</v>
      </c>
      <c r="CX54" s="1509" t="s">
        <v>1222</v>
      </c>
      <c r="CY54" s="1509" t="s">
        <v>1223</v>
      </c>
    </row>
    <row r="55" spans="1:103" ht="15">
      <c r="A55" s="426">
        <v>261</v>
      </c>
      <c r="B55" s="425" t="s">
        <v>1295</v>
      </c>
      <c r="C55" s="427">
        <v>1756</v>
      </c>
      <c r="D55" s="425" t="s">
        <v>1296</v>
      </c>
      <c r="E55" s="428">
        <v>2.5</v>
      </c>
      <c r="F55" s="428">
        <v>12</v>
      </c>
      <c r="G55" s="428">
        <v>10</v>
      </c>
      <c r="H55" s="428">
        <v>11</v>
      </c>
      <c r="I55" s="428">
        <v>9</v>
      </c>
      <c r="J55" s="428">
        <v>12</v>
      </c>
      <c r="K55" s="428">
        <v>12</v>
      </c>
      <c r="L55" s="428">
        <v>6</v>
      </c>
      <c r="M55" s="428">
        <v>6</v>
      </c>
      <c r="N55" s="428">
        <v>5</v>
      </c>
      <c r="O55" s="428">
        <v>0</v>
      </c>
      <c r="P55" s="428">
        <v>10</v>
      </c>
      <c r="Q55" s="428">
        <v>0</v>
      </c>
      <c r="R55" s="428">
        <v>0</v>
      </c>
      <c r="S55" s="428">
        <v>0</v>
      </c>
      <c r="T55" s="428">
        <v>0</v>
      </c>
      <c r="U55" s="429">
        <v>95.5</v>
      </c>
      <c r="V55" s="428">
        <v>0</v>
      </c>
      <c r="W55" s="428">
        <v>0</v>
      </c>
      <c r="X55" s="428">
        <v>0</v>
      </c>
      <c r="Y55" s="428">
        <v>0</v>
      </c>
      <c r="Z55" s="428">
        <v>0</v>
      </c>
      <c r="AA55" s="429">
        <v>95.5</v>
      </c>
      <c r="AB55" s="425">
        <v>5</v>
      </c>
      <c r="AC55" s="425">
        <v>12</v>
      </c>
      <c r="AD55" s="425">
        <v>10</v>
      </c>
      <c r="AE55" s="425">
        <v>11</v>
      </c>
      <c r="AF55" s="425">
        <v>9</v>
      </c>
      <c r="AG55" s="425">
        <v>12</v>
      </c>
      <c r="AH55" s="425">
        <v>12</v>
      </c>
      <c r="AI55" s="425">
        <v>6</v>
      </c>
      <c r="AJ55" s="425">
        <v>6</v>
      </c>
      <c r="AK55" s="425">
        <v>5</v>
      </c>
      <c r="AL55" s="425">
        <v>0</v>
      </c>
      <c r="AM55" s="425">
        <v>10</v>
      </c>
      <c r="AN55" s="425">
        <v>0</v>
      </c>
      <c r="AO55" s="425">
        <v>0</v>
      </c>
      <c r="AP55" s="425">
        <v>0</v>
      </c>
      <c r="AQ55" s="425">
        <v>0</v>
      </c>
      <c r="AR55" s="430">
        <v>98</v>
      </c>
      <c r="AS55" s="425">
        <v>0</v>
      </c>
      <c r="AT55" s="425">
        <v>0</v>
      </c>
      <c r="AU55" s="425">
        <v>0</v>
      </c>
      <c r="AV55" s="425">
        <v>0</v>
      </c>
      <c r="AW55" s="425">
        <v>0</v>
      </c>
      <c r="AX55" s="430">
        <v>98</v>
      </c>
      <c r="AY55" s="428">
        <v>85.5</v>
      </c>
      <c r="AZ55" s="428">
        <v>10</v>
      </c>
      <c r="BA55" s="431">
        <v>95.5</v>
      </c>
      <c r="BB55" s="425">
        <v>10</v>
      </c>
      <c r="BC55" s="425">
        <v>0</v>
      </c>
      <c r="BD55" s="425">
        <v>0</v>
      </c>
      <c r="BE55" s="425">
        <v>0</v>
      </c>
      <c r="BF55" s="425">
        <v>10</v>
      </c>
      <c r="BG55" s="425">
        <v>1</v>
      </c>
      <c r="BH55" s="432">
        <v>11</v>
      </c>
      <c r="BI55" s="433">
        <v>8.5500000000000007</v>
      </c>
      <c r="BJ55" s="433">
        <v>10</v>
      </c>
      <c r="BK55" s="433">
        <v>8.6818181818181817</v>
      </c>
      <c r="BL55" s="425" t="s">
        <v>443</v>
      </c>
      <c r="BM55" s="425" t="s">
        <v>1224</v>
      </c>
      <c r="BN55" s="425" t="s">
        <v>1225</v>
      </c>
      <c r="BO55" s="425" t="s">
        <v>1297</v>
      </c>
      <c r="BP55" s="434" t="s">
        <v>1298</v>
      </c>
      <c r="BQ55" s="425" t="s">
        <v>473</v>
      </c>
      <c r="BR55" s="425" t="s">
        <v>1259</v>
      </c>
      <c r="BS55" s="425" t="s">
        <v>1260</v>
      </c>
      <c r="BT55" s="425" t="s">
        <v>1228</v>
      </c>
      <c r="BU55" s="425" t="s">
        <v>1261</v>
      </c>
      <c r="BV55" s="425">
        <v>50.366585999999998</v>
      </c>
      <c r="BW55" s="425">
        <v>-96.611457999999999</v>
      </c>
      <c r="BX55" s="425" t="s">
        <v>1242</v>
      </c>
      <c r="BY55" s="425">
        <v>2846</v>
      </c>
      <c r="BZ55" s="425">
        <v>4613062</v>
      </c>
      <c r="CA55" s="425" t="s">
        <v>1262</v>
      </c>
      <c r="CB55" s="425" t="s">
        <v>1232</v>
      </c>
      <c r="CC55" s="425">
        <v>5863841</v>
      </c>
      <c r="CD55" s="425">
        <v>1534923</v>
      </c>
      <c r="CE55" s="427">
        <v>204</v>
      </c>
      <c r="CF55" s="435">
        <v>2</v>
      </c>
      <c r="CG55" s="425" t="s">
        <v>1233</v>
      </c>
      <c r="CH55" s="427">
        <v>72</v>
      </c>
      <c r="CI55" s="427" t="s">
        <v>1234</v>
      </c>
      <c r="CJ55" s="425" t="s">
        <v>1233</v>
      </c>
      <c r="CK55" s="436">
        <v>1.1100000000000001</v>
      </c>
      <c r="CL55" s="437">
        <v>1312</v>
      </c>
      <c r="CM55" s="438">
        <v>470</v>
      </c>
      <c r="CN55" s="425">
        <v>56.878</v>
      </c>
      <c r="CO55" s="425">
        <v>156</v>
      </c>
      <c r="CP55" s="436">
        <v>2.7427124723091527</v>
      </c>
      <c r="CQ55" s="439">
        <v>2.1472241081031073E-3</v>
      </c>
      <c r="CR55" s="425"/>
      <c r="CS55" s="425"/>
      <c r="CT55" s="425"/>
      <c r="CU55" s="425"/>
      <c r="CV55" s="425"/>
      <c r="CW55" s="425"/>
      <c r="CX55" s="425"/>
      <c r="CY55" s="425"/>
    </row>
    <row r="56" spans="1:103" ht="15">
      <c r="A56" s="426">
        <v>267</v>
      </c>
      <c r="B56" s="425" t="s">
        <v>392</v>
      </c>
      <c r="C56" s="427">
        <v>1148</v>
      </c>
      <c r="D56" s="425" t="s">
        <v>1299</v>
      </c>
      <c r="E56" s="428">
        <v>8</v>
      </c>
      <c r="F56" s="428">
        <v>18</v>
      </c>
      <c r="G56" s="428">
        <v>17</v>
      </c>
      <c r="H56" s="428">
        <v>18</v>
      </c>
      <c r="I56" s="428">
        <v>16</v>
      </c>
      <c r="J56" s="428">
        <v>26</v>
      </c>
      <c r="K56" s="428">
        <v>11</v>
      </c>
      <c r="L56" s="428">
        <v>13</v>
      </c>
      <c r="M56" s="428">
        <v>15</v>
      </c>
      <c r="N56" s="428">
        <v>6</v>
      </c>
      <c r="O56" s="428">
        <v>0</v>
      </c>
      <c r="P56" s="428">
        <v>12</v>
      </c>
      <c r="Q56" s="428">
        <v>0</v>
      </c>
      <c r="R56" s="428">
        <v>0</v>
      </c>
      <c r="S56" s="428">
        <v>0</v>
      </c>
      <c r="T56" s="428">
        <v>0</v>
      </c>
      <c r="U56" s="429">
        <v>160</v>
      </c>
      <c r="V56" s="428">
        <v>0</v>
      </c>
      <c r="W56" s="428">
        <v>0</v>
      </c>
      <c r="X56" s="428">
        <v>0</v>
      </c>
      <c r="Y56" s="428">
        <v>0</v>
      </c>
      <c r="Z56" s="428">
        <v>0</v>
      </c>
      <c r="AA56" s="429">
        <v>160</v>
      </c>
      <c r="AB56" s="425">
        <v>16</v>
      </c>
      <c r="AC56" s="425">
        <v>18</v>
      </c>
      <c r="AD56" s="425">
        <v>17</v>
      </c>
      <c r="AE56" s="425">
        <v>18</v>
      </c>
      <c r="AF56" s="425">
        <v>16</v>
      </c>
      <c r="AG56" s="425">
        <v>26</v>
      </c>
      <c r="AH56" s="425">
        <v>11</v>
      </c>
      <c r="AI56" s="425">
        <v>13</v>
      </c>
      <c r="AJ56" s="425">
        <v>15</v>
      </c>
      <c r="AK56" s="425">
        <v>6</v>
      </c>
      <c r="AL56" s="425">
        <v>0</v>
      </c>
      <c r="AM56" s="425">
        <v>12</v>
      </c>
      <c r="AN56" s="425">
        <v>0</v>
      </c>
      <c r="AO56" s="425">
        <v>0</v>
      </c>
      <c r="AP56" s="425">
        <v>0</v>
      </c>
      <c r="AQ56" s="425">
        <v>0</v>
      </c>
      <c r="AR56" s="430">
        <v>168</v>
      </c>
      <c r="AS56" s="425">
        <v>0</v>
      </c>
      <c r="AT56" s="425">
        <v>0</v>
      </c>
      <c r="AU56" s="425">
        <v>0</v>
      </c>
      <c r="AV56" s="425">
        <v>0</v>
      </c>
      <c r="AW56" s="425">
        <v>0</v>
      </c>
      <c r="AX56" s="430">
        <v>168</v>
      </c>
      <c r="AY56" s="425">
        <v>148</v>
      </c>
      <c r="AZ56" s="428">
        <v>12</v>
      </c>
      <c r="BA56" s="431">
        <v>160</v>
      </c>
      <c r="BB56" s="425">
        <v>12</v>
      </c>
      <c r="BC56" s="425">
        <v>0</v>
      </c>
      <c r="BD56" s="425">
        <v>0</v>
      </c>
      <c r="BE56" s="425">
        <v>0</v>
      </c>
      <c r="BF56" s="425">
        <v>10</v>
      </c>
      <c r="BG56" s="425">
        <v>1</v>
      </c>
      <c r="BH56" s="432">
        <v>11</v>
      </c>
      <c r="BI56" s="433">
        <v>14.8</v>
      </c>
      <c r="BJ56" s="433">
        <v>12</v>
      </c>
      <c r="BK56" s="433">
        <v>14.545454545454545</v>
      </c>
      <c r="BL56" s="425" t="s">
        <v>441</v>
      </c>
      <c r="BM56" s="425" t="s">
        <v>1224</v>
      </c>
      <c r="BN56" s="425" t="s">
        <v>1225</v>
      </c>
      <c r="BO56" s="425" t="s">
        <v>1297</v>
      </c>
      <c r="BP56" s="434" t="s">
        <v>1298</v>
      </c>
      <c r="BQ56" s="425" t="s">
        <v>473</v>
      </c>
      <c r="BR56" s="425" t="s">
        <v>1239</v>
      </c>
      <c r="BS56" s="425" t="s">
        <v>1240</v>
      </c>
      <c r="BT56" s="425" t="s">
        <v>1228</v>
      </c>
      <c r="BU56" s="425" t="s">
        <v>1241</v>
      </c>
      <c r="BV56" s="425">
        <v>51.783408000000001</v>
      </c>
      <c r="BW56" s="425">
        <v>-96.696916999999999</v>
      </c>
      <c r="BX56" s="425" t="s">
        <v>1242</v>
      </c>
      <c r="BY56" s="425">
        <v>2932</v>
      </c>
      <c r="BZ56" s="425">
        <v>4619052</v>
      </c>
      <c r="CA56" s="425" t="s">
        <v>1243</v>
      </c>
      <c r="CB56" s="425" t="s">
        <v>1232</v>
      </c>
      <c r="CC56" s="425">
        <v>5869864</v>
      </c>
      <c r="CD56" s="425">
        <v>1692471</v>
      </c>
      <c r="CE56" s="427">
        <v>203</v>
      </c>
      <c r="CF56" s="435">
        <v>4</v>
      </c>
      <c r="CG56" s="425" t="s">
        <v>1233</v>
      </c>
      <c r="CH56" s="427">
        <v>249</v>
      </c>
      <c r="CI56" s="427" t="s">
        <v>1244</v>
      </c>
      <c r="CJ56" s="425" t="s">
        <v>1233</v>
      </c>
      <c r="CK56" s="436">
        <v>1.3149999999999999</v>
      </c>
      <c r="CL56" s="437">
        <v>1700.7</v>
      </c>
      <c r="CM56" s="438">
        <v>645</v>
      </c>
      <c r="CN56" s="425">
        <v>16.251999999999999</v>
      </c>
      <c r="CO56" s="425">
        <v>162</v>
      </c>
      <c r="CP56" s="436">
        <v>9.9680039379768655</v>
      </c>
      <c r="CQ56" s="439">
        <v>2.1472241081031073E-3</v>
      </c>
      <c r="CR56" s="425">
        <v>1</v>
      </c>
      <c r="CS56" s="425"/>
      <c r="CT56" s="425"/>
      <c r="CU56" s="425"/>
      <c r="CV56" s="425"/>
      <c r="CW56" s="425"/>
      <c r="CX56" s="425"/>
      <c r="CY56" s="425"/>
    </row>
    <row r="57" spans="1:103" ht="15">
      <c r="A57" s="426">
        <v>271</v>
      </c>
      <c r="B57" s="425" t="s">
        <v>396</v>
      </c>
      <c r="C57" s="427">
        <v>1345</v>
      </c>
      <c r="D57" s="425" t="s">
        <v>1300</v>
      </c>
      <c r="E57" s="428">
        <v>11</v>
      </c>
      <c r="F57" s="428">
        <v>6</v>
      </c>
      <c r="G57" s="428">
        <v>20.5</v>
      </c>
      <c r="H57" s="428">
        <v>13</v>
      </c>
      <c r="I57" s="428">
        <v>29</v>
      </c>
      <c r="J57" s="428">
        <v>21</v>
      </c>
      <c r="K57" s="428">
        <v>20</v>
      </c>
      <c r="L57" s="428">
        <v>18</v>
      </c>
      <c r="M57" s="428">
        <v>17</v>
      </c>
      <c r="N57" s="428">
        <v>23</v>
      </c>
      <c r="O57" s="428">
        <v>6</v>
      </c>
      <c r="P57" s="428">
        <v>0</v>
      </c>
      <c r="Q57" s="428">
        <v>0</v>
      </c>
      <c r="R57" s="428">
        <v>0</v>
      </c>
      <c r="S57" s="428">
        <v>0</v>
      </c>
      <c r="T57" s="428">
        <v>0</v>
      </c>
      <c r="U57" s="429">
        <v>184.5</v>
      </c>
      <c r="V57" s="428">
        <v>0</v>
      </c>
      <c r="W57" s="428">
        <v>0</v>
      </c>
      <c r="X57" s="428">
        <v>0</v>
      </c>
      <c r="Y57" s="428">
        <v>0</v>
      </c>
      <c r="Z57" s="428">
        <v>0</v>
      </c>
      <c r="AA57" s="429">
        <v>184.5</v>
      </c>
      <c r="AB57" s="425">
        <v>22</v>
      </c>
      <c r="AC57" s="425">
        <v>12</v>
      </c>
      <c r="AD57" s="425">
        <v>21</v>
      </c>
      <c r="AE57" s="425">
        <v>13</v>
      </c>
      <c r="AF57" s="425">
        <v>29</v>
      </c>
      <c r="AG57" s="425">
        <v>21</v>
      </c>
      <c r="AH57" s="425">
        <v>20</v>
      </c>
      <c r="AI57" s="425">
        <v>18</v>
      </c>
      <c r="AJ57" s="425">
        <v>17</v>
      </c>
      <c r="AK57" s="425">
        <v>23</v>
      </c>
      <c r="AL57" s="425">
        <v>6</v>
      </c>
      <c r="AM57" s="425">
        <v>0</v>
      </c>
      <c r="AN57" s="425">
        <v>0</v>
      </c>
      <c r="AO57" s="425">
        <v>0</v>
      </c>
      <c r="AP57" s="425">
        <v>0</v>
      </c>
      <c r="AQ57" s="425">
        <v>0</v>
      </c>
      <c r="AR57" s="430">
        <v>202</v>
      </c>
      <c r="AS57" s="425">
        <v>0</v>
      </c>
      <c r="AT57" s="425">
        <v>0</v>
      </c>
      <c r="AU57" s="425">
        <v>0</v>
      </c>
      <c r="AV57" s="425">
        <v>0</v>
      </c>
      <c r="AW57" s="425">
        <v>0</v>
      </c>
      <c r="AX57" s="430">
        <v>202</v>
      </c>
      <c r="AY57" s="425">
        <v>184.5</v>
      </c>
      <c r="AZ57" s="428">
        <v>0</v>
      </c>
      <c r="BA57" s="431">
        <v>184.5</v>
      </c>
      <c r="BB57" s="425">
        <v>0</v>
      </c>
      <c r="BC57" s="425">
        <v>0</v>
      </c>
      <c r="BD57" s="425">
        <v>0</v>
      </c>
      <c r="BE57" s="425">
        <v>0</v>
      </c>
      <c r="BF57" s="425">
        <v>10</v>
      </c>
      <c r="BG57" s="425">
        <v>0</v>
      </c>
      <c r="BH57" s="432">
        <v>10</v>
      </c>
      <c r="BI57" s="433">
        <v>18.45</v>
      </c>
      <c r="BJ57" s="433">
        <v>0</v>
      </c>
      <c r="BK57" s="433">
        <v>18.45</v>
      </c>
      <c r="BL57" s="425" t="s">
        <v>442</v>
      </c>
      <c r="BM57" s="425" t="s">
        <v>1224</v>
      </c>
      <c r="BN57" s="425" t="s">
        <v>1164</v>
      </c>
      <c r="BO57" s="425" t="s">
        <v>1297</v>
      </c>
      <c r="BP57" s="425" t="s">
        <v>1297</v>
      </c>
      <c r="BQ57" s="425" t="s">
        <v>473</v>
      </c>
      <c r="BR57" s="425" t="s">
        <v>1250</v>
      </c>
      <c r="BS57" s="425" t="s">
        <v>1251</v>
      </c>
      <c r="BT57" s="425" t="s">
        <v>1228</v>
      </c>
      <c r="BU57" s="425" t="s">
        <v>1252</v>
      </c>
      <c r="BV57" s="425">
        <v>50.908029999999997</v>
      </c>
      <c r="BW57" s="425">
        <v>-98.597160000000002</v>
      </c>
      <c r="BX57" s="425" t="s">
        <v>1230</v>
      </c>
      <c r="BY57" s="425">
        <v>2918</v>
      </c>
      <c r="BZ57" s="425">
        <v>4618055</v>
      </c>
      <c r="CA57" s="425" t="s">
        <v>1253</v>
      </c>
      <c r="CB57" s="425" t="s">
        <v>1232</v>
      </c>
      <c r="CC57" s="425">
        <v>5728400</v>
      </c>
      <c r="CD57" s="425">
        <v>1612386</v>
      </c>
      <c r="CE57" s="427">
        <v>224</v>
      </c>
      <c r="CF57" s="435">
        <v>2</v>
      </c>
      <c r="CG57" s="425" t="s">
        <v>1233</v>
      </c>
      <c r="CH57" s="427">
        <v>180</v>
      </c>
      <c r="CI57" s="427" t="s">
        <v>1234</v>
      </c>
      <c r="CJ57" s="425" t="s">
        <v>1233</v>
      </c>
      <c r="CK57" s="436">
        <v>1.1100000000000001</v>
      </c>
      <c r="CL57" s="437">
        <v>2892.3</v>
      </c>
      <c r="CM57" s="438">
        <v>680</v>
      </c>
      <c r="CN57" s="425">
        <v>37.705999999999996</v>
      </c>
      <c r="CO57" s="425">
        <v>315</v>
      </c>
      <c r="CP57" s="436">
        <v>8.3541080995067105</v>
      </c>
      <c r="CQ57" s="439">
        <v>2.1472241081031073E-3</v>
      </c>
      <c r="CR57" s="425"/>
      <c r="CS57" s="425"/>
      <c r="CT57" s="425"/>
      <c r="CU57" s="425"/>
      <c r="CV57" s="425"/>
      <c r="CW57" s="425"/>
      <c r="CX57" s="425"/>
      <c r="CY57" s="425"/>
    </row>
    <row r="58" spans="1:103" ht="15">
      <c r="A58" s="426">
        <v>272</v>
      </c>
      <c r="B58" s="425" t="s">
        <v>388</v>
      </c>
      <c r="C58" s="427">
        <v>1140</v>
      </c>
      <c r="D58" s="425" t="s">
        <v>1301</v>
      </c>
      <c r="E58" s="428">
        <v>14.5</v>
      </c>
      <c r="F58" s="428">
        <v>12</v>
      </c>
      <c r="G58" s="428">
        <v>30</v>
      </c>
      <c r="H58" s="428">
        <v>28</v>
      </c>
      <c r="I58" s="428">
        <v>18</v>
      </c>
      <c r="J58" s="428">
        <v>32</v>
      </c>
      <c r="K58" s="428">
        <v>24</v>
      </c>
      <c r="L58" s="428">
        <v>16</v>
      </c>
      <c r="M58" s="428">
        <v>21</v>
      </c>
      <c r="N58" s="428">
        <v>17</v>
      </c>
      <c r="O58" s="428">
        <v>0</v>
      </c>
      <c r="P58" s="428">
        <v>24</v>
      </c>
      <c r="Q58" s="428">
        <v>22</v>
      </c>
      <c r="R58" s="428">
        <v>16</v>
      </c>
      <c r="S58" s="440">
        <v>14</v>
      </c>
      <c r="T58" s="428">
        <v>0</v>
      </c>
      <c r="U58" s="429">
        <v>288.5</v>
      </c>
      <c r="V58" s="428">
        <v>0</v>
      </c>
      <c r="W58" s="428">
        <v>0</v>
      </c>
      <c r="X58" s="428">
        <v>0</v>
      </c>
      <c r="Y58" s="440">
        <v>14</v>
      </c>
      <c r="Z58" s="428">
        <v>0</v>
      </c>
      <c r="AA58" s="429">
        <v>302.5</v>
      </c>
      <c r="AB58" s="425">
        <v>29</v>
      </c>
      <c r="AC58" s="425">
        <v>24</v>
      </c>
      <c r="AD58" s="425">
        <v>30</v>
      </c>
      <c r="AE58" s="425">
        <v>28</v>
      </c>
      <c r="AF58" s="425">
        <v>18</v>
      </c>
      <c r="AG58" s="425">
        <v>32</v>
      </c>
      <c r="AH58" s="425">
        <v>24</v>
      </c>
      <c r="AI58" s="425">
        <v>16</v>
      </c>
      <c r="AJ58" s="425">
        <v>21</v>
      </c>
      <c r="AK58" s="425">
        <v>17</v>
      </c>
      <c r="AL58" s="425">
        <v>0</v>
      </c>
      <c r="AM58" s="425">
        <v>24</v>
      </c>
      <c r="AN58" s="425">
        <v>22</v>
      </c>
      <c r="AO58" s="425">
        <v>16</v>
      </c>
      <c r="AP58" s="441">
        <v>14</v>
      </c>
      <c r="AQ58" s="425">
        <v>0</v>
      </c>
      <c r="AR58" s="430">
        <v>315</v>
      </c>
      <c r="AS58" s="425">
        <v>0</v>
      </c>
      <c r="AT58" s="425">
        <v>0</v>
      </c>
      <c r="AU58" s="425">
        <v>0</v>
      </c>
      <c r="AV58" s="441">
        <v>14</v>
      </c>
      <c r="AW58" s="425">
        <v>0</v>
      </c>
      <c r="AX58" s="430">
        <v>329</v>
      </c>
      <c r="AY58" s="425">
        <v>212.5</v>
      </c>
      <c r="AZ58" s="428">
        <v>90</v>
      </c>
      <c r="BA58" s="431">
        <v>302.5</v>
      </c>
      <c r="BB58" s="425">
        <v>24</v>
      </c>
      <c r="BC58" s="425">
        <v>22</v>
      </c>
      <c r="BD58" s="425">
        <v>16</v>
      </c>
      <c r="BE58" s="425">
        <v>28</v>
      </c>
      <c r="BF58" s="425">
        <v>10</v>
      </c>
      <c r="BG58" s="425">
        <v>4</v>
      </c>
      <c r="BH58" s="432">
        <v>14</v>
      </c>
      <c r="BI58" s="433">
        <v>21.25</v>
      </c>
      <c r="BJ58" s="433">
        <v>22.5</v>
      </c>
      <c r="BK58" s="433">
        <v>21.607142857142858</v>
      </c>
      <c r="BL58" s="425" t="s">
        <v>442</v>
      </c>
      <c r="BM58" s="425" t="s">
        <v>1224</v>
      </c>
      <c r="BN58" s="425" t="s">
        <v>1225</v>
      </c>
      <c r="BO58" s="425" t="s">
        <v>1297</v>
      </c>
      <c r="BP58" s="425" t="s">
        <v>1297</v>
      </c>
      <c r="BQ58" s="425" t="s">
        <v>473</v>
      </c>
      <c r="BR58" s="425" t="s">
        <v>1226</v>
      </c>
      <c r="BS58" s="425" t="s">
        <v>1227</v>
      </c>
      <c r="BT58" s="425" t="s">
        <v>1228</v>
      </c>
      <c r="BU58" s="425" t="s">
        <v>1229</v>
      </c>
      <c r="BV58" s="425">
        <v>51.592910000000003</v>
      </c>
      <c r="BW58" s="425">
        <v>-98.687219999999996</v>
      </c>
      <c r="BX58" s="425" t="s">
        <v>1230</v>
      </c>
      <c r="BY58" s="425">
        <v>2922</v>
      </c>
      <c r="BZ58" s="425">
        <v>4618067</v>
      </c>
      <c r="CA58" s="425" t="s">
        <v>1231</v>
      </c>
      <c r="CB58" s="425" t="s">
        <v>1232</v>
      </c>
      <c r="CC58" s="425">
        <v>5733186</v>
      </c>
      <c r="CD58" s="425">
        <v>1680574</v>
      </c>
      <c r="CE58" s="427">
        <v>241</v>
      </c>
      <c r="CF58" s="435">
        <v>2</v>
      </c>
      <c r="CG58" s="425" t="s">
        <v>1233</v>
      </c>
      <c r="CH58" s="427">
        <v>236</v>
      </c>
      <c r="CI58" s="427" t="s">
        <v>1234</v>
      </c>
      <c r="CJ58" s="425" t="s">
        <v>1233</v>
      </c>
      <c r="CK58" s="436">
        <v>1.1100000000000001</v>
      </c>
      <c r="CL58" s="437">
        <v>4753.7</v>
      </c>
      <c r="CM58" s="438">
        <v>975</v>
      </c>
      <c r="CN58" s="425">
        <v>74.126000000000005</v>
      </c>
      <c r="CO58" s="425">
        <v>297</v>
      </c>
      <c r="CP58" s="436">
        <v>4.0066913093921155</v>
      </c>
      <c r="CQ58" s="439">
        <v>2.1472241081031073E-3</v>
      </c>
      <c r="CR58" s="425"/>
      <c r="CS58" s="425"/>
      <c r="CT58" s="425"/>
      <c r="CU58" s="425"/>
      <c r="CV58" s="425"/>
      <c r="CW58" s="425"/>
      <c r="CX58" s="425"/>
      <c r="CY58" s="425"/>
    </row>
    <row r="59" spans="1:103" ht="15">
      <c r="A59" s="426">
        <v>273</v>
      </c>
      <c r="B59" s="425" t="s">
        <v>402</v>
      </c>
      <c r="C59" s="427">
        <v>5717</v>
      </c>
      <c r="D59" s="425" t="s">
        <v>1302</v>
      </c>
      <c r="E59" s="428">
        <v>7.5</v>
      </c>
      <c r="F59" s="428">
        <v>16</v>
      </c>
      <c r="G59" s="428">
        <v>15</v>
      </c>
      <c r="H59" s="428">
        <v>9</v>
      </c>
      <c r="I59" s="428">
        <v>12</v>
      </c>
      <c r="J59" s="428">
        <v>14</v>
      </c>
      <c r="K59" s="428">
        <v>8</v>
      </c>
      <c r="L59" s="428">
        <v>14</v>
      </c>
      <c r="M59" s="428">
        <v>6</v>
      </c>
      <c r="N59" s="428">
        <v>6</v>
      </c>
      <c r="O59" s="428">
        <v>0</v>
      </c>
      <c r="P59" s="428">
        <v>0</v>
      </c>
      <c r="Q59" s="428">
        <v>0</v>
      </c>
      <c r="R59" s="428">
        <v>0</v>
      </c>
      <c r="S59" s="428">
        <v>0</v>
      </c>
      <c r="T59" s="428">
        <v>0</v>
      </c>
      <c r="U59" s="429">
        <v>107.5</v>
      </c>
      <c r="V59" s="428">
        <v>0</v>
      </c>
      <c r="W59" s="428">
        <v>0</v>
      </c>
      <c r="X59" s="428">
        <v>0</v>
      </c>
      <c r="Y59" s="428">
        <v>0</v>
      </c>
      <c r="Z59" s="428">
        <v>0</v>
      </c>
      <c r="AA59" s="429">
        <v>107.5</v>
      </c>
      <c r="AB59" s="425">
        <v>15</v>
      </c>
      <c r="AC59" s="425">
        <v>16</v>
      </c>
      <c r="AD59" s="425">
        <v>15</v>
      </c>
      <c r="AE59" s="425">
        <v>9</v>
      </c>
      <c r="AF59" s="425">
        <v>12</v>
      </c>
      <c r="AG59" s="425">
        <v>14</v>
      </c>
      <c r="AH59" s="425">
        <v>8</v>
      </c>
      <c r="AI59" s="425">
        <v>14</v>
      </c>
      <c r="AJ59" s="425">
        <v>6</v>
      </c>
      <c r="AK59" s="425">
        <v>6</v>
      </c>
      <c r="AL59" s="425">
        <v>0</v>
      </c>
      <c r="AM59" s="425">
        <v>0</v>
      </c>
      <c r="AN59" s="425">
        <v>0</v>
      </c>
      <c r="AO59" s="425">
        <v>0</v>
      </c>
      <c r="AP59" s="425">
        <v>0</v>
      </c>
      <c r="AQ59" s="425">
        <v>0</v>
      </c>
      <c r="AR59" s="430">
        <v>115</v>
      </c>
      <c r="AS59" s="425">
        <v>0</v>
      </c>
      <c r="AT59" s="425">
        <v>0</v>
      </c>
      <c r="AU59" s="425">
        <v>0</v>
      </c>
      <c r="AV59" s="425">
        <v>0</v>
      </c>
      <c r="AW59" s="425">
        <v>0</v>
      </c>
      <c r="AX59" s="430">
        <v>115</v>
      </c>
      <c r="AY59" s="425">
        <v>107.5</v>
      </c>
      <c r="AZ59" s="428">
        <v>0</v>
      </c>
      <c r="BA59" s="431">
        <v>107.5</v>
      </c>
      <c r="BB59" s="425">
        <v>0</v>
      </c>
      <c r="BC59" s="425">
        <v>0</v>
      </c>
      <c r="BD59" s="425">
        <v>0</v>
      </c>
      <c r="BE59" s="425">
        <v>0</v>
      </c>
      <c r="BF59" s="425">
        <v>10</v>
      </c>
      <c r="BG59" s="425">
        <v>0</v>
      </c>
      <c r="BH59" s="432">
        <v>10</v>
      </c>
      <c r="BI59" s="433">
        <v>10.75</v>
      </c>
      <c r="BJ59" s="433">
        <v>0</v>
      </c>
      <c r="BK59" s="433">
        <v>10.75</v>
      </c>
      <c r="BL59" s="425" t="s">
        <v>438</v>
      </c>
      <c r="BM59" s="425" t="s">
        <v>1224</v>
      </c>
      <c r="BN59" s="425" t="s">
        <v>1164</v>
      </c>
      <c r="BO59" s="425" t="s">
        <v>1297</v>
      </c>
      <c r="BP59" s="434" t="s">
        <v>1298</v>
      </c>
      <c r="BQ59" s="425" t="s">
        <v>473</v>
      </c>
      <c r="BR59" s="425" t="s">
        <v>1263</v>
      </c>
      <c r="BS59" s="425" t="s">
        <v>1263</v>
      </c>
      <c r="BT59" s="425" t="s">
        <v>1228</v>
      </c>
      <c r="BU59" s="425" t="s">
        <v>1263</v>
      </c>
      <c r="BV59" s="425">
        <v>49.133220999999999</v>
      </c>
      <c r="BW59" s="425">
        <v>-97.239776000000006</v>
      </c>
      <c r="BX59" s="425" t="s">
        <v>1242</v>
      </c>
      <c r="BY59" s="425">
        <v>2737</v>
      </c>
      <c r="BZ59" s="425">
        <v>4602027</v>
      </c>
      <c r="CA59" s="425" t="s">
        <v>1264</v>
      </c>
      <c r="CB59" s="425" t="s">
        <v>1232</v>
      </c>
      <c r="CC59" s="425">
        <v>5808093</v>
      </c>
      <c r="CD59" s="425">
        <v>1401198</v>
      </c>
      <c r="CE59" s="427">
        <v>246</v>
      </c>
      <c r="CF59" s="435">
        <v>2</v>
      </c>
      <c r="CG59" s="425" t="s">
        <v>1233</v>
      </c>
      <c r="CH59" s="427">
        <v>100</v>
      </c>
      <c r="CI59" s="427" t="s">
        <v>1265</v>
      </c>
      <c r="CJ59" s="425" t="s">
        <v>1233</v>
      </c>
      <c r="CK59" s="436">
        <v>1.0900000000000001</v>
      </c>
      <c r="CL59" s="437">
        <v>2380</v>
      </c>
      <c r="CM59" s="438">
        <v>695</v>
      </c>
      <c r="CN59" s="425">
        <v>25.774999999999999</v>
      </c>
      <c r="CO59" s="425">
        <v>216</v>
      </c>
      <c r="CP59" s="436">
        <v>8.3802133850630458</v>
      </c>
      <c r="CQ59" s="439">
        <v>2.1472241081031073E-3</v>
      </c>
      <c r="CR59" s="425"/>
      <c r="CS59" s="425"/>
      <c r="CT59" s="425"/>
      <c r="CU59" s="425"/>
      <c r="CV59" s="425"/>
      <c r="CW59" s="425"/>
      <c r="CX59" s="425"/>
      <c r="CY59" s="425"/>
    </row>
    <row r="60" spans="1:103" ht="15">
      <c r="A60" s="426">
        <v>275</v>
      </c>
      <c r="B60" s="425" t="s">
        <v>390</v>
      </c>
      <c r="C60" s="427">
        <v>1144</v>
      </c>
      <c r="D60" s="425" t="s">
        <v>1303</v>
      </c>
      <c r="E60" s="440">
        <v>14</v>
      </c>
      <c r="F60" s="428">
        <v>12</v>
      </c>
      <c r="G60" s="428">
        <v>11</v>
      </c>
      <c r="H60" s="428">
        <v>14</v>
      </c>
      <c r="I60" s="428">
        <v>13</v>
      </c>
      <c r="J60" s="428">
        <v>12</v>
      </c>
      <c r="K60" s="428">
        <v>5</v>
      </c>
      <c r="L60" s="428">
        <v>8</v>
      </c>
      <c r="M60" s="428">
        <v>6</v>
      </c>
      <c r="N60" s="428">
        <v>7</v>
      </c>
      <c r="O60" s="428">
        <v>0</v>
      </c>
      <c r="P60" s="428">
        <v>8</v>
      </c>
      <c r="Q60" s="428">
        <v>0</v>
      </c>
      <c r="R60" s="428">
        <v>0</v>
      </c>
      <c r="S60" s="428">
        <v>0</v>
      </c>
      <c r="T60" s="428">
        <v>0</v>
      </c>
      <c r="U60" s="429">
        <v>110</v>
      </c>
      <c r="V60" s="428">
        <v>0</v>
      </c>
      <c r="W60" s="428">
        <v>0</v>
      </c>
      <c r="X60" s="428">
        <v>0</v>
      </c>
      <c r="Y60" s="428">
        <v>0</v>
      </c>
      <c r="Z60" s="428">
        <v>0</v>
      </c>
      <c r="AA60" s="429">
        <v>110</v>
      </c>
      <c r="AB60" s="425">
        <v>14</v>
      </c>
      <c r="AC60" s="425">
        <v>12</v>
      </c>
      <c r="AD60" s="425">
        <v>11</v>
      </c>
      <c r="AE60" s="425">
        <v>14</v>
      </c>
      <c r="AF60" s="425">
        <v>13</v>
      </c>
      <c r="AG60" s="425">
        <v>12</v>
      </c>
      <c r="AH60" s="425">
        <v>5</v>
      </c>
      <c r="AI60" s="425">
        <v>8</v>
      </c>
      <c r="AJ60" s="425">
        <v>6</v>
      </c>
      <c r="AK60" s="425">
        <v>7</v>
      </c>
      <c r="AL60" s="425">
        <v>8</v>
      </c>
      <c r="AM60" s="425">
        <v>0</v>
      </c>
      <c r="AN60" s="425">
        <v>0</v>
      </c>
      <c r="AO60" s="425">
        <v>0</v>
      </c>
      <c r="AP60" s="425">
        <v>0</v>
      </c>
      <c r="AQ60" s="425">
        <v>0</v>
      </c>
      <c r="AR60" s="430">
        <v>110</v>
      </c>
      <c r="AS60" s="425">
        <v>0</v>
      </c>
      <c r="AT60" s="425">
        <v>0</v>
      </c>
      <c r="AU60" s="425">
        <v>0</v>
      </c>
      <c r="AV60" s="425">
        <v>0</v>
      </c>
      <c r="AW60" s="425">
        <v>0</v>
      </c>
      <c r="AX60" s="430">
        <v>110</v>
      </c>
      <c r="AY60" s="425">
        <v>102</v>
      </c>
      <c r="AZ60" s="428">
        <v>8</v>
      </c>
      <c r="BA60" s="431">
        <v>110</v>
      </c>
      <c r="BB60" s="425">
        <v>8</v>
      </c>
      <c r="BC60" s="425">
        <v>0</v>
      </c>
      <c r="BD60" s="425">
        <v>0</v>
      </c>
      <c r="BE60" s="425">
        <v>0</v>
      </c>
      <c r="BF60" s="425">
        <v>10</v>
      </c>
      <c r="BG60" s="425">
        <v>1</v>
      </c>
      <c r="BH60" s="432">
        <v>11</v>
      </c>
      <c r="BI60" s="433">
        <v>10.199999999999999</v>
      </c>
      <c r="BJ60" s="433">
        <v>8</v>
      </c>
      <c r="BK60" s="433">
        <v>10</v>
      </c>
      <c r="BL60" s="425" t="s">
        <v>1304</v>
      </c>
      <c r="BM60" s="425" t="s">
        <v>1224</v>
      </c>
      <c r="BN60" s="425" t="s">
        <v>1225</v>
      </c>
      <c r="BO60" s="434" t="s">
        <v>1298</v>
      </c>
      <c r="BP60" s="434" t="s">
        <v>1298</v>
      </c>
      <c r="BQ60" s="425" t="s">
        <v>473</v>
      </c>
      <c r="BR60" s="425" t="s">
        <v>1235</v>
      </c>
      <c r="BS60" s="425" t="s">
        <v>1233</v>
      </c>
      <c r="BT60" s="425" t="s">
        <v>1228</v>
      </c>
      <c r="BU60" s="425" t="s">
        <v>1236</v>
      </c>
      <c r="BV60" s="425">
        <v>49.883907000000001</v>
      </c>
      <c r="BW60" s="425">
        <v>-97.225853000000001</v>
      </c>
      <c r="BX60" s="425" t="s">
        <v>1237</v>
      </c>
      <c r="BY60" s="425">
        <v>2941</v>
      </c>
      <c r="BZ60" s="425">
        <v>4619065</v>
      </c>
      <c r="CA60" s="425" t="s">
        <v>1238</v>
      </c>
      <c r="CB60" s="425" t="s">
        <v>1232</v>
      </c>
      <c r="CC60" s="425">
        <v>5752386</v>
      </c>
      <c r="CD60" s="425">
        <v>1700661</v>
      </c>
      <c r="CE60" s="427">
        <v>225</v>
      </c>
      <c r="CF60" s="435">
        <v>2</v>
      </c>
      <c r="CG60" s="425" t="s">
        <v>1233</v>
      </c>
      <c r="CH60" s="427">
        <v>9</v>
      </c>
      <c r="CI60" s="427" t="s">
        <v>1234</v>
      </c>
      <c r="CJ60" s="425" t="s">
        <v>1233</v>
      </c>
      <c r="CK60" s="436">
        <v>1.1100000000000001</v>
      </c>
      <c r="CL60" s="437">
        <v>2486</v>
      </c>
      <c r="CM60" s="438">
        <v>505</v>
      </c>
      <c r="CN60" s="425">
        <v>35.953000000000003</v>
      </c>
      <c r="CO60" s="425">
        <v>182</v>
      </c>
      <c r="CP60" s="436">
        <v>5.0621644925319167</v>
      </c>
      <c r="CQ60" s="439">
        <v>2.1472241081031073E-3</v>
      </c>
      <c r="CR60" s="425"/>
      <c r="CS60" s="425"/>
      <c r="CT60" s="425"/>
      <c r="CU60" s="425"/>
      <c r="CV60" s="425"/>
      <c r="CW60" s="425"/>
      <c r="CX60" s="425"/>
      <c r="CY60" s="425"/>
    </row>
    <row r="61" spans="1:103" ht="15">
      <c r="A61" s="426">
        <v>286</v>
      </c>
      <c r="B61" s="425" t="s">
        <v>406</v>
      </c>
      <c r="C61" s="427">
        <v>8990</v>
      </c>
      <c r="D61" s="425" t="s">
        <v>1305</v>
      </c>
      <c r="E61" s="428">
        <v>4.5</v>
      </c>
      <c r="F61" s="428">
        <v>6</v>
      </c>
      <c r="G61" s="428">
        <v>14</v>
      </c>
      <c r="H61" s="428">
        <v>9</v>
      </c>
      <c r="I61" s="428">
        <v>12</v>
      </c>
      <c r="J61" s="428">
        <v>7</v>
      </c>
      <c r="K61" s="428">
        <v>8</v>
      </c>
      <c r="L61" s="428">
        <v>4</v>
      </c>
      <c r="M61" s="428">
        <v>8</v>
      </c>
      <c r="N61" s="428">
        <v>6</v>
      </c>
      <c r="O61" s="428">
        <v>0</v>
      </c>
      <c r="P61" s="428">
        <v>0</v>
      </c>
      <c r="Q61" s="428">
        <v>0</v>
      </c>
      <c r="R61" s="428">
        <v>0</v>
      </c>
      <c r="S61" s="428">
        <v>0</v>
      </c>
      <c r="T61" s="428">
        <v>0</v>
      </c>
      <c r="U61" s="429">
        <v>78.5</v>
      </c>
      <c r="V61" s="428">
        <v>0</v>
      </c>
      <c r="W61" s="428">
        <v>0</v>
      </c>
      <c r="X61" s="428">
        <v>0</v>
      </c>
      <c r="Y61" s="428">
        <v>0</v>
      </c>
      <c r="Z61" s="428">
        <v>0</v>
      </c>
      <c r="AA61" s="429">
        <v>78.5</v>
      </c>
      <c r="AB61" s="425">
        <v>9</v>
      </c>
      <c r="AC61" s="425">
        <v>6</v>
      </c>
      <c r="AD61" s="425">
        <v>14</v>
      </c>
      <c r="AE61" s="425">
        <v>9</v>
      </c>
      <c r="AF61" s="425">
        <v>12</v>
      </c>
      <c r="AG61" s="425">
        <v>7</v>
      </c>
      <c r="AH61" s="425">
        <v>8</v>
      </c>
      <c r="AI61" s="425">
        <v>4</v>
      </c>
      <c r="AJ61" s="425">
        <v>8</v>
      </c>
      <c r="AK61" s="425">
        <v>6</v>
      </c>
      <c r="AL61" s="425">
        <v>0</v>
      </c>
      <c r="AM61" s="425">
        <v>0</v>
      </c>
      <c r="AN61" s="425">
        <v>0</v>
      </c>
      <c r="AO61" s="425">
        <v>0</v>
      </c>
      <c r="AP61" s="425">
        <v>0</v>
      </c>
      <c r="AQ61" s="425">
        <v>0</v>
      </c>
      <c r="AR61" s="430">
        <v>83</v>
      </c>
      <c r="AS61" s="425">
        <v>0</v>
      </c>
      <c r="AT61" s="425">
        <v>0</v>
      </c>
      <c r="AU61" s="425">
        <v>0</v>
      </c>
      <c r="AV61" s="425">
        <v>0</v>
      </c>
      <c r="AW61" s="425">
        <v>0</v>
      </c>
      <c r="AX61" s="430">
        <v>83</v>
      </c>
      <c r="AY61" s="425">
        <v>78.5</v>
      </c>
      <c r="AZ61" s="428">
        <v>0</v>
      </c>
      <c r="BA61" s="431">
        <v>78.5</v>
      </c>
      <c r="BB61" s="425">
        <v>0</v>
      </c>
      <c r="BC61" s="425">
        <v>0</v>
      </c>
      <c r="BD61" s="425">
        <v>0</v>
      </c>
      <c r="BE61" s="425">
        <v>0</v>
      </c>
      <c r="BF61" s="425">
        <v>10</v>
      </c>
      <c r="BG61" s="425">
        <v>0</v>
      </c>
      <c r="BH61" s="432">
        <v>10</v>
      </c>
      <c r="BI61" s="433">
        <v>7.85</v>
      </c>
      <c r="BJ61" s="433">
        <v>0</v>
      </c>
      <c r="BK61" s="433">
        <v>7.85</v>
      </c>
      <c r="BL61" s="425" t="s">
        <v>446</v>
      </c>
      <c r="BM61" s="425" t="s">
        <v>1224</v>
      </c>
      <c r="BN61" s="425" t="s">
        <v>1164</v>
      </c>
      <c r="BO61" s="425" t="s">
        <v>1306</v>
      </c>
      <c r="BP61" s="434" t="s">
        <v>1298</v>
      </c>
      <c r="BQ61" s="425" t="s">
        <v>473</v>
      </c>
      <c r="BR61" s="425" t="s">
        <v>1270</v>
      </c>
      <c r="BS61" s="425" t="s">
        <v>1271</v>
      </c>
      <c r="BT61" s="425" t="s">
        <v>1228</v>
      </c>
      <c r="BU61" s="425" t="s">
        <v>1272</v>
      </c>
      <c r="BV61" s="425">
        <v>50.629339999999999</v>
      </c>
      <c r="BW61" s="425">
        <v>-100.177097</v>
      </c>
      <c r="BX61" s="425" t="s">
        <v>1242</v>
      </c>
      <c r="BY61" s="425">
        <v>2870</v>
      </c>
      <c r="BZ61" s="425">
        <v>4615067</v>
      </c>
      <c r="CA61" s="425" t="s">
        <v>1273</v>
      </c>
      <c r="CB61" s="425" t="s">
        <v>1232</v>
      </c>
      <c r="CC61" s="425">
        <v>5605494</v>
      </c>
      <c r="CD61" s="425">
        <v>1579529</v>
      </c>
      <c r="CE61" s="427">
        <v>222</v>
      </c>
      <c r="CF61" s="435">
        <v>2</v>
      </c>
      <c r="CG61" s="425" t="s">
        <v>845</v>
      </c>
      <c r="CH61" s="427">
        <v>276</v>
      </c>
      <c r="CI61" s="427" t="s">
        <v>1234</v>
      </c>
      <c r="CJ61" s="425" t="s">
        <v>845</v>
      </c>
      <c r="CK61" s="436">
        <v>1.1100000000000001</v>
      </c>
      <c r="CL61" s="437">
        <v>1585</v>
      </c>
      <c r="CM61" s="438">
        <v>440</v>
      </c>
      <c r="CN61" s="425">
        <v>25.908000000000001</v>
      </c>
      <c r="CO61" s="425">
        <v>112</v>
      </c>
      <c r="CP61" s="436">
        <v>4.3229890381349385</v>
      </c>
      <c r="CQ61" s="439">
        <v>2.1472241081031073E-3</v>
      </c>
      <c r="CR61" s="425"/>
      <c r="CS61" s="425"/>
      <c r="CT61" s="425"/>
      <c r="CU61" s="425"/>
      <c r="CV61" s="425"/>
      <c r="CW61" s="425"/>
      <c r="CX61" s="425"/>
      <c r="CY61" s="425"/>
    </row>
    <row r="62" spans="1:103" ht="15">
      <c r="A62" s="426">
        <v>288</v>
      </c>
      <c r="B62" s="425" t="s">
        <v>398</v>
      </c>
      <c r="C62" s="427">
        <v>1486</v>
      </c>
      <c r="D62" s="425" t="s">
        <v>1307</v>
      </c>
      <c r="E62" s="428">
        <v>0</v>
      </c>
      <c r="F62" s="428">
        <v>6</v>
      </c>
      <c r="G62" s="428">
        <v>10</v>
      </c>
      <c r="H62" s="428">
        <v>9</v>
      </c>
      <c r="I62" s="428">
        <v>7</v>
      </c>
      <c r="J62" s="428">
        <v>17</v>
      </c>
      <c r="K62" s="428">
        <v>11</v>
      </c>
      <c r="L62" s="428">
        <v>7</v>
      </c>
      <c r="M62" s="428">
        <v>10</v>
      </c>
      <c r="N62" s="428">
        <v>8</v>
      </c>
      <c r="O62" s="428">
        <v>0</v>
      </c>
      <c r="P62" s="428">
        <v>0</v>
      </c>
      <c r="Q62" s="428">
        <v>0</v>
      </c>
      <c r="R62" s="428">
        <v>0</v>
      </c>
      <c r="S62" s="428">
        <v>0</v>
      </c>
      <c r="T62" s="428">
        <v>0</v>
      </c>
      <c r="U62" s="429">
        <v>85</v>
      </c>
      <c r="V62" s="428">
        <v>0</v>
      </c>
      <c r="W62" s="428">
        <v>0</v>
      </c>
      <c r="X62" s="428">
        <v>0</v>
      </c>
      <c r="Y62" s="428">
        <v>0</v>
      </c>
      <c r="Z62" s="428">
        <v>0</v>
      </c>
      <c r="AA62" s="429">
        <v>85</v>
      </c>
      <c r="AB62" s="425">
        <v>0</v>
      </c>
      <c r="AC62" s="425">
        <v>6</v>
      </c>
      <c r="AD62" s="425">
        <v>10</v>
      </c>
      <c r="AE62" s="425">
        <v>9</v>
      </c>
      <c r="AF62" s="425">
        <v>7</v>
      </c>
      <c r="AG62" s="425">
        <v>17</v>
      </c>
      <c r="AH62" s="425">
        <v>11</v>
      </c>
      <c r="AI62" s="425">
        <v>7</v>
      </c>
      <c r="AJ62" s="425">
        <v>10</v>
      </c>
      <c r="AK62" s="425">
        <v>8</v>
      </c>
      <c r="AL62" s="425">
        <v>0</v>
      </c>
      <c r="AM62" s="425">
        <v>0</v>
      </c>
      <c r="AN62" s="425">
        <v>0</v>
      </c>
      <c r="AO62" s="425">
        <v>0</v>
      </c>
      <c r="AP62" s="425">
        <v>0</v>
      </c>
      <c r="AQ62" s="425">
        <v>0</v>
      </c>
      <c r="AR62" s="430">
        <v>85</v>
      </c>
      <c r="AS62" s="425">
        <v>0</v>
      </c>
      <c r="AT62" s="425">
        <v>0</v>
      </c>
      <c r="AU62" s="425">
        <v>0</v>
      </c>
      <c r="AV62" s="425">
        <v>0</v>
      </c>
      <c r="AW62" s="425">
        <v>0</v>
      </c>
      <c r="AX62" s="430">
        <v>85</v>
      </c>
      <c r="AY62" s="425">
        <v>85</v>
      </c>
      <c r="AZ62" s="428">
        <v>0</v>
      </c>
      <c r="BA62" s="431">
        <v>85</v>
      </c>
      <c r="BB62" s="425">
        <v>0</v>
      </c>
      <c r="BC62" s="425">
        <v>0</v>
      </c>
      <c r="BD62" s="425">
        <v>0</v>
      </c>
      <c r="BE62" s="425">
        <v>0</v>
      </c>
      <c r="BF62" s="425">
        <v>9</v>
      </c>
      <c r="BG62" s="425">
        <v>0</v>
      </c>
      <c r="BH62" s="432">
        <v>9</v>
      </c>
      <c r="BI62" s="433">
        <v>9.4444444444444446</v>
      </c>
      <c r="BJ62" s="433">
        <v>0</v>
      </c>
      <c r="BK62" s="433">
        <v>9.4444444444444446</v>
      </c>
      <c r="BL62" s="425" t="s">
        <v>445</v>
      </c>
      <c r="BM62" s="425" t="s">
        <v>1224</v>
      </c>
      <c r="BN62" s="425" t="s">
        <v>1164</v>
      </c>
      <c r="BO62" s="425" t="s">
        <v>1306</v>
      </c>
      <c r="BP62" s="434" t="s">
        <v>1298</v>
      </c>
      <c r="BQ62" s="425" t="s">
        <v>473</v>
      </c>
      <c r="BR62" s="425" t="s">
        <v>1255</v>
      </c>
      <c r="BS62" s="425" t="s">
        <v>1256</v>
      </c>
      <c r="BT62" s="425" t="s">
        <v>1228</v>
      </c>
      <c r="BU62" s="425" t="s">
        <v>1257</v>
      </c>
      <c r="BV62" s="425">
        <v>49.818753999999998</v>
      </c>
      <c r="BW62" s="425">
        <v>-98.520718000000002</v>
      </c>
      <c r="BX62" s="425" t="s">
        <v>1242</v>
      </c>
      <c r="BY62" s="425">
        <v>2829</v>
      </c>
      <c r="BZ62" s="425">
        <v>4609026</v>
      </c>
      <c r="CA62" s="425" t="s">
        <v>1258</v>
      </c>
      <c r="CB62" s="425" t="s">
        <v>1232</v>
      </c>
      <c r="CC62" s="425">
        <v>5723238</v>
      </c>
      <c r="CD62" s="425">
        <v>1485021</v>
      </c>
      <c r="CE62" s="427">
        <v>210</v>
      </c>
      <c r="CF62" s="435">
        <v>1</v>
      </c>
      <c r="CG62" s="425" t="s">
        <v>1233</v>
      </c>
      <c r="CH62" s="427">
        <v>122</v>
      </c>
      <c r="CI62" s="427" t="s">
        <v>1234</v>
      </c>
      <c r="CJ62" s="425" t="s">
        <v>856</v>
      </c>
      <c r="CK62" s="436">
        <v>1.06</v>
      </c>
      <c r="CL62" s="437">
        <v>1385</v>
      </c>
      <c r="CM62" s="438">
        <v>115</v>
      </c>
      <c r="CN62" s="425">
        <v>5.3010000000000002</v>
      </c>
      <c r="CO62" s="425">
        <v>82</v>
      </c>
      <c r="CP62" s="436">
        <v>15.468779475570647</v>
      </c>
      <c r="CQ62" s="439">
        <v>2.1472241081031073E-3</v>
      </c>
      <c r="CR62" s="425">
        <v>2</v>
      </c>
      <c r="CS62" s="425"/>
      <c r="CT62" s="425"/>
      <c r="CU62" s="425"/>
      <c r="CV62" s="425"/>
      <c r="CW62" s="425"/>
      <c r="CX62" s="425"/>
      <c r="CY62" s="425"/>
    </row>
    <row r="63" spans="1:103" ht="15">
      <c r="A63" s="426">
        <v>304</v>
      </c>
      <c r="B63" s="425" t="s">
        <v>394</v>
      </c>
      <c r="C63" s="427">
        <v>1166</v>
      </c>
      <c r="D63" s="425" t="s">
        <v>1308</v>
      </c>
      <c r="E63" s="428">
        <v>6</v>
      </c>
      <c r="F63" s="428">
        <v>10</v>
      </c>
      <c r="G63" s="428">
        <v>13</v>
      </c>
      <c r="H63" s="428">
        <v>5</v>
      </c>
      <c r="I63" s="428">
        <v>10</v>
      </c>
      <c r="J63" s="428">
        <v>9</v>
      </c>
      <c r="K63" s="428">
        <v>8</v>
      </c>
      <c r="L63" s="428">
        <v>8</v>
      </c>
      <c r="M63" s="428">
        <v>10</v>
      </c>
      <c r="N63" s="428">
        <v>13</v>
      </c>
      <c r="O63" s="428">
        <v>0</v>
      </c>
      <c r="P63" s="428">
        <v>16</v>
      </c>
      <c r="Q63" s="428">
        <v>0</v>
      </c>
      <c r="R63" s="428">
        <v>0</v>
      </c>
      <c r="S63" s="428">
        <v>0</v>
      </c>
      <c r="T63" s="428">
        <v>0</v>
      </c>
      <c r="U63" s="429">
        <v>108</v>
      </c>
      <c r="V63" s="428">
        <v>0</v>
      </c>
      <c r="W63" s="428">
        <v>0</v>
      </c>
      <c r="X63" s="428">
        <v>0</v>
      </c>
      <c r="Y63" s="428">
        <v>0</v>
      </c>
      <c r="Z63" s="428">
        <v>0</v>
      </c>
      <c r="AA63" s="429">
        <v>108</v>
      </c>
      <c r="AB63" s="425">
        <v>6</v>
      </c>
      <c r="AC63" s="425">
        <v>10</v>
      </c>
      <c r="AD63" s="425">
        <v>13</v>
      </c>
      <c r="AE63" s="425">
        <v>5</v>
      </c>
      <c r="AF63" s="425">
        <v>10</v>
      </c>
      <c r="AG63" s="425">
        <v>9</v>
      </c>
      <c r="AH63" s="425">
        <v>8</v>
      </c>
      <c r="AI63" s="425">
        <v>8</v>
      </c>
      <c r="AJ63" s="425">
        <v>10</v>
      </c>
      <c r="AK63" s="425">
        <v>13</v>
      </c>
      <c r="AL63" s="425">
        <v>0</v>
      </c>
      <c r="AM63" s="425">
        <v>16</v>
      </c>
      <c r="AN63" s="425">
        <v>0</v>
      </c>
      <c r="AO63" s="425">
        <v>0</v>
      </c>
      <c r="AP63" s="425">
        <v>0</v>
      </c>
      <c r="AQ63" s="425">
        <v>0</v>
      </c>
      <c r="AR63" s="430">
        <v>108</v>
      </c>
      <c r="AS63" s="425">
        <v>0</v>
      </c>
      <c r="AT63" s="425">
        <v>0</v>
      </c>
      <c r="AU63" s="425">
        <v>0</v>
      </c>
      <c r="AV63" s="425">
        <v>0</v>
      </c>
      <c r="AW63" s="425">
        <v>0</v>
      </c>
      <c r="AX63" s="430">
        <v>108</v>
      </c>
      <c r="AY63" s="425">
        <v>92</v>
      </c>
      <c r="AZ63" s="428">
        <v>16</v>
      </c>
      <c r="BA63" s="431">
        <v>108</v>
      </c>
      <c r="BB63" s="425">
        <v>16</v>
      </c>
      <c r="BC63" s="425">
        <v>0</v>
      </c>
      <c r="BD63" s="425">
        <v>0</v>
      </c>
      <c r="BE63" s="425">
        <v>0</v>
      </c>
      <c r="BF63" s="425">
        <v>10</v>
      </c>
      <c r="BG63" s="425">
        <v>1</v>
      </c>
      <c r="BH63" s="432">
        <v>11</v>
      </c>
      <c r="BI63" s="433">
        <v>9.1999999999999993</v>
      </c>
      <c r="BJ63" s="433">
        <v>16</v>
      </c>
      <c r="BK63" s="433">
        <v>9.8181818181818183</v>
      </c>
      <c r="BL63" s="425" t="s">
        <v>441</v>
      </c>
      <c r="BM63" s="425" t="s">
        <v>1224</v>
      </c>
      <c r="BN63" s="425" t="s">
        <v>1164</v>
      </c>
      <c r="BO63" s="434" t="s">
        <v>1298</v>
      </c>
      <c r="BP63" s="434" t="s">
        <v>1298</v>
      </c>
      <c r="BQ63" s="425" t="s">
        <v>474</v>
      </c>
      <c r="BR63" s="425" t="s">
        <v>1245</v>
      </c>
      <c r="BS63" s="425" t="s">
        <v>1246</v>
      </c>
      <c r="BT63" s="425" t="s">
        <v>1228</v>
      </c>
      <c r="BU63" s="425" t="s">
        <v>1247</v>
      </c>
      <c r="BV63" s="425">
        <v>56.087443</v>
      </c>
      <c r="BW63" s="425">
        <v>-96.098977000000005</v>
      </c>
      <c r="BX63" s="425" t="s">
        <v>1242</v>
      </c>
      <c r="BY63" s="425">
        <v>2989</v>
      </c>
      <c r="BZ63" s="425">
        <v>4622065</v>
      </c>
      <c r="CA63" s="425" t="s">
        <v>1096</v>
      </c>
      <c r="CB63" s="425" t="s">
        <v>1232</v>
      </c>
      <c r="CC63" s="425">
        <v>5942112</v>
      </c>
      <c r="CD63" s="425">
        <v>2175215</v>
      </c>
      <c r="CE63" s="427">
        <v>261</v>
      </c>
      <c r="CF63" s="435">
        <v>4</v>
      </c>
      <c r="CG63" s="425" t="s">
        <v>1248</v>
      </c>
      <c r="CH63" s="427">
        <v>936</v>
      </c>
      <c r="CI63" s="427" t="s">
        <v>1249</v>
      </c>
      <c r="CJ63" s="425" t="s">
        <v>1248</v>
      </c>
      <c r="CK63" s="436">
        <v>1.3</v>
      </c>
      <c r="CL63" s="437">
        <v>1390</v>
      </c>
      <c r="CM63" s="438">
        <v>450</v>
      </c>
      <c r="CN63" s="425">
        <v>9.6739999999999995</v>
      </c>
      <c r="CO63" s="425">
        <v>123</v>
      </c>
      <c r="CP63" s="436">
        <v>12.714492454000414</v>
      </c>
      <c r="CQ63" s="439">
        <v>2.1472241081031073E-3</v>
      </c>
      <c r="CR63" s="425"/>
      <c r="CS63" s="425"/>
      <c r="CT63" s="425"/>
      <c r="CU63" s="425"/>
      <c r="CV63" s="425"/>
      <c r="CW63" s="425"/>
      <c r="CX63" s="425"/>
      <c r="CY63" s="425"/>
    </row>
    <row r="64" spans="1:103" ht="15">
      <c r="A64" s="426">
        <v>305</v>
      </c>
      <c r="B64" s="425" t="s">
        <v>404</v>
      </c>
      <c r="C64" s="427">
        <v>6413</v>
      </c>
      <c r="D64" s="425" t="s">
        <v>1309</v>
      </c>
      <c r="E64" s="428">
        <v>1.5</v>
      </c>
      <c r="F64" s="428">
        <v>1</v>
      </c>
      <c r="G64" s="428">
        <v>1.5</v>
      </c>
      <c r="H64" s="428">
        <v>7</v>
      </c>
      <c r="I64" s="428">
        <v>1</v>
      </c>
      <c r="J64" s="428">
        <v>3</v>
      </c>
      <c r="K64" s="428">
        <v>3</v>
      </c>
      <c r="L64" s="428">
        <v>1</v>
      </c>
      <c r="M64" s="428">
        <v>0</v>
      </c>
      <c r="N64" s="428">
        <v>2</v>
      </c>
      <c r="O64" s="428">
        <v>0</v>
      </c>
      <c r="P64" s="428">
        <v>0</v>
      </c>
      <c r="Q64" s="428">
        <v>0</v>
      </c>
      <c r="R64" s="428">
        <v>0</v>
      </c>
      <c r="S64" s="428">
        <v>0</v>
      </c>
      <c r="T64" s="428">
        <v>0</v>
      </c>
      <c r="U64" s="437">
        <v>21</v>
      </c>
      <c r="V64" s="428">
        <v>0</v>
      </c>
      <c r="W64" s="428">
        <v>0</v>
      </c>
      <c r="X64" s="428">
        <v>0</v>
      </c>
      <c r="Y64" s="428">
        <v>0</v>
      </c>
      <c r="Z64" s="428">
        <v>0</v>
      </c>
      <c r="AA64" s="442">
        <v>21</v>
      </c>
      <c r="AB64" s="425">
        <v>3</v>
      </c>
      <c r="AC64" s="425">
        <v>1</v>
      </c>
      <c r="AD64" s="425">
        <v>2</v>
      </c>
      <c r="AE64" s="425">
        <v>7</v>
      </c>
      <c r="AF64" s="425">
        <v>1</v>
      </c>
      <c r="AG64" s="425">
        <v>3</v>
      </c>
      <c r="AH64" s="425">
        <v>3</v>
      </c>
      <c r="AI64" s="425">
        <v>1</v>
      </c>
      <c r="AJ64" s="425">
        <v>0</v>
      </c>
      <c r="AK64" s="425">
        <v>2</v>
      </c>
      <c r="AL64" s="425">
        <v>0</v>
      </c>
      <c r="AM64" s="425">
        <v>0</v>
      </c>
      <c r="AN64" s="425">
        <v>0</v>
      </c>
      <c r="AO64" s="425">
        <v>0</v>
      </c>
      <c r="AP64" s="425">
        <v>0</v>
      </c>
      <c r="AQ64" s="425">
        <v>0</v>
      </c>
      <c r="AR64" s="443">
        <v>23</v>
      </c>
      <c r="AS64" s="425">
        <v>0</v>
      </c>
      <c r="AT64" s="425">
        <v>0</v>
      </c>
      <c r="AU64" s="425">
        <v>0</v>
      </c>
      <c r="AV64" s="425">
        <v>0</v>
      </c>
      <c r="AW64" s="425">
        <v>0</v>
      </c>
      <c r="AX64" s="443">
        <v>23</v>
      </c>
      <c r="AY64" s="425">
        <v>21</v>
      </c>
      <c r="AZ64" s="428">
        <v>0</v>
      </c>
      <c r="BA64" s="431">
        <v>21</v>
      </c>
      <c r="BB64" s="425">
        <v>0</v>
      </c>
      <c r="BC64" s="425">
        <v>0</v>
      </c>
      <c r="BD64" s="425">
        <v>0</v>
      </c>
      <c r="BE64" s="425">
        <v>0</v>
      </c>
      <c r="BF64" s="425">
        <v>9</v>
      </c>
      <c r="BG64" s="425">
        <v>0</v>
      </c>
      <c r="BH64" s="432">
        <v>9</v>
      </c>
      <c r="BI64" s="433">
        <v>2.3333333333333335</v>
      </c>
      <c r="BJ64" s="433">
        <v>0</v>
      </c>
      <c r="BK64" s="433">
        <v>2.3333333333333335</v>
      </c>
      <c r="BL64" s="425" t="s">
        <v>441</v>
      </c>
      <c r="BM64" s="425" t="s">
        <v>1224</v>
      </c>
      <c r="BN64" s="425" t="s">
        <v>1225</v>
      </c>
      <c r="BO64" s="434" t="s">
        <v>1297</v>
      </c>
      <c r="BP64" s="434" t="s">
        <v>1298</v>
      </c>
      <c r="BQ64" s="425" t="s">
        <v>474</v>
      </c>
      <c r="BR64" s="425" t="s">
        <v>1266</v>
      </c>
      <c r="BS64" s="425" t="s">
        <v>1267</v>
      </c>
      <c r="BT64" s="425" t="s">
        <v>1228</v>
      </c>
      <c r="BU64" s="425" t="s">
        <v>1268</v>
      </c>
      <c r="BV64" s="425">
        <v>56.34572</v>
      </c>
      <c r="BW64" s="425">
        <v>-94.709654999999998</v>
      </c>
      <c r="BX64" s="425" t="s">
        <v>1242</v>
      </c>
      <c r="BY64" s="425">
        <v>2994</v>
      </c>
      <c r="BZ64" s="425">
        <v>4623025</v>
      </c>
      <c r="CA64" s="425" t="s">
        <v>1095</v>
      </c>
      <c r="CB64" s="425" t="s">
        <v>1232</v>
      </c>
      <c r="CC64" s="425">
        <v>6023423</v>
      </c>
      <c r="CD64" s="425">
        <v>2198424</v>
      </c>
      <c r="CE64" s="427">
        <v>216</v>
      </c>
      <c r="CF64" s="435">
        <v>2</v>
      </c>
      <c r="CG64" s="425" t="s">
        <v>1248</v>
      </c>
      <c r="CH64" s="427">
        <v>1064</v>
      </c>
      <c r="CI64" s="427" t="s">
        <v>1269</v>
      </c>
      <c r="CJ64" s="425" t="s">
        <v>1248</v>
      </c>
      <c r="CK64" s="436">
        <v>1.1499999999999999</v>
      </c>
      <c r="CL64" s="437">
        <v>1416</v>
      </c>
      <c r="CM64" s="438">
        <v>265</v>
      </c>
      <c r="CN64" s="425">
        <v>17.413</v>
      </c>
      <c r="CO64" s="425">
        <v>53</v>
      </c>
      <c r="CP64" s="436">
        <v>3.0437029805317866</v>
      </c>
      <c r="CQ64" s="439">
        <v>2.1472241081031073E-3</v>
      </c>
      <c r="CR64" s="425"/>
      <c r="CS64" s="425"/>
      <c r="CT64" s="425"/>
      <c r="CU64" s="425"/>
      <c r="CV64" s="425"/>
      <c r="CW64" s="425"/>
      <c r="CX64" s="425"/>
      <c r="CY64" s="425"/>
    </row>
    <row r="65" spans="1:103" ht="15">
      <c r="A65" s="1512" t="s">
        <v>72</v>
      </c>
      <c r="B65" s="1513"/>
      <c r="C65" s="1514"/>
      <c r="D65" s="1513"/>
      <c r="E65" s="1515">
        <v>69.5</v>
      </c>
      <c r="F65" s="1515">
        <v>99</v>
      </c>
      <c r="G65" s="1515">
        <v>142</v>
      </c>
      <c r="H65" s="1515">
        <v>123</v>
      </c>
      <c r="I65" s="1515">
        <v>127</v>
      </c>
      <c r="J65" s="1515">
        <v>153</v>
      </c>
      <c r="K65" s="1515">
        <v>110</v>
      </c>
      <c r="L65" s="1515">
        <v>95</v>
      </c>
      <c r="M65" s="1515">
        <v>99</v>
      </c>
      <c r="N65" s="1515">
        <v>93</v>
      </c>
      <c r="O65" s="1515">
        <v>6</v>
      </c>
      <c r="P65" s="1515">
        <v>70</v>
      </c>
      <c r="Q65" s="1515">
        <v>22</v>
      </c>
      <c r="R65" s="1515">
        <v>16</v>
      </c>
      <c r="S65" s="1515">
        <v>14</v>
      </c>
      <c r="T65" s="1515">
        <v>0</v>
      </c>
      <c r="U65" s="1516">
        <v>1238.5</v>
      </c>
      <c r="V65" s="1515">
        <v>0</v>
      </c>
      <c r="W65" s="1515">
        <v>0</v>
      </c>
      <c r="X65" s="1515">
        <v>0</v>
      </c>
      <c r="Y65" s="1515">
        <v>14</v>
      </c>
      <c r="Z65" s="1513"/>
      <c r="AA65" s="1516">
        <v>1252.5</v>
      </c>
      <c r="AB65" s="1513">
        <v>119</v>
      </c>
      <c r="AC65" s="1513">
        <v>117</v>
      </c>
      <c r="AD65" s="1513">
        <v>143</v>
      </c>
      <c r="AE65" s="1513">
        <v>123</v>
      </c>
      <c r="AF65" s="1513">
        <v>127</v>
      </c>
      <c r="AG65" s="1513">
        <v>153</v>
      </c>
      <c r="AH65" s="1513">
        <v>110</v>
      </c>
      <c r="AI65" s="1513">
        <v>95</v>
      </c>
      <c r="AJ65" s="1513">
        <v>99</v>
      </c>
      <c r="AK65" s="1513">
        <v>93</v>
      </c>
      <c r="AL65" s="1513">
        <v>14</v>
      </c>
      <c r="AM65" s="1513">
        <v>62</v>
      </c>
      <c r="AN65" s="1513">
        <v>22</v>
      </c>
      <c r="AO65" s="1513">
        <v>16</v>
      </c>
      <c r="AP65" s="1513">
        <v>14</v>
      </c>
      <c r="AQ65" s="1513">
        <v>0</v>
      </c>
      <c r="AR65" s="1517">
        <v>1307</v>
      </c>
      <c r="AS65" s="1513">
        <v>0</v>
      </c>
      <c r="AT65" s="1513">
        <v>0</v>
      </c>
      <c r="AU65" s="1513">
        <v>0</v>
      </c>
      <c r="AV65" s="1513">
        <v>14</v>
      </c>
      <c r="AW65" s="1513">
        <v>0</v>
      </c>
      <c r="AX65" s="1517">
        <v>1321</v>
      </c>
      <c r="AY65" s="1513">
        <v>1116.5</v>
      </c>
      <c r="AZ65" s="1515">
        <v>136</v>
      </c>
      <c r="BA65" s="1516">
        <v>1252.5</v>
      </c>
      <c r="BB65" s="1517">
        <v>70</v>
      </c>
      <c r="BC65" s="1517">
        <v>22</v>
      </c>
      <c r="BD65" s="1513">
        <v>16</v>
      </c>
      <c r="BE65" s="1513">
        <v>28</v>
      </c>
      <c r="BF65" s="1513"/>
      <c r="BG65" s="1513"/>
      <c r="BH65" s="1518"/>
      <c r="BI65" s="1513"/>
      <c r="BJ65" s="1513"/>
      <c r="BK65" s="1513"/>
      <c r="BL65" s="1513"/>
      <c r="BM65" s="1513"/>
      <c r="BN65" s="1513"/>
      <c r="BO65" s="1513"/>
      <c r="BP65" s="1513"/>
      <c r="BQ65" s="1513"/>
      <c r="BR65" s="1513"/>
      <c r="BS65" s="1513"/>
      <c r="BT65" s="1513"/>
      <c r="BU65" s="1513"/>
      <c r="BV65" s="1513"/>
      <c r="BW65" s="1513"/>
      <c r="BX65" s="1513"/>
      <c r="BY65" s="1513"/>
      <c r="BZ65" s="1513"/>
      <c r="CA65" s="1513"/>
      <c r="CB65" s="1513"/>
      <c r="CC65" s="1513"/>
      <c r="CD65" s="1513"/>
      <c r="CE65" s="1514"/>
      <c r="CF65" s="1514"/>
      <c r="CG65" s="1513"/>
      <c r="CH65" s="1514"/>
      <c r="CI65" s="1514"/>
      <c r="CJ65" s="1513"/>
      <c r="CK65" s="1513"/>
      <c r="CL65" s="1516">
        <v>21300.7</v>
      </c>
      <c r="CM65" s="1513"/>
      <c r="CN65" s="1513"/>
      <c r="CO65" s="1513"/>
      <c r="CP65" s="1513"/>
      <c r="CQ65" s="1513"/>
      <c r="CR65" s="1513">
        <v>3</v>
      </c>
      <c r="CS65" s="1513">
        <v>0</v>
      </c>
      <c r="CT65" s="1513">
        <v>0</v>
      </c>
      <c r="CU65" s="1513">
        <v>0</v>
      </c>
      <c r="CV65" s="1513">
        <v>0</v>
      </c>
      <c r="CW65" s="1513">
        <v>0</v>
      </c>
      <c r="CX65" s="1513">
        <v>0</v>
      </c>
      <c r="CY65" s="1513">
        <v>0</v>
      </c>
    </row>
  </sheetData>
  <mergeCells count="2">
    <mergeCell ref="V5:Y5"/>
    <mergeCell ref="V22:Y22"/>
  </mergeCells>
  <pageMargins left="0.7" right="0.7" top="0.75" bottom="0.75" header="0.3" footer="0.3"/>
  <pageSetup scale="91" orientation="landscape" r:id="rId1"/>
  <headerFooter>
    <oddHeader>&amp;LMB First Nations Schools System 2017-18&amp;RDRAFT</oddHeader>
    <oddFooter>&amp;C&amp;P of &amp;N&amp;L&amp;"Times New Roman"&amp;8NCR#10930598 - v1</oddFooter>
  </headerFooter>
  <colBreaks count="7" manualBreakCount="7">
    <brk id="24" max="1048575" man="1"/>
    <brk id="39" max="20" man="1"/>
    <brk id="49" max="1048575" man="1"/>
    <brk id="58" max="1048575" man="1"/>
    <brk id="67" max="1048575" man="1"/>
    <brk id="76" max="20" man="1"/>
    <brk id="86" max="1048575" man="1"/>
  </colBreaks>
  <legacyDrawing r:id="rId2"/>
  <tableParts count="3">
    <tablePart r:id="rId3"/>
    <tablePart r:id="rId4"/>
    <tablePart r:id="rId5"/>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FFFF00"/>
  </sheetPr>
  <dimension ref="A2:BC930"/>
  <sheetViews>
    <sheetView workbookViewId="0">
      <pane xSplit="4" topLeftCell="E1" activePane="topRight" state="frozen"/>
      <selection pane="topRight" activeCell="E1" sqref="E1"/>
    </sheetView>
  </sheetViews>
  <sheetFormatPr baseColWidth="10" defaultColWidth="9" defaultRowHeight="14"/>
  <cols>
    <col min="1" max="1" width="11.19921875" customWidth="1"/>
    <col min="2" max="2" width="19.796875" customWidth="1"/>
    <col min="3" max="3" width="11.796875" customWidth="1"/>
    <col min="4" max="4" width="37.796875" customWidth="1"/>
    <col min="5" max="5" width="29.3984375" customWidth="1"/>
    <col min="6" max="6" width="9" customWidth="1"/>
    <col min="7" max="7" width="7.59765625" customWidth="1"/>
    <col min="8" max="23" width="10.59765625" customWidth="1"/>
    <col min="25" max="32" width="8.59765625" customWidth="1"/>
    <col min="33" max="33" width="10.59765625" customWidth="1"/>
    <col min="34" max="37" width="8.59765625" customWidth="1"/>
    <col min="38" max="38" width="10.59765625" customWidth="1"/>
    <col min="39" max="39" width="13.796875" bestFit="1" customWidth="1"/>
    <col min="40" max="40" width="18" customWidth="1"/>
    <col min="41" max="41" width="16.19921875" customWidth="1"/>
    <col min="42" max="42" width="25.19921875" bestFit="1" customWidth="1"/>
    <col min="43" max="43" width="23.3984375" bestFit="1" customWidth="1"/>
    <col min="44" max="44" width="16" customWidth="1"/>
    <col min="45" max="45" width="20.19921875" customWidth="1"/>
    <col min="46" max="46" width="15" customWidth="1"/>
    <col min="47" max="53" width="14.59765625" customWidth="1"/>
  </cols>
  <sheetData>
    <row r="2" spans="1:54" ht="16">
      <c r="A2" s="10" t="s">
        <v>1311</v>
      </c>
    </row>
    <row r="3" spans="1:54" ht="16">
      <c r="A3" s="10" t="s">
        <v>1312</v>
      </c>
    </row>
    <row r="4" spans="1:54">
      <c r="A4" t="s">
        <v>1313</v>
      </c>
    </row>
    <row r="5" spans="1:54">
      <c r="A5" s="378" t="s">
        <v>1314</v>
      </c>
      <c r="B5" s="383" t="s">
        <v>1315</v>
      </c>
      <c r="C5" s="383"/>
    </row>
    <row r="6" spans="1:54">
      <c r="M6" s="1729"/>
      <c r="N6" s="1729"/>
      <c r="O6" s="1729"/>
      <c r="BB6" s="408"/>
    </row>
    <row r="7" spans="1:54" ht="65.25" customHeight="1">
      <c r="A7" s="1202" t="s">
        <v>739</v>
      </c>
      <c r="B7" s="1202" t="s">
        <v>481</v>
      </c>
      <c r="C7" s="1202" t="s">
        <v>375</v>
      </c>
      <c r="D7" s="1202" t="s">
        <v>331</v>
      </c>
      <c r="E7" s="1202" t="s">
        <v>1316</v>
      </c>
      <c r="F7" s="1201" t="s">
        <v>338</v>
      </c>
      <c r="G7" s="1152" t="s">
        <v>1317</v>
      </c>
      <c r="H7" s="1152" t="s">
        <v>1140</v>
      </c>
      <c r="I7" s="1152" t="s">
        <v>1318</v>
      </c>
      <c r="J7" s="1152" t="s">
        <v>1319</v>
      </c>
      <c r="K7" s="1152" t="s">
        <v>1320</v>
      </c>
      <c r="L7" s="1152" t="s">
        <v>1321</v>
      </c>
      <c r="M7" s="1152" t="s">
        <v>1322</v>
      </c>
      <c r="N7" s="1152" t="s">
        <v>1323</v>
      </c>
      <c r="O7" s="1152" t="s">
        <v>1324</v>
      </c>
      <c r="P7" s="1152" t="s">
        <v>1325</v>
      </c>
      <c r="Q7" s="1152" t="s">
        <v>1326</v>
      </c>
      <c r="R7" s="1152" t="s">
        <v>1327</v>
      </c>
      <c r="S7" s="1152" t="s">
        <v>1328</v>
      </c>
      <c r="T7" s="1152" t="s">
        <v>1329</v>
      </c>
      <c r="U7" s="1152" t="s">
        <v>1330</v>
      </c>
      <c r="V7" s="1152" t="s">
        <v>1331</v>
      </c>
      <c r="W7" s="1152" t="s">
        <v>1332</v>
      </c>
      <c r="X7" s="1152" t="s">
        <v>1333</v>
      </c>
      <c r="Y7" s="1308" t="s">
        <v>1334</v>
      </c>
      <c r="Z7" s="1153" t="s">
        <v>1317</v>
      </c>
      <c r="AA7" s="1153" t="s">
        <v>1140</v>
      </c>
      <c r="AB7" s="1153" t="s">
        <v>1318</v>
      </c>
      <c r="AC7" s="1153" t="s">
        <v>1319</v>
      </c>
      <c r="AD7" s="1153" t="s">
        <v>1335</v>
      </c>
      <c r="AE7" s="1153" t="s">
        <v>1336</v>
      </c>
      <c r="AF7" s="1153" t="s">
        <v>1337</v>
      </c>
      <c r="AG7" s="1153" t="s">
        <v>1338</v>
      </c>
      <c r="AH7" s="1153" t="s">
        <v>1339</v>
      </c>
      <c r="AI7" s="1153" t="s">
        <v>1340</v>
      </c>
      <c r="AJ7" s="1153" t="s">
        <v>1341</v>
      </c>
      <c r="AK7" s="1153" t="s">
        <v>1342</v>
      </c>
      <c r="AL7" s="1153" t="s">
        <v>1343</v>
      </c>
      <c r="AM7" s="1153" t="s">
        <v>1344</v>
      </c>
      <c r="AN7" s="1153" t="s">
        <v>1345</v>
      </c>
      <c r="AO7" s="1153" t="s">
        <v>1346</v>
      </c>
      <c r="AP7" s="1153" t="s">
        <v>1347</v>
      </c>
      <c r="AQ7" s="1153" t="s">
        <v>1348</v>
      </c>
      <c r="AR7" s="1308" t="s">
        <v>1349</v>
      </c>
      <c r="AS7" s="1309"/>
      <c r="AT7" s="1153" t="s">
        <v>1350</v>
      </c>
      <c r="AU7" s="1202" t="s">
        <v>1188</v>
      </c>
      <c r="AV7" s="1153" t="s">
        <v>832</v>
      </c>
      <c r="AW7" s="1153" t="s">
        <v>1351</v>
      </c>
      <c r="AX7" s="1153" t="s">
        <v>1186</v>
      </c>
      <c r="AY7" s="1153" t="s">
        <v>1187</v>
      </c>
    </row>
    <row r="8" spans="1:54">
      <c r="A8" s="391">
        <v>261</v>
      </c>
      <c r="B8" s="391" t="s">
        <v>733</v>
      </c>
      <c r="C8" s="391">
        <v>1624</v>
      </c>
      <c r="D8" s="391" t="s">
        <v>1352</v>
      </c>
      <c r="E8" s="391" t="s">
        <v>1353</v>
      </c>
      <c r="F8" t="s">
        <v>666</v>
      </c>
      <c r="G8" s="391"/>
      <c r="H8" s="391"/>
      <c r="I8" s="391"/>
      <c r="J8" s="391"/>
      <c r="K8" s="391"/>
      <c r="L8" s="391"/>
      <c r="M8" s="391"/>
      <c r="N8" s="391"/>
      <c r="O8" s="391"/>
      <c r="P8" s="391">
        <v>1</v>
      </c>
      <c r="Q8" s="391"/>
      <c r="R8" s="391">
        <v>1</v>
      </c>
      <c r="S8" s="35"/>
      <c r="T8" s="623"/>
      <c r="U8" s="623"/>
      <c r="V8" s="623"/>
      <c r="W8" s="623"/>
      <c r="X8" s="391"/>
      <c r="Y8" s="393">
        <f>SUM('B. 20-21 Prov&amp;Priv Enrolment&lt;22'!$G8:$X8)</f>
        <v>2</v>
      </c>
      <c r="Z8" s="391"/>
      <c r="AA8" s="391"/>
      <c r="AB8" s="391"/>
      <c r="AC8" s="391"/>
      <c r="AD8" s="391"/>
      <c r="AE8" s="391"/>
      <c r="AF8" s="391"/>
      <c r="AG8" s="391"/>
      <c r="AH8" s="391"/>
      <c r="AI8" s="391">
        <v>1</v>
      </c>
      <c r="AJ8" s="391"/>
      <c r="AK8" s="391">
        <v>1</v>
      </c>
      <c r="AL8" s="35"/>
      <c r="AM8" s="623"/>
      <c r="AN8" s="623"/>
      <c r="AO8" s="623"/>
      <c r="AP8" s="623"/>
      <c r="AQ8" s="391"/>
      <c r="AR8" s="394">
        <f>SUM('B. 20-21 Prov&amp;Priv Enrolment&lt;22'!$Z8:$AQ8)</f>
        <v>2</v>
      </c>
      <c r="AS8" s="717"/>
      <c r="AT8" s="391" t="str">
        <f t="shared" ref="AT8:AT54" si="0">B8</f>
        <v>Brokenhead Ojibway Nation</v>
      </c>
      <c r="AU8" s="391" t="str">
        <f>INDEX(TableAFNSchools[North/South of 53rd Parallel &amp; Fly-in = North],MATCH('B. 20-21 Prov&amp;Priv Enrolment&lt;22'!$A8,TableAFNSchools[Band No '#],0))</f>
        <v>South</v>
      </c>
      <c r="AV8" s="391" t="str">
        <f t="shared" ref="AV8:AV54" si="1">E8</f>
        <v>Lord Selkirk School Division</v>
      </c>
      <c r="AW8" s="391" t="s">
        <v>443</v>
      </c>
      <c r="AX8" s="391" t="str">
        <f>IF('B. 20-21 Prov&amp;Priv Enrolment&lt;22'!$G8="","None",IF('B. 20-21 Prov&amp;Priv Enrolment&lt;22'!$G8&lt;'B. 20-21 Prov&amp;Priv Enrolment&lt;22'!$Z8,"Half-day",IF(AND('B. 20-21 Prov&amp;Priv Enrolment&lt;22'!$G8&gt;0,'B. 20-21 Prov&amp;Priv Enrolment&lt;22'!$G8='B. 20-21 Prov&amp;Priv Enrolment&lt;22'!$Z8),"Full-day",0)))</f>
        <v>None</v>
      </c>
      <c r="AY8" s="392" t="str">
        <f>IF('B. 20-21 Prov&amp;Priv Enrolment&lt;22'!$J8="","None",IF('B. 20-21 Prov&amp;Priv Enrolment&lt;22'!$J8&lt;'B. 20-21 Prov&amp;Priv Enrolment&lt;22'!$AC8,"Half-day",IF(AND('B. 20-21 Prov&amp;Priv Enrolment&lt;22'!$J8&gt;0,'B. 20-21 Prov&amp;Priv Enrolment&lt;22'!$J8='B. 20-21 Prov&amp;Priv Enrolment&lt;22'!$AC8),"Full-day",0)))</f>
        <v>None</v>
      </c>
    </row>
    <row r="9" spans="1:54">
      <c r="A9" s="391">
        <v>261</v>
      </c>
      <c r="B9" s="391" t="s">
        <v>733</v>
      </c>
      <c r="C9" s="391">
        <v>1744</v>
      </c>
      <c r="D9" s="391" t="s">
        <v>1354</v>
      </c>
      <c r="E9" s="391" t="s">
        <v>1353</v>
      </c>
      <c r="F9" t="s">
        <v>666</v>
      </c>
      <c r="G9" s="391"/>
      <c r="H9" s="391"/>
      <c r="I9" s="391"/>
      <c r="J9" s="391"/>
      <c r="K9" s="391">
        <v>1</v>
      </c>
      <c r="L9" s="391"/>
      <c r="M9" s="391"/>
      <c r="N9" s="391">
        <v>1</v>
      </c>
      <c r="O9" s="391"/>
      <c r="P9" s="391"/>
      <c r="Q9" s="391"/>
      <c r="R9" s="391"/>
      <c r="S9" s="35"/>
      <c r="T9" s="623"/>
      <c r="U9" s="623"/>
      <c r="V9" s="623"/>
      <c r="W9" s="623"/>
      <c r="X9" s="391"/>
      <c r="Y9" s="393">
        <f>SUM('B. 20-21 Prov&amp;Priv Enrolment&lt;22'!$G9:$X9)</f>
        <v>2</v>
      </c>
      <c r="Z9" s="391"/>
      <c r="AA9" s="391"/>
      <c r="AB9" s="391"/>
      <c r="AC9" s="391"/>
      <c r="AD9" s="391">
        <v>1</v>
      </c>
      <c r="AE9" s="391"/>
      <c r="AF9" s="391"/>
      <c r="AG9" s="391">
        <v>1</v>
      </c>
      <c r="AH9" s="391"/>
      <c r="AI9" s="391"/>
      <c r="AJ9" s="391"/>
      <c r="AK9" s="391"/>
      <c r="AL9" s="35"/>
      <c r="AM9" s="623"/>
      <c r="AN9" s="623"/>
      <c r="AO9" s="623"/>
      <c r="AP9" s="623"/>
      <c r="AQ9" s="391"/>
      <c r="AR9" s="394">
        <f>SUM('B. 20-21 Prov&amp;Priv Enrolment&lt;22'!$Z9:$AQ9)</f>
        <v>2</v>
      </c>
      <c r="AS9" s="717"/>
      <c r="AT9" s="391" t="str">
        <f t="shared" si="0"/>
        <v>Brokenhead Ojibway Nation</v>
      </c>
      <c r="AU9" s="391" t="str">
        <f>INDEX(TableAFNSchools[North/South of 53rd Parallel &amp; Fly-in = North],MATCH('B. 20-21 Prov&amp;Priv Enrolment&lt;22'!$A9,TableAFNSchools[Band No '#],0))</f>
        <v>South</v>
      </c>
      <c r="AV9" s="391" t="str">
        <f t="shared" si="1"/>
        <v>Lord Selkirk School Division</v>
      </c>
      <c r="AW9" s="391" t="s">
        <v>443</v>
      </c>
      <c r="AX9" s="391" t="str">
        <f>IF('B. 20-21 Prov&amp;Priv Enrolment&lt;22'!$G9="","None",IF('B. 20-21 Prov&amp;Priv Enrolment&lt;22'!$G9&lt;'B. 20-21 Prov&amp;Priv Enrolment&lt;22'!$Z9,"Half-day",IF(AND('B. 20-21 Prov&amp;Priv Enrolment&lt;22'!$G9&gt;0,'B. 20-21 Prov&amp;Priv Enrolment&lt;22'!$G9='B. 20-21 Prov&amp;Priv Enrolment&lt;22'!$Z9),"Full-day",0)))</f>
        <v>None</v>
      </c>
      <c r="AY9" s="392" t="str">
        <f>IF('B. 20-21 Prov&amp;Priv Enrolment&lt;22'!$J9="","None",IF('B. 20-21 Prov&amp;Priv Enrolment&lt;22'!$J9&lt;'B. 20-21 Prov&amp;Priv Enrolment&lt;22'!$AC9,"Half-day",IF(AND('B. 20-21 Prov&amp;Priv Enrolment&lt;22'!$J9&gt;0,'B. 20-21 Prov&amp;Priv Enrolment&lt;22'!$J9='B. 20-21 Prov&amp;Priv Enrolment&lt;22'!$AC9),"Full-day",0)))</f>
        <v>None</v>
      </c>
    </row>
    <row r="10" spans="1:54">
      <c r="A10" s="391">
        <v>261</v>
      </c>
      <c r="B10" s="391" t="s">
        <v>733</v>
      </c>
      <c r="C10" s="391">
        <v>3370</v>
      </c>
      <c r="D10" s="391" t="s">
        <v>966</v>
      </c>
      <c r="E10" s="391" t="s">
        <v>1355</v>
      </c>
      <c r="F10" t="s">
        <v>666</v>
      </c>
      <c r="G10" s="391"/>
      <c r="H10" s="391"/>
      <c r="I10" s="391"/>
      <c r="J10" s="391"/>
      <c r="K10" s="391"/>
      <c r="L10" s="391"/>
      <c r="M10" s="391"/>
      <c r="N10" s="391"/>
      <c r="O10" s="391"/>
      <c r="P10" s="391"/>
      <c r="Q10" s="391"/>
      <c r="R10" s="391"/>
      <c r="S10" s="35"/>
      <c r="T10" s="623"/>
      <c r="U10" s="623"/>
      <c r="V10" s="623"/>
      <c r="W10" s="623">
        <v>1</v>
      </c>
      <c r="X10" s="391"/>
      <c r="Y10" s="393">
        <f>SUM('B. 20-21 Prov&amp;Priv Enrolment&lt;22'!$G10:$X10)</f>
        <v>1</v>
      </c>
      <c r="Z10" s="391"/>
      <c r="AA10" s="391"/>
      <c r="AB10" s="391"/>
      <c r="AC10" s="391"/>
      <c r="AD10" s="391"/>
      <c r="AE10" s="391"/>
      <c r="AF10" s="391"/>
      <c r="AG10" s="391"/>
      <c r="AH10" s="391"/>
      <c r="AI10" s="391"/>
      <c r="AJ10" s="391"/>
      <c r="AK10" s="391"/>
      <c r="AL10" s="35"/>
      <c r="AM10" s="623"/>
      <c r="AN10" s="623"/>
      <c r="AO10" s="623"/>
      <c r="AP10" s="623">
        <v>1</v>
      </c>
      <c r="AQ10" s="391"/>
      <c r="AR10" s="394">
        <f>SUM('B. 20-21 Prov&amp;Priv Enrolment&lt;22'!$Z10:$AQ10)</f>
        <v>1</v>
      </c>
      <c r="AS10" s="717"/>
      <c r="AT10" s="391" t="str">
        <f t="shared" si="0"/>
        <v>Brokenhead Ojibway Nation</v>
      </c>
      <c r="AU10" s="391" t="str">
        <f>INDEX(TableAFNSchools[North/South of 53rd Parallel &amp; Fly-in = North],MATCH('B. 20-21 Prov&amp;Priv Enrolment&lt;22'!$A10,TableAFNSchools[Band No '#],0))</f>
        <v>South</v>
      </c>
      <c r="AV10" s="391" t="str">
        <f t="shared" si="1"/>
        <v>Winnipeg School Division</v>
      </c>
      <c r="AW10" s="391" t="s">
        <v>443</v>
      </c>
      <c r="AX10" s="391" t="str">
        <f>IF('B. 20-21 Prov&amp;Priv Enrolment&lt;22'!$G10="","None",IF('B. 20-21 Prov&amp;Priv Enrolment&lt;22'!$G10&lt;'B. 20-21 Prov&amp;Priv Enrolment&lt;22'!$Z10,"Half-day",IF(AND('B. 20-21 Prov&amp;Priv Enrolment&lt;22'!$G10&gt;0,'B. 20-21 Prov&amp;Priv Enrolment&lt;22'!$G10='B. 20-21 Prov&amp;Priv Enrolment&lt;22'!$Z10),"Full-day",0)))</f>
        <v>None</v>
      </c>
      <c r="AY10" s="392" t="str">
        <f>IF('B. 20-21 Prov&amp;Priv Enrolment&lt;22'!$J10="","None",IF('B. 20-21 Prov&amp;Priv Enrolment&lt;22'!$J10&lt;'B. 20-21 Prov&amp;Priv Enrolment&lt;22'!$AC10,"Half-day",IF(AND('B. 20-21 Prov&amp;Priv Enrolment&lt;22'!$J10&gt;0,'B. 20-21 Prov&amp;Priv Enrolment&lt;22'!$J10='B. 20-21 Prov&amp;Priv Enrolment&lt;22'!$AC10),"Full-day",0)))</f>
        <v>None</v>
      </c>
    </row>
    <row r="11" spans="1:54">
      <c r="A11" s="391">
        <v>261</v>
      </c>
      <c r="B11" s="391" t="s">
        <v>733</v>
      </c>
      <c r="C11" s="391">
        <v>3449</v>
      </c>
      <c r="D11" s="391" t="s">
        <v>1356</v>
      </c>
      <c r="E11" s="391" t="s">
        <v>1353</v>
      </c>
      <c r="F11" t="s">
        <v>666</v>
      </c>
      <c r="G11" s="391"/>
      <c r="H11" s="391"/>
      <c r="I11" s="391"/>
      <c r="J11" s="391"/>
      <c r="K11" s="391"/>
      <c r="L11" s="391"/>
      <c r="M11" s="391"/>
      <c r="N11" s="391"/>
      <c r="O11" s="391"/>
      <c r="P11" s="391"/>
      <c r="Q11" s="391"/>
      <c r="R11" s="391"/>
      <c r="S11" s="35"/>
      <c r="T11" s="623"/>
      <c r="U11" s="623">
        <v>9</v>
      </c>
      <c r="V11" s="623">
        <v>9</v>
      </c>
      <c r="W11" s="623">
        <v>3</v>
      </c>
      <c r="X11" s="391"/>
      <c r="Y11" s="393">
        <f>SUM('B. 20-21 Prov&amp;Priv Enrolment&lt;22'!$G11:$X11)</f>
        <v>21</v>
      </c>
      <c r="Z11" s="391"/>
      <c r="AA11" s="391"/>
      <c r="AB11" s="391"/>
      <c r="AC11" s="391"/>
      <c r="AD11" s="391"/>
      <c r="AE11" s="391"/>
      <c r="AF11" s="391"/>
      <c r="AG11" s="391"/>
      <c r="AH11" s="391"/>
      <c r="AI11" s="391"/>
      <c r="AJ11" s="391"/>
      <c r="AK11" s="391"/>
      <c r="AL11" s="35"/>
      <c r="AM11" s="623"/>
      <c r="AN11" s="623">
        <v>9</v>
      </c>
      <c r="AO11" s="623">
        <v>9</v>
      </c>
      <c r="AP11" s="623">
        <v>3</v>
      </c>
      <c r="AQ11" s="391"/>
      <c r="AR11" s="394">
        <f>SUM('B. 20-21 Prov&amp;Priv Enrolment&lt;22'!$Z11:$AQ11)</f>
        <v>21</v>
      </c>
      <c r="AS11" s="717"/>
      <c r="AT11" s="391" t="str">
        <f t="shared" si="0"/>
        <v>Brokenhead Ojibway Nation</v>
      </c>
      <c r="AU11" s="391" t="str">
        <f>INDEX(TableAFNSchools[North/South of 53rd Parallel &amp; Fly-in = North],MATCH('B. 20-21 Prov&amp;Priv Enrolment&lt;22'!$A11,TableAFNSchools[Band No '#],0))</f>
        <v>South</v>
      </c>
      <c r="AV11" s="391" t="str">
        <f t="shared" si="1"/>
        <v>Lord Selkirk School Division</v>
      </c>
      <c r="AW11" s="391" t="s">
        <v>443</v>
      </c>
      <c r="AX11" s="391" t="str">
        <f>IF('B. 20-21 Prov&amp;Priv Enrolment&lt;22'!$G11="","None",IF('B. 20-21 Prov&amp;Priv Enrolment&lt;22'!$G11&lt;'B. 20-21 Prov&amp;Priv Enrolment&lt;22'!$Z11,"Half-day",IF(AND('B. 20-21 Prov&amp;Priv Enrolment&lt;22'!$G11&gt;0,'B. 20-21 Prov&amp;Priv Enrolment&lt;22'!$G11='B. 20-21 Prov&amp;Priv Enrolment&lt;22'!$Z11),"Full-day",0)))</f>
        <v>None</v>
      </c>
      <c r="AY11" s="392" t="str">
        <f>IF('B. 20-21 Prov&amp;Priv Enrolment&lt;22'!$J11="","None",IF('B. 20-21 Prov&amp;Priv Enrolment&lt;22'!$J11&lt;'B. 20-21 Prov&amp;Priv Enrolment&lt;22'!$AC11,"Half-day",IF(AND('B. 20-21 Prov&amp;Priv Enrolment&lt;22'!$J11&gt;0,'B. 20-21 Prov&amp;Priv Enrolment&lt;22'!$J11='B. 20-21 Prov&amp;Priv Enrolment&lt;22'!$AC11),"Full-day",0)))</f>
        <v>None</v>
      </c>
    </row>
    <row r="12" spans="1:54">
      <c r="A12" s="391">
        <v>261</v>
      </c>
      <c r="B12" s="391" t="s">
        <v>733</v>
      </c>
      <c r="C12" s="391">
        <v>3483</v>
      </c>
      <c r="D12" s="391" t="s">
        <v>1357</v>
      </c>
      <c r="E12" s="391" t="s">
        <v>1353</v>
      </c>
      <c r="F12" t="s">
        <v>666</v>
      </c>
      <c r="G12" s="391"/>
      <c r="H12" s="391"/>
      <c r="I12" s="391"/>
      <c r="J12" s="391"/>
      <c r="K12" s="391"/>
      <c r="L12" s="391"/>
      <c r="M12" s="391">
        <v>1</v>
      </c>
      <c r="N12" s="391"/>
      <c r="O12" s="391"/>
      <c r="P12" s="391"/>
      <c r="Q12" s="391"/>
      <c r="R12" s="391">
        <v>1</v>
      </c>
      <c r="S12" s="35"/>
      <c r="T12" s="623">
        <v>1</v>
      </c>
      <c r="U12" s="623"/>
      <c r="V12" s="623"/>
      <c r="W12" s="623"/>
      <c r="X12" s="391"/>
      <c r="Y12" s="393">
        <f>SUM('B. 20-21 Prov&amp;Priv Enrolment&lt;22'!$G12:$X12)</f>
        <v>3</v>
      </c>
      <c r="Z12" s="391"/>
      <c r="AA12" s="391"/>
      <c r="AB12" s="391"/>
      <c r="AC12" s="391"/>
      <c r="AD12" s="391"/>
      <c r="AE12" s="391"/>
      <c r="AF12" s="391">
        <v>1</v>
      </c>
      <c r="AG12" s="391"/>
      <c r="AH12" s="391"/>
      <c r="AI12" s="391"/>
      <c r="AJ12" s="391"/>
      <c r="AK12" s="391">
        <v>1</v>
      </c>
      <c r="AL12" s="35"/>
      <c r="AM12" s="623">
        <v>1</v>
      </c>
      <c r="AN12" s="623"/>
      <c r="AO12" s="623"/>
      <c r="AP12" s="623"/>
      <c r="AQ12" s="391"/>
      <c r="AR12" s="394">
        <f>SUM('B. 20-21 Prov&amp;Priv Enrolment&lt;22'!$Z12:$AQ12)</f>
        <v>3</v>
      </c>
      <c r="AS12" s="717"/>
      <c r="AT12" s="391" t="str">
        <f t="shared" si="0"/>
        <v>Brokenhead Ojibway Nation</v>
      </c>
      <c r="AU12" s="391" t="str">
        <f>INDEX(TableAFNSchools[North/South of 53rd Parallel &amp; Fly-in = North],MATCH('B. 20-21 Prov&amp;Priv Enrolment&lt;22'!$A12,TableAFNSchools[Band No '#],0))</f>
        <v>South</v>
      </c>
      <c r="AV12" s="391" t="str">
        <f t="shared" si="1"/>
        <v>Lord Selkirk School Division</v>
      </c>
      <c r="AW12" s="391" t="s">
        <v>443</v>
      </c>
      <c r="AX12" s="391" t="str">
        <f>IF('B. 20-21 Prov&amp;Priv Enrolment&lt;22'!$G12="","None",IF('B. 20-21 Prov&amp;Priv Enrolment&lt;22'!$G12&lt;'B. 20-21 Prov&amp;Priv Enrolment&lt;22'!$Z12,"Half-day",IF(AND('B. 20-21 Prov&amp;Priv Enrolment&lt;22'!$G12&gt;0,'B. 20-21 Prov&amp;Priv Enrolment&lt;22'!$G12='B. 20-21 Prov&amp;Priv Enrolment&lt;22'!$Z12),"Full-day",0)))</f>
        <v>None</v>
      </c>
      <c r="AY12" s="392" t="str">
        <f>IF('B. 20-21 Prov&amp;Priv Enrolment&lt;22'!$J12="","None",IF('B. 20-21 Prov&amp;Priv Enrolment&lt;22'!$J12&lt;'B. 20-21 Prov&amp;Priv Enrolment&lt;22'!$AC12,"Half-day",IF(AND('B. 20-21 Prov&amp;Priv Enrolment&lt;22'!$J12&gt;0,'B. 20-21 Prov&amp;Priv Enrolment&lt;22'!$J12='B. 20-21 Prov&amp;Priv Enrolment&lt;22'!$AC12),"Full-day",0)))</f>
        <v>None</v>
      </c>
    </row>
    <row r="13" spans="1:54">
      <c r="A13" s="391">
        <v>261</v>
      </c>
      <c r="B13" s="391" t="s">
        <v>733</v>
      </c>
      <c r="C13" s="391">
        <v>9447</v>
      </c>
      <c r="D13" s="392" t="s">
        <v>1358</v>
      </c>
      <c r="E13" s="392" t="s">
        <v>1358</v>
      </c>
      <c r="F13" t="s">
        <v>973</v>
      </c>
      <c r="G13" s="391"/>
      <c r="H13" s="391">
        <v>2</v>
      </c>
      <c r="I13" s="391"/>
      <c r="J13" s="391"/>
      <c r="K13" s="391"/>
      <c r="L13" s="391"/>
      <c r="M13" s="391"/>
      <c r="N13" s="391"/>
      <c r="O13" s="391"/>
      <c r="P13" s="391"/>
      <c r="Q13" s="391"/>
      <c r="R13" s="391"/>
      <c r="S13" s="35"/>
      <c r="T13" s="623"/>
      <c r="U13" s="623"/>
      <c r="V13" s="623"/>
      <c r="W13" s="623"/>
      <c r="X13" s="391"/>
      <c r="Y13" s="393">
        <f>SUM('B. 20-21 Prov&amp;Priv Enrolment&lt;22'!$G13:$X13)</f>
        <v>2</v>
      </c>
      <c r="Z13" s="391"/>
      <c r="AA13" s="391">
        <v>2</v>
      </c>
      <c r="AB13" s="391"/>
      <c r="AC13" s="391"/>
      <c r="AD13" s="391"/>
      <c r="AE13" s="391"/>
      <c r="AF13" s="391"/>
      <c r="AG13" s="391"/>
      <c r="AH13" s="391"/>
      <c r="AI13" s="391"/>
      <c r="AJ13" s="391"/>
      <c r="AK13" s="391"/>
      <c r="AL13" s="35"/>
      <c r="AM13" s="623"/>
      <c r="AN13" s="623"/>
      <c r="AO13" s="623"/>
      <c r="AP13" s="623"/>
      <c r="AQ13" s="391"/>
      <c r="AR13" s="394">
        <f>SUM('B. 20-21 Prov&amp;Priv Enrolment&lt;22'!$Z13:$AQ13)</f>
        <v>2</v>
      </c>
      <c r="AS13" s="717"/>
      <c r="AT13" s="391" t="str">
        <f t="shared" si="0"/>
        <v>Brokenhead Ojibway Nation</v>
      </c>
      <c r="AU13" s="391" t="str">
        <f>INDEX(TableAFNSchools[North/South of 53rd Parallel &amp; Fly-in = North],MATCH('B. 20-21 Prov&amp;Priv Enrolment&lt;22'!$A13,TableAFNSchools[Band No '#],0))</f>
        <v>South</v>
      </c>
      <c r="AV13" s="391" t="str">
        <f t="shared" si="1"/>
        <v>Balmoral Hall</v>
      </c>
      <c r="AW13" s="391" t="s">
        <v>443</v>
      </c>
      <c r="AX13" s="391" t="str">
        <f>IF('B. 20-21 Prov&amp;Priv Enrolment&lt;22'!$G13="","None",IF('B. 20-21 Prov&amp;Priv Enrolment&lt;22'!$G13&lt;'B. 20-21 Prov&amp;Priv Enrolment&lt;22'!$Z13,"Half-day",IF(AND('B. 20-21 Prov&amp;Priv Enrolment&lt;22'!$G13&gt;0,'B. 20-21 Prov&amp;Priv Enrolment&lt;22'!$G13='B. 20-21 Prov&amp;Priv Enrolment&lt;22'!$Z13),"Full-day",0)))</f>
        <v>None</v>
      </c>
      <c r="AY13" s="392" t="str">
        <f>IF('B. 20-21 Prov&amp;Priv Enrolment&lt;22'!$J13="","None",IF('B. 20-21 Prov&amp;Priv Enrolment&lt;22'!$J13&lt;'B. 20-21 Prov&amp;Priv Enrolment&lt;22'!$AC13,"Half-day",IF(AND('B. 20-21 Prov&amp;Priv Enrolment&lt;22'!$J13&gt;0,'B. 20-21 Prov&amp;Priv Enrolment&lt;22'!$J13='B. 20-21 Prov&amp;Priv Enrolment&lt;22'!$AC13),"Full-day",0)))</f>
        <v>None</v>
      </c>
    </row>
    <row r="14" spans="1:54">
      <c r="A14" s="391">
        <v>267</v>
      </c>
      <c r="B14" s="391" t="s">
        <v>392</v>
      </c>
      <c r="C14" s="391">
        <v>3282</v>
      </c>
      <c r="D14" s="391" t="s">
        <v>967</v>
      </c>
      <c r="E14" s="391" t="s">
        <v>1355</v>
      </c>
      <c r="F14" t="s">
        <v>666</v>
      </c>
      <c r="G14" s="391"/>
      <c r="H14" s="391"/>
      <c r="I14" s="391"/>
      <c r="J14" s="391"/>
      <c r="K14" s="391"/>
      <c r="L14" s="391"/>
      <c r="M14" s="391"/>
      <c r="N14" s="391"/>
      <c r="O14" s="391"/>
      <c r="P14" s="391"/>
      <c r="Q14" s="391"/>
      <c r="R14" s="391"/>
      <c r="S14" s="35"/>
      <c r="T14" s="623"/>
      <c r="U14" s="623">
        <v>3</v>
      </c>
      <c r="V14" s="623">
        <v>1</v>
      </c>
      <c r="W14" s="623">
        <v>2</v>
      </c>
      <c r="X14" s="391"/>
      <c r="Y14" s="393">
        <f>SUM('B. 20-21 Prov&amp;Priv Enrolment&lt;22'!$G14:$X14)</f>
        <v>6</v>
      </c>
      <c r="Z14" s="391"/>
      <c r="AA14" s="391"/>
      <c r="AB14" s="391"/>
      <c r="AC14" s="391"/>
      <c r="AD14" s="391"/>
      <c r="AE14" s="391"/>
      <c r="AF14" s="391"/>
      <c r="AG14" s="391"/>
      <c r="AH14" s="391"/>
      <c r="AI14" s="391"/>
      <c r="AJ14" s="391"/>
      <c r="AK14" s="391"/>
      <c r="AL14" s="35"/>
      <c r="AM14" s="623"/>
      <c r="AN14" s="623">
        <v>3</v>
      </c>
      <c r="AO14" s="623">
        <v>1</v>
      </c>
      <c r="AP14" s="623">
        <v>2</v>
      </c>
      <c r="AQ14" s="391"/>
      <c r="AR14" s="394">
        <f>SUM('B. 20-21 Prov&amp;Priv Enrolment&lt;22'!$Z14:$AQ14)</f>
        <v>6</v>
      </c>
      <c r="AS14" s="717"/>
      <c r="AT14" s="391" t="str">
        <f t="shared" si="0"/>
        <v>Bloodvein</v>
      </c>
      <c r="AU14" s="391" t="str">
        <f>INDEX(TableAFNSchools[North/South of 53rd Parallel &amp; Fly-in = North],MATCH('B. 20-21 Prov&amp;Priv Enrolment&lt;22'!$A14,TableAFNSchools[Band No '#],0))</f>
        <v>North</v>
      </c>
      <c r="AV14" s="391" t="str">
        <f t="shared" si="1"/>
        <v>Winnipeg School Division</v>
      </c>
      <c r="AW14" s="391" t="s">
        <v>441</v>
      </c>
      <c r="AX14" s="391" t="str">
        <f>IF('B. 20-21 Prov&amp;Priv Enrolment&lt;22'!$G14="","None",IF('B. 20-21 Prov&amp;Priv Enrolment&lt;22'!$G14&lt;'B. 20-21 Prov&amp;Priv Enrolment&lt;22'!$Z14,"Half-day",IF(AND('B. 20-21 Prov&amp;Priv Enrolment&lt;22'!$G14&gt;0,'B. 20-21 Prov&amp;Priv Enrolment&lt;22'!$G14='B. 20-21 Prov&amp;Priv Enrolment&lt;22'!$Z14),"Full-day",0)))</f>
        <v>None</v>
      </c>
      <c r="AY14" s="392" t="str">
        <f>IF('B. 20-21 Prov&amp;Priv Enrolment&lt;22'!$J14="","None",IF('B. 20-21 Prov&amp;Priv Enrolment&lt;22'!$J14&lt;'B. 20-21 Prov&amp;Priv Enrolment&lt;22'!$AC14,"Half-day",IF(AND('B. 20-21 Prov&amp;Priv Enrolment&lt;22'!$J14&gt;0,'B. 20-21 Prov&amp;Priv Enrolment&lt;22'!$J14='B. 20-21 Prov&amp;Priv Enrolment&lt;22'!$AC14),"Full-day",0)))</f>
        <v>None</v>
      </c>
    </row>
    <row r="15" spans="1:54">
      <c r="A15" s="391">
        <v>267</v>
      </c>
      <c r="B15" s="391" t="s">
        <v>392</v>
      </c>
      <c r="C15" s="391">
        <v>3310</v>
      </c>
      <c r="D15" s="391" t="s">
        <v>968</v>
      </c>
      <c r="E15" s="391" t="s">
        <v>1355</v>
      </c>
      <c r="F15" t="s">
        <v>666</v>
      </c>
      <c r="G15" s="391"/>
      <c r="H15" s="391"/>
      <c r="I15" s="391"/>
      <c r="J15" s="391"/>
      <c r="K15" s="391"/>
      <c r="L15" s="391"/>
      <c r="M15" s="391"/>
      <c r="N15" s="391"/>
      <c r="O15" s="391"/>
      <c r="P15" s="391"/>
      <c r="Q15" s="391"/>
      <c r="R15" s="391"/>
      <c r="S15" s="35"/>
      <c r="T15" s="623"/>
      <c r="U15" s="623"/>
      <c r="V15" s="623"/>
      <c r="W15" s="623">
        <v>1</v>
      </c>
      <c r="X15" s="391"/>
      <c r="Y15" s="393">
        <f>SUM('B. 20-21 Prov&amp;Priv Enrolment&lt;22'!$G15:$X15)</f>
        <v>1</v>
      </c>
      <c r="Z15" s="391"/>
      <c r="AA15" s="391"/>
      <c r="AB15" s="391"/>
      <c r="AC15" s="391"/>
      <c r="AD15" s="391"/>
      <c r="AE15" s="391"/>
      <c r="AF15" s="391"/>
      <c r="AG15" s="391"/>
      <c r="AH15" s="391"/>
      <c r="AI15" s="391"/>
      <c r="AJ15" s="391"/>
      <c r="AK15" s="391"/>
      <c r="AL15" s="35"/>
      <c r="AM15" s="623"/>
      <c r="AN15" s="623"/>
      <c r="AO15" s="623"/>
      <c r="AP15" s="623">
        <v>1</v>
      </c>
      <c r="AQ15" s="391"/>
      <c r="AR15" s="394">
        <f>SUM('B. 20-21 Prov&amp;Priv Enrolment&lt;22'!$Z15:$AQ15)</f>
        <v>1</v>
      </c>
      <c r="AS15" s="717"/>
      <c r="AT15" s="391" t="str">
        <f t="shared" si="0"/>
        <v>Bloodvein</v>
      </c>
      <c r="AU15" s="391" t="str">
        <f>INDEX(TableAFNSchools[North/South of 53rd Parallel &amp; Fly-in = North],MATCH('B. 20-21 Prov&amp;Priv Enrolment&lt;22'!$A15,TableAFNSchools[Band No '#],0))</f>
        <v>North</v>
      </c>
      <c r="AV15" s="391" t="str">
        <f t="shared" si="1"/>
        <v>Winnipeg School Division</v>
      </c>
      <c r="AW15" s="391" t="s">
        <v>441</v>
      </c>
      <c r="AX15" s="391" t="str">
        <f>IF('B. 20-21 Prov&amp;Priv Enrolment&lt;22'!$G15="","None",IF('B. 20-21 Prov&amp;Priv Enrolment&lt;22'!$G15&lt;'B. 20-21 Prov&amp;Priv Enrolment&lt;22'!$Z15,"Half-day",IF(AND('B. 20-21 Prov&amp;Priv Enrolment&lt;22'!$G15&gt;0,'B. 20-21 Prov&amp;Priv Enrolment&lt;22'!$G15='B. 20-21 Prov&amp;Priv Enrolment&lt;22'!$Z15),"Full-day",0)))</f>
        <v>None</v>
      </c>
      <c r="AY15" s="392" t="str">
        <f>IF('B. 20-21 Prov&amp;Priv Enrolment&lt;22'!$J15="","None",IF('B. 20-21 Prov&amp;Priv Enrolment&lt;22'!$J15&lt;'B. 20-21 Prov&amp;Priv Enrolment&lt;22'!$AC15,"Half-day",IF(AND('B. 20-21 Prov&amp;Priv Enrolment&lt;22'!$J15&gt;0,'B. 20-21 Prov&amp;Priv Enrolment&lt;22'!$J15='B. 20-21 Prov&amp;Priv Enrolment&lt;22'!$AC15),"Full-day",0)))</f>
        <v>None</v>
      </c>
    </row>
    <row r="16" spans="1:54">
      <c r="A16" s="391">
        <v>267</v>
      </c>
      <c r="B16" s="391" t="s">
        <v>392</v>
      </c>
      <c r="C16" s="391">
        <v>3362</v>
      </c>
      <c r="D16" s="391" t="s">
        <v>969</v>
      </c>
      <c r="E16" s="391" t="s">
        <v>1355</v>
      </c>
      <c r="F16" t="s">
        <v>666</v>
      </c>
      <c r="G16" s="391"/>
      <c r="H16" s="391"/>
      <c r="I16" s="391"/>
      <c r="J16" s="391"/>
      <c r="K16" s="391"/>
      <c r="L16" s="391"/>
      <c r="M16" s="391"/>
      <c r="N16" s="391"/>
      <c r="O16" s="391"/>
      <c r="P16" s="391"/>
      <c r="Q16" s="391"/>
      <c r="R16" s="391"/>
      <c r="S16" s="35"/>
      <c r="T16" s="623"/>
      <c r="U16" s="623">
        <v>3</v>
      </c>
      <c r="V16" s="623"/>
      <c r="W16" s="623"/>
      <c r="X16" s="391"/>
      <c r="Y16" s="393">
        <f>SUM('B. 20-21 Prov&amp;Priv Enrolment&lt;22'!$G16:$X16)</f>
        <v>3</v>
      </c>
      <c r="Z16" s="391"/>
      <c r="AA16" s="391"/>
      <c r="AB16" s="391"/>
      <c r="AC16" s="391"/>
      <c r="AD16" s="391"/>
      <c r="AE16" s="391"/>
      <c r="AF16" s="391"/>
      <c r="AG16" s="391"/>
      <c r="AH16" s="391"/>
      <c r="AI16" s="391"/>
      <c r="AJ16" s="391"/>
      <c r="AK16" s="391"/>
      <c r="AL16" s="35"/>
      <c r="AM16" s="623"/>
      <c r="AN16" s="623">
        <v>3</v>
      </c>
      <c r="AO16" s="623"/>
      <c r="AP16" s="623"/>
      <c r="AQ16" s="391"/>
      <c r="AR16" s="394">
        <f>SUM('B. 20-21 Prov&amp;Priv Enrolment&lt;22'!$Z16:$AQ16)</f>
        <v>3</v>
      </c>
      <c r="AS16" s="717"/>
      <c r="AT16" s="391" t="str">
        <f t="shared" si="0"/>
        <v>Bloodvein</v>
      </c>
      <c r="AU16" s="391" t="str">
        <f>INDEX(TableAFNSchools[North/South of 53rd Parallel &amp; Fly-in = North],MATCH('B. 20-21 Prov&amp;Priv Enrolment&lt;22'!$A16,TableAFNSchools[Band No '#],0))</f>
        <v>North</v>
      </c>
      <c r="AV16" s="391" t="str">
        <f t="shared" si="1"/>
        <v>Winnipeg School Division</v>
      </c>
      <c r="AW16" s="391" t="s">
        <v>441</v>
      </c>
      <c r="AX16" s="391" t="str">
        <f>IF('B. 20-21 Prov&amp;Priv Enrolment&lt;22'!$G16="","None",IF('B. 20-21 Prov&amp;Priv Enrolment&lt;22'!$G16&lt;'B. 20-21 Prov&amp;Priv Enrolment&lt;22'!$Z16,"Half-day",IF(AND('B. 20-21 Prov&amp;Priv Enrolment&lt;22'!$G16&gt;0,'B. 20-21 Prov&amp;Priv Enrolment&lt;22'!$G16='B. 20-21 Prov&amp;Priv Enrolment&lt;22'!$Z16),"Full-day",0)))</f>
        <v>None</v>
      </c>
      <c r="AY16" s="392" t="str">
        <f>IF('B. 20-21 Prov&amp;Priv Enrolment&lt;22'!$J16="","None",IF('B. 20-21 Prov&amp;Priv Enrolment&lt;22'!$J16&lt;'B. 20-21 Prov&amp;Priv Enrolment&lt;22'!$AC16,"Half-day",IF(AND('B. 20-21 Prov&amp;Priv Enrolment&lt;22'!$J16&gt;0,'B. 20-21 Prov&amp;Priv Enrolment&lt;22'!$J16='B. 20-21 Prov&amp;Priv Enrolment&lt;22'!$AC16),"Full-day",0)))</f>
        <v>None</v>
      </c>
    </row>
    <row r="17" spans="1:51">
      <c r="A17" s="391">
        <v>267</v>
      </c>
      <c r="B17" s="391" t="s">
        <v>392</v>
      </c>
      <c r="C17" s="391">
        <v>3395</v>
      </c>
      <c r="D17" s="391" t="s">
        <v>970</v>
      </c>
      <c r="E17" s="391" t="s">
        <v>1355</v>
      </c>
      <c r="F17" t="s">
        <v>666</v>
      </c>
      <c r="G17" s="391"/>
      <c r="H17" s="391"/>
      <c r="I17" s="391"/>
      <c r="J17" s="391"/>
      <c r="K17" s="391"/>
      <c r="L17" s="391"/>
      <c r="M17" s="391"/>
      <c r="N17" s="391"/>
      <c r="O17" s="391"/>
      <c r="P17" s="391"/>
      <c r="Q17" s="391"/>
      <c r="R17" s="391"/>
      <c r="S17" s="35"/>
      <c r="T17" s="623"/>
      <c r="U17" s="623">
        <v>1</v>
      </c>
      <c r="V17" s="623"/>
      <c r="W17" s="623">
        <v>2</v>
      </c>
      <c r="X17" s="391"/>
      <c r="Y17" s="393">
        <f>SUM('B. 20-21 Prov&amp;Priv Enrolment&lt;22'!$G17:$X17)</f>
        <v>3</v>
      </c>
      <c r="Z17" s="391"/>
      <c r="AA17" s="391"/>
      <c r="AB17" s="391"/>
      <c r="AC17" s="391"/>
      <c r="AD17" s="391"/>
      <c r="AE17" s="391"/>
      <c r="AF17" s="391"/>
      <c r="AG17" s="391"/>
      <c r="AH17" s="391"/>
      <c r="AI17" s="391"/>
      <c r="AJ17" s="391"/>
      <c r="AK17" s="391"/>
      <c r="AL17" s="35"/>
      <c r="AM17" s="623"/>
      <c r="AN17" s="623">
        <v>1</v>
      </c>
      <c r="AO17" s="623"/>
      <c r="AP17" s="623">
        <v>2</v>
      </c>
      <c r="AQ17" s="391"/>
      <c r="AR17" s="394">
        <f>SUM('B. 20-21 Prov&amp;Priv Enrolment&lt;22'!$Z17:$AQ17)</f>
        <v>3</v>
      </c>
      <c r="AS17" s="717"/>
      <c r="AT17" s="391" t="str">
        <f t="shared" si="0"/>
        <v>Bloodvein</v>
      </c>
      <c r="AU17" s="391" t="str">
        <f>INDEX(TableAFNSchools[North/South of 53rd Parallel &amp; Fly-in = North],MATCH('B. 20-21 Prov&amp;Priv Enrolment&lt;22'!$A17,TableAFNSchools[Band No '#],0))</f>
        <v>North</v>
      </c>
      <c r="AV17" s="391" t="str">
        <f t="shared" si="1"/>
        <v>Winnipeg School Division</v>
      </c>
      <c r="AW17" s="391" t="s">
        <v>441</v>
      </c>
      <c r="AX17" s="391" t="str">
        <f>IF('B. 20-21 Prov&amp;Priv Enrolment&lt;22'!$G17="","None",IF('B. 20-21 Prov&amp;Priv Enrolment&lt;22'!$G17&lt;'B. 20-21 Prov&amp;Priv Enrolment&lt;22'!$Z17,"Half-day",IF(AND('B. 20-21 Prov&amp;Priv Enrolment&lt;22'!$G17&gt;0,'B. 20-21 Prov&amp;Priv Enrolment&lt;22'!$G17='B. 20-21 Prov&amp;Priv Enrolment&lt;22'!$Z17),"Full-day",0)))</f>
        <v>None</v>
      </c>
      <c r="AY17" s="392" t="str">
        <f>IF('B. 20-21 Prov&amp;Priv Enrolment&lt;22'!$J17="","None",IF('B. 20-21 Prov&amp;Priv Enrolment&lt;22'!$J17&lt;'B. 20-21 Prov&amp;Priv Enrolment&lt;22'!$AC17,"Half-day",IF(AND('B. 20-21 Prov&amp;Priv Enrolment&lt;22'!$J17&gt;0,'B. 20-21 Prov&amp;Priv Enrolment&lt;22'!$J17='B. 20-21 Prov&amp;Priv Enrolment&lt;22'!$AC17),"Full-day",0)))</f>
        <v>None</v>
      </c>
    </row>
    <row r="18" spans="1:51">
      <c r="A18" s="391">
        <v>267</v>
      </c>
      <c r="B18" s="391" t="s">
        <v>392</v>
      </c>
      <c r="C18" s="391">
        <v>5725</v>
      </c>
      <c r="D18" s="391" t="s">
        <v>971</v>
      </c>
      <c r="E18" s="391" t="s">
        <v>1359</v>
      </c>
      <c r="F18" t="s">
        <v>666</v>
      </c>
      <c r="G18" s="391"/>
      <c r="H18" s="391"/>
      <c r="I18" s="391"/>
      <c r="J18" s="391"/>
      <c r="K18" s="391"/>
      <c r="L18" s="391"/>
      <c r="M18" s="391"/>
      <c r="N18" s="391"/>
      <c r="O18" s="391"/>
      <c r="P18" s="391"/>
      <c r="Q18" s="391"/>
      <c r="R18" s="391"/>
      <c r="S18" s="35"/>
      <c r="T18" s="623"/>
      <c r="U18" s="623">
        <v>2</v>
      </c>
      <c r="V18" s="623"/>
      <c r="W18" s="623"/>
      <c r="X18" s="391"/>
      <c r="Y18" s="393">
        <f>SUM('B. 20-21 Prov&amp;Priv Enrolment&lt;22'!$G18:$X18)</f>
        <v>2</v>
      </c>
      <c r="Z18" s="391"/>
      <c r="AA18" s="391"/>
      <c r="AB18" s="391"/>
      <c r="AC18" s="391"/>
      <c r="AD18" s="391"/>
      <c r="AE18" s="391"/>
      <c r="AF18" s="391"/>
      <c r="AG18" s="391"/>
      <c r="AH18" s="391"/>
      <c r="AI18" s="391"/>
      <c r="AJ18" s="391"/>
      <c r="AK18" s="391"/>
      <c r="AL18" s="35"/>
      <c r="AM18" s="623"/>
      <c r="AN18" s="623">
        <v>2</v>
      </c>
      <c r="AO18" s="623"/>
      <c r="AP18" s="623"/>
      <c r="AQ18" s="391"/>
      <c r="AR18" s="394">
        <f>SUM('B. 20-21 Prov&amp;Priv Enrolment&lt;22'!$Z18:$AQ18)</f>
        <v>2</v>
      </c>
      <c r="AS18" s="717"/>
      <c r="AT18" s="391" t="str">
        <f t="shared" si="0"/>
        <v>Bloodvein</v>
      </c>
      <c r="AU18" s="391" t="str">
        <f>INDEX(TableAFNSchools[North/South of 53rd Parallel &amp; Fly-in = North],MATCH('B. 20-21 Prov&amp;Priv Enrolment&lt;22'!$A18,TableAFNSchools[Band No '#],0))</f>
        <v>North</v>
      </c>
      <c r="AV18" s="391" t="str">
        <f t="shared" si="1"/>
        <v>Seven Oaks School Division</v>
      </c>
      <c r="AW18" s="391" t="s">
        <v>441</v>
      </c>
      <c r="AX18" s="391" t="str">
        <f>IF('B. 20-21 Prov&amp;Priv Enrolment&lt;22'!$G18="","None",IF('B. 20-21 Prov&amp;Priv Enrolment&lt;22'!$G18&lt;'B. 20-21 Prov&amp;Priv Enrolment&lt;22'!$Z18,"Half-day",IF(AND('B. 20-21 Prov&amp;Priv Enrolment&lt;22'!$G18&gt;0,'B. 20-21 Prov&amp;Priv Enrolment&lt;22'!$G18='B. 20-21 Prov&amp;Priv Enrolment&lt;22'!$Z18),"Full-day",0)))</f>
        <v>None</v>
      </c>
      <c r="AY18" s="392" t="str">
        <f>IF('B. 20-21 Prov&amp;Priv Enrolment&lt;22'!$J18="","None",IF('B. 20-21 Prov&amp;Priv Enrolment&lt;22'!$J18&lt;'B. 20-21 Prov&amp;Priv Enrolment&lt;22'!$AC18,"Half-day",IF(AND('B. 20-21 Prov&amp;Priv Enrolment&lt;22'!$J18&gt;0,'B. 20-21 Prov&amp;Priv Enrolment&lt;22'!$J18='B. 20-21 Prov&amp;Priv Enrolment&lt;22'!$AC18),"Full-day",0)))</f>
        <v>None</v>
      </c>
    </row>
    <row r="19" spans="1:51">
      <c r="A19" s="391">
        <v>267</v>
      </c>
      <c r="B19" s="391" t="s">
        <v>392</v>
      </c>
      <c r="C19" s="391">
        <v>7502</v>
      </c>
      <c r="D19" s="391" t="s">
        <v>972</v>
      </c>
      <c r="E19" s="391" t="s">
        <v>972</v>
      </c>
      <c r="F19" t="s">
        <v>973</v>
      </c>
      <c r="G19" s="391"/>
      <c r="H19" s="391"/>
      <c r="I19" s="391"/>
      <c r="J19" s="391"/>
      <c r="K19" s="391"/>
      <c r="L19" s="391"/>
      <c r="M19" s="391"/>
      <c r="N19" s="391"/>
      <c r="O19" s="391"/>
      <c r="P19" s="391"/>
      <c r="Q19" s="391"/>
      <c r="R19" s="391"/>
      <c r="S19" s="35"/>
      <c r="T19" s="623"/>
      <c r="U19" s="623">
        <v>5</v>
      </c>
      <c r="V19" s="623">
        <v>1</v>
      </c>
      <c r="W19" s="623">
        <v>1</v>
      </c>
      <c r="X19" s="391"/>
      <c r="Y19" s="393">
        <f>SUM('B. 20-21 Prov&amp;Priv Enrolment&lt;22'!$G19:$X19)</f>
        <v>7</v>
      </c>
      <c r="Z19" s="391"/>
      <c r="AA19" s="391"/>
      <c r="AB19" s="391"/>
      <c r="AC19" s="391"/>
      <c r="AD19" s="391"/>
      <c r="AE19" s="391"/>
      <c r="AF19" s="391"/>
      <c r="AG19" s="391"/>
      <c r="AH19" s="391"/>
      <c r="AI19" s="391"/>
      <c r="AJ19" s="391"/>
      <c r="AK19" s="391"/>
      <c r="AL19" s="35"/>
      <c r="AM19" s="623"/>
      <c r="AN19" s="623">
        <v>5</v>
      </c>
      <c r="AO19" s="623">
        <v>1</v>
      </c>
      <c r="AP19" s="623">
        <v>1</v>
      </c>
      <c r="AQ19" s="391"/>
      <c r="AR19" s="394">
        <f>SUM('B. 20-21 Prov&amp;Priv Enrolment&lt;22'!$Z19:$AQ19)</f>
        <v>7</v>
      </c>
      <c r="AS19" s="717"/>
      <c r="AT19" s="391" t="str">
        <f t="shared" si="0"/>
        <v>Bloodvein</v>
      </c>
      <c r="AU19" s="391" t="str">
        <f>INDEX(TableAFNSchools[North/South of 53rd Parallel &amp; Fly-in = North],MATCH('B. 20-21 Prov&amp;Priv Enrolment&lt;22'!$A19,TableAFNSchools[Band No '#],0))</f>
        <v>North</v>
      </c>
      <c r="AV19" s="391" t="str">
        <f t="shared" si="1"/>
        <v>Southeast Collegiate</v>
      </c>
      <c r="AW19" s="391" t="s">
        <v>441</v>
      </c>
      <c r="AX19" s="391" t="str">
        <f>IF('B. 20-21 Prov&amp;Priv Enrolment&lt;22'!$G19="","None",IF('B. 20-21 Prov&amp;Priv Enrolment&lt;22'!$G19&lt;'B. 20-21 Prov&amp;Priv Enrolment&lt;22'!$Z19,"Half-day",IF(AND('B. 20-21 Prov&amp;Priv Enrolment&lt;22'!$G19&gt;0,'B. 20-21 Prov&amp;Priv Enrolment&lt;22'!$G19='B. 20-21 Prov&amp;Priv Enrolment&lt;22'!$Z19),"Full-day",0)))</f>
        <v>None</v>
      </c>
      <c r="AY19" s="392" t="str">
        <f>IF('B. 20-21 Prov&amp;Priv Enrolment&lt;22'!$J19="","None",IF('B. 20-21 Prov&amp;Priv Enrolment&lt;22'!$J19&lt;'B. 20-21 Prov&amp;Priv Enrolment&lt;22'!$AC19,"Half-day",IF(AND('B. 20-21 Prov&amp;Priv Enrolment&lt;22'!$J19&gt;0,'B. 20-21 Prov&amp;Priv Enrolment&lt;22'!$J19='B. 20-21 Prov&amp;Priv Enrolment&lt;22'!$AC19),"Full-day",0)))</f>
        <v>None</v>
      </c>
    </row>
    <row r="20" spans="1:51">
      <c r="A20" s="391">
        <v>267</v>
      </c>
      <c r="B20" s="391" t="s">
        <v>392</v>
      </c>
      <c r="C20" s="391">
        <v>2460008</v>
      </c>
      <c r="D20" s="391" t="s">
        <v>974</v>
      </c>
      <c r="E20" s="391" t="s">
        <v>974</v>
      </c>
      <c r="F20" t="s">
        <v>973</v>
      </c>
      <c r="G20" s="391"/>
      <c r="H20" s="391"/>
      <c r="I20" s="391"/>
      <c r="J20" s="391"/>
      <c r="K20" s="391"/>
      <c r="L20" s="391"/>
      <c r="M20" s="391"/>
      <c r="N20" s="391"/>
      <c r="O20" s="391"/>
      <c r="P20" s="391"/>
      <c r="Q20" s="391"/>
      <c r="R20" s="391"/>
      <c r="S20" s="35"/>
      <c r="T20" s="623"/>
      <c r="U20" s="623"/>
      <c r="V20" s="623"/>
      <c r="W20" s="623">
        <v>6</v>
      </c>
      <c r="X20" s="391"/>
      <c r="Y20" s="393">
        <f>SUM('B. 20-21 Prov&amp;Priv Enrolment&lt;22'!$G20:$X20)</f>
        <v>6</v>
      </c>
      <c r="Z20" s="391"/>
      <c r="AA20" s="391"/>
      <c r="AB20" s="391"/>
      <c r="AC20" s="391"/>
      <c r="AD20" s="391"/>
      <c r="AE20" s="391"/>
      <c r="AF20" s="391"/>
      <c r="AG20" s="391"/>
      <c r="AH20" s="391"/>
      <c r="AI20" s="391"/>
      <c r="AJ20" s="391"/>
      <c r="AK20" s="391"/>
      <c r="AL20" s="35"/>
      <c r="AM20" s="623"/>
      <c r="AN20" s="623"/>
      <c r="AO20" s="623"/>
      <c r="AP20" s="623">
        <v>6</v>
      </c>
      <c r="AQ20" s="391"/>
      <c r="AR20" s="394">
        <f>SUM('B. 20-21 Prov&amp;Priv Enrolment&lt;22'!$Z20:$AQ20)</f>
        <v>6</v>
      </c>
      <c r="AS20" s="717"/>
      <c r="AT20" s="391" t="str">
        <f t="shared" si="0"/>
        <v>Bloodvein</v>
      </c>
      <c r="AU20" s="391" t="str">
        <f>INDEX(TableAFNSchools[North/South of 53rd Parallel &amp; Fly-in = North],MATCH('B. 20-21 Prov&amp;Priv Enrolment&lt;22'!$A20,TableAFNSchools[Band No '#],0))</f>
        <v>North</v>
      </c>
      <c r="AV20" s="391" t="str">
        <f t="shared" si="1"/>
        <v>Yellowquill College</v>
      </c>
      <c r="AW20" s="391" t="s">
        <v>441</v>
      </c>
      <c r="AX20" s="391" t="str">
        <f>IF('B. 20-21 Prov&amp;Priv Enrolment&lt;22'!$G20="","None",IF('B. 20-21 Prov&amp;Priv Enrolment&lt;22'!$G20&lt;'B. 20-21 Prov&amp;Priv Enrolment&lt;22'!$Z20,"Half-day",IF(AND('B. 20-21 Prov&amp;Priv Enrolment&lt;22'!$G20&gt;0,'B. 20-21 Prov&amp;Priv Enrolment&lt;22'!$G20='B. 20-21 Prov&amp;Priv Enrolment&lt;22'!$Z20),"Full-day",0)))</f>
        <v>None</v>
      </c>
      <c r="AY20" s="392" t="str">
        <f>IF('B. 20-21 Prov&amp;Priv Enrolment&lt;22'!$J20="","None",IF('B. 20-21 Prov&amp;Priv Enrolment&lt;22'!$J20&lt;'B. 20-21 Prov&amp;Priv Enrolment&lt;22'!$AC20,"Half-day",IF(AND('B. 20-21 Prov&amp;Priv Enrolment&lt;22'!$J20&gt;0,'B. 20-21 Prov&amp;Priv Enrolment&lt;22'!$J20='B. 20-21 Prov&amp;Priv Enrolment&lt;22'!$AC20),"Full-day",0)))</f>
        <v>None</v>
      </c>
    </row>
    <row r="21" spans="1:51">
      <c r="A21" s="391">
        <v>271</v>
      </c>
      <c r="B21" s="391" t="s">
        <v>396</v>
      </c>
      <c r="C21" s="391">
        <v>3395</v>
      </c>
      <c r="D21" s="391" t="s">
        <v>970</v>
      </c>
      <c r="E21" s="391" t="s">
        <v>1355</v>
      </c>
      <c r="F21" t="s">
        <v>666</v>
      </c>
      <c r="G21" s="391"/>
      <c r="H21" s="391"/>
      <c r="I21" s="391"/>
      <c r="J21" s="391"/>
      <c r="K21" s="391"/>
      <c r="L21" s="391"/>
      <c r="M21" s="391"/>
      <c r="N21" s="391"/>
      <c r="O21" s="391"/>
      <c r="P21" s="391"/>
      <c r="Q21" s="391"/>
      <c r="R21" s="391"/>
      <c r="S21" s="35"/>
      <c r="T21" s="623"/>
      <c r="U21" s="623">
        <v>1</v>
      </c>
      <c r="V21" s="623"/>
      <c r="W21" s="623">
        <v>2</v>
      </c>
      <c r="X21" s="391"/>
      <c r="Y21" s="393">
        <f>SUM('B. 20-21 Prov&amp;Priv Enrolment&lt;22'!$G21:$X21)</f>
        <v>3</v>
      </c>
      <c r="Z21" s="391"/>
      <c r="AA21" s="391"/>
      <c r="AB21" s="391"/>
      <c r="AC21" s="391"/>
      <c r="AD21" s="391"/>
      <c r="AE21" s="391"/>
      <c r="AF21" s="391"/>
      <c r="AG21" s="391"/>
      <c r="AH21" s="391"/>
      <c r="AI21" s="391"/>
      <c r="AJ21" s="391"/>
      <c r="AK21" s="391"/>
      <c r="AL21" s="35"/>
      <c r="AM21" s="623"/>
      <c r="AN21" s="623">
        <v>1</v>
      </c>
      <c r="AO21" s="623"/>
      <c r="AP21" s="623">
        <v>2</v>
      </c>
      <c r="AQ21" s="391"/>
      <c r="AR21" s="394">
        <f>SUM('B. 20-21 Prov&amp;Priv Enrolment&lt;22'!$Z21:$AQ21)</f>
        <v>3</v>
      </c>
      <c r="AS21" s="717"/>
      <c r="AT21" s="391" t="str">
        <f t="shared" si="0"/>
        <v>Lake Manitoba</v>
      </c>
      <c r="AU21" s="391" t="str">
        <f>INDEX(TableAFNSchools[North/South of 53rd Parallel &amp; Fly-in = North],MATCH('B. 20-21 Prov&amp;Priv Enrolment&lt;22'!$A21,TableAFNSchools[Band No '#],0))</f>
        <v>South</v>
      </c>
      <c r="AV21" s="391" t="str">
        <f t="shared" si="1"/>
        <v>Winnipeg School Division</v>
      </c>
      <c r="AW21" s="391" t="s">
        <v>442</v>
      </c>
      <c r="AX21" s="391" t="str">
        <f>IF('B. 20-21 Prov&amp;Priv Enrolment&lt;22'!$G21="","None",IF('B. 20-21 Prov&amp;Priv Enrolment&lt;22'!$G21&lt;'B. 20-21 Prov&amp;Priv Enrolment&lt;22'!$Z21,"Half-day",IF(AND('B. 20-21 Prov&amp;Priv Enrolment&lt;22'!$G21&gt;0,'B. 20-21 Prov&amp;Priv Enrolment&lt;22'!$G21='B. 20-21 Prov&amp;Priv Enrolment&lt;22'!$Z21),"Full-day",0)))</f>
        <v>None</v>
      </c>
      <c r="AY21" s="392" t="str">
        <f>IF('B. 20-21 Prov&amp;Priv Enrolment&lt;22'!$J21="","None",IF('B. 20-21 Prov&amp;Priv Enrolment&lt;22'!$J21&lt;'B. 20-21 Prov&amp;Priv Enrolment&lt;22'!$AC21,"Half-day",IF(AND('B. 20-21 Prov&amp;Priv Enrolment&lt;22'!$J21&gt;0,'B. 20-21 Prov&amp;Priv Enrolment&lt;22'!$J21='B. 20-21 Prov&amp;Priv Enrolment&lt;22'!$AC21),"Full-day",0)))</f>
        <v>None</v>
      </c>
    </row>
    <row r="22" spans="1:51">
      <c r="A22" s="391">
        <v>271</v>
      </c>
      <c r="B22" s="391" t="s">
        <v>396</v>
      </c>
      <c r="C22" s="391">
        <v>7832</v>
      </c>
      <c r="D22" s="391" t="s">
        <v>975</v>
      </c>
      <c r="E22" s="391" t="s">
        <v>1360</v>
      </c>
      <c r="F22" t="s">
        <v>666</v>
      </c>
      <c r="G22" s="391"/>
      <c r="H22" s="391"/>
      <c r="I22" s="391"/>
      <c r="J22" s="391"/>
      <c r="K22" s="391"/>
      <c r="L22" s="391"/>
      <c r="M22" s="391"/>
      <c r="N22" s="391"/>
      <c r="O22" s="391"/>
      <c r="P22" s="391"/>
      <c r="Q22" s="391"/>
      <c r="R22" s="391"/>
      <c r="S22" s="35"/>
      <c r="T22" s="623"/>
      <c r="U22" s="623">
        <v>1</v>
      </c>
      <c r="V22" s="623"/>
      <c r="W22" s="623"/>
      <c r="X22" s="391"/>
      <c r="Y22" s="393">
        <f>SUM('B. 20-21 Prov&amp;Priv Enrolment&lt;22'!$G22:$X22)</f>
        <v>1</v>
      </c>
      <c r="Z22" s="391"/>
      <c r="AA22" s="391"/>
      <c r="AB22" s="391"/>
      <c r="AC22" s="391"/>
      <c r="AD22" s="391"/>
      <c r="AE22" s="391"/>
      <c r="AF22" s="391"/>
      <c r="AG22" s="391"/>
      <c r="AH22" s="391"/>
      <c r="AI22" s="391"/>
      <c r="AJ22" s="391"/>
      <c r="AK22" s="391"/>
      <c r="AL22" s="35"/>
      <c r="AM22" s="623"/>
      <c r="AN22" s="623">
        <v>1</v>
      </c>
      <c r="AO22" s="623"/>
      <c r="AP22" s="623"/>
      <c r="AQ22" s="391"/>
      <c r="AR22" s="394">
        <f>SUM('B. 20-21 Prov&amp;Priv Enrolment&lt;22'!$Z22:$AQ22)</f>
        <v>1</v>
      </c>
      <c r="AS22" s="717"/>
      <c r="AT22" s="391" t="str">
        <f t="shared" si="0"/>
        <v>Lake Manitoba</v>
      </c>
      <c r="AU22" s="391" t="str">
        <f>INDEX(TableAFNSchools[North/South of 53rd Parallel &amp; Fly-in = North],MATCH('B. 20-21 Prov&amp;Priv Enrolment&lt;22'!$A22,TableAFNSchools[Band No '#],0))</f>
        <v>South</v>
      </c>
      <c r="AV22" s="391" t="str">
        <f t="shared" si="1"/>
        <v>(blank)</v>
      </c>
      <c r="AW22" s="391" t="s">
        <v>442</v>
      </c>
      <c r="AX22" s="391" t="str">
        <f>IF('B. 20-21 Prov&amp;Priv Enrolment&lt;22'!$G22="","None",IF('B. 20-21 Prov&amp;Priv Enrolment&lt;22'!$G22&lt;'B. 20-21 Prov&amp;Priv Enrolment&lt;22'!$Z22,"Half-day",IF(AND('B. 20-21 Prov&amp;Priv Enrolment&lt;22'!$G22&gt;0,'B. 20-21 Prov&amp;Priv Enrolment&lt;22'!$G22='B. 20-21 Prov&amp;Priv Enrolment&lt;22'!$Z22),"Full-day",0)))</f>
        <v>None</v>
      </c>
      <c r="AY22" s="392" t="str">
        <f>IF('B. 20-21 Prov&amp;Priv Enrolment&lt;22'!$J22="","None",IF('B. 20-21 Prov&amp;Priv Enrolment&lt;22'!$J22&lt;'B. 20-21 Prov&amp;Priv Enrolment&lt;22'!$AC22,"Half-day",IF(AND('B. 20-21 Prov&amp;Priv Enrolment&lt;22'!$J22&gt;0,'B. 20-21 Prov&amp;Priv Enrolment&lt;22'!$J22='B. 20-21 Prov&amp;Priv Enrolment&lt;22'!$AC22),"Full-day",0)))</f>
        <v>None</v>
      </c>
    </row>
    <row r="23" spans="1:51">
      <c r="A23" s="391">
        <v>272</v>
      </c>
      <c r="B23" s="391" t="s">
        <v>734</v>
      </c>
      <c r="C23" s="391">
        <v>3282</v>
      </c>
      <c r="D23" s="392" t="s">
        <v>967</v>
      </c>
      <c r="E23" s="392" t="s">
        <v>1355</v>
      </c>
      <c r="F23" t="s">
        <v>666</v>
      </c>
      <c r="G23" s="391"/>
      <c r="H23" s="391"/>
      <c r="I23" s="391"/>
      <c r="J23" s="391"/>
      <c r="K23" s="391"/>
      <c r="L23" s="391"/>
      <c r="M23" s="391"/>
      <c r="N23" s="391"/>
      <c r="O23" s="391"/>
      <c r="P23" s="391"/>
      <c r="Q23" s="391"/>
      <c r="R23" s="391"/>
      <c r="S23" s="35"/>
      <c r="T23" s="623"/>
      <c r="U23" s="623">
        <v>1</v>
      </c>
      <c r="V23" s="623"/>
      <c r="W23" s="623">
        <v>1</v>
      </c>
      <c r="X23" s="391"/>
      <c r="Y23" s="393">
        <f>SUM('B. 20-21 Prov&amp;Priv Enrolment&lt;22'!$G23:$X23)</f>
        <v>2</v>
      </c>
      <c r="Z23" s="391"/>
      <c r="AA23" s="391"/>
      <c r="AB23" s="391"/>
      <c r="AC23" s="391"/>
      <c r="AD23" s="391"/>
      <c r="AE23" s="391"/>
      <c r="AF23" s="391"/>
      <c r="AG23" s="391"/>
      <c r="AH23" s="391"/>
      <c r="AI23" s="391"/>
      <c r="AJ23" s="391"/>
      <c r="AK23" s="391"/>
      <c r="AL23" s="35"/>
      <c r="AM23" s="623"/>
      <c r="AN23" s="623">
        <v>1</v>
      </c>
      <c r="AO23" s="623"/>
      <c r="AP23" s="623">
        <v>1</v>
      </c>
      <c r="AQ23" s="391"/>
      <c r="AR23" s="394">
        <f>SUM('B. 20-21 Prov&amp;Priv Enrolment&lt;22'!$Z23:$AQ23)</f>
        <v>2</v>
      </c>
      <c r="AS23" s="717"/>
      <c r="AT23" s="391" t="str">
        <f t="shared" si="0"/>
        <v>Pinaymootang First Nation</v>
      </c>
      <c r="AU23" s="391" t="str">
        <f>INDEX(TableAFNSchools[North/South of 53rd Parallel &amp; Fly-in = North],MATCH('B. 20-21 Prov&amp;Priv Enrolment&lt;22'!$A23,TableAFNSchools[Band No '#],0))</f>
        <v>South</v>
      </c>
      <c r="AV23" s="391" t="str">
        <f t="shared" si="1"/>
        <v>Winnipeg School Division</v>
      </c>
      <c r="AW23" s="391" t="s">
        <v>442</v>
      </c>
      <c r="AX23" s="391" t="str">
        <f>IF('B. 20-21 Prov&amp;Priv Enrolment&lt;22'!$G23="","None",IF('B. 20-21 Prov&amp;Priv Enrolment&lt;22'!$G23&lt;'B. 20-21 Prov&amp;Priv Enrolment&lt;22'!$Z23,"Half-day",IF(AND('B. 20-21 Prov&amp;Priv Enrolment&lt;22'!$G23&gt;0,'B. 20-21 Prov&amp;Priv Enrolment&lt;22'!$G23='B. 20-21 Prov&amp;Priv Enrolment&lt;22'!$Z23),"Full-day",0)))</f>
        <v>None</v>
      </c>
      <c r="AY23" s="392" t="str">
        <f>IF('B. 20-21 Prov&amp;Priv Enrolment&lt;22'!$J23="","None",IF('B. 20-21 Prov&amp;Priv Enrolment&lt;22'!$J23&lt;'B. 20-21 Prov&amp;Priv Enrolment&lt;22'!$AC23,"Half-day",IF(AND('B. 20-21 Prov&amp;Priv Enrolment&lt;22'!$J23&gt;0,'B. 20-21 Prov&amp;Priv Enrolment&lt;22'!$J23='B. 20-21 Prov&amp;Priv Enrolment&lt;22'!$AC23),"Full-day",0)))</f>
        <v>None</v>
      </c>
    </row>
    <row r="24" spans="1:51">
      <c r="A24" s="391">
        <v>272</v>
      </c>
      <c r="B24" s="391" t="s">
        <v>734</v>
      </c>
      <c r="C24" s="391">
        <v>3285</v>
      </c>
      <c r="D24" s="391" t="s">
        <v>1361</v>
      </c>
      <c r="E24" s="391" t="s">
        <v>1362</v>
      </c>
      <c r="F24" t="s">
        <v>666</v>
      </c>
      <c r="G24" s="391"/>
      <c r="H24" s="391"/>
      <c r="I24" s="391"/>
      <c r="J24" s="391"/>
      <c r="K24" s="391"/>
      <c r="L24" s="391"/>
      <c r="M24" s="391"/>
      <c r="N24" s="391"/>
      <c r="O24" s="391"/>
      <c r="P24" s="391"/>
      <c r="Q24" s="391"/>
      <c r="R24" s="391"/>
      <c r="S24" s="35"/>
      <c r="T24" s="623">
        <v>1</v>
      </c>
      <c r="U24" s="623">
        <v>2</v>
      </c>
      <c r="V24" s="623">
        <v>2</v>
      </c>
      <c r="W24" s="623"/>
      <c r="X24" s="391"/>
      <c r="Y24" s="393">
        <f>SUM('B. 20-21 Prov&amp;Priv Enrolment&lt;22'!$G24:$X24)</f>
        <v>5</v>
      </c>
      <c r="Z24" s="391"/>
      <c r="AA24" s="391"/>
      <c r="AB24" s="391"/>
      <c r="AC24" s="391"/>
      <c r="AD24" s="391"/>
      <c r="AE24" s="391"/>
      <c r="AF24" s="391"/>
      <c r="AG24" s="391"/>
      <c r="AH24" s="391"/>
      <c r="AI24" s="391"/>
      <c r="AJ24" s="391"/>
      <c r="AK24" s="391"/>
      <c r="AL24" s="35"/>
      <c r="AM24" s="623">
        <v>1</v>
      </c>
      <c r="AN24" s="623">
        <v>2</v>
      </c>
      <c r="AO24" s="623">
        <v>2</v>
      </c>
      <c r="AP24" s="623"/>
      <c r="AQ24" s="391"/>
      <c r="AR24" s="394">
        <f>SUM('B. 20-21 Prov&amp;Priv Enrolment&lt;22'!$Z24:$AQ24)</f>
        <v>5</v>
      </c>
      <c r="AS24" s="717"/>
      <c r="AT24" s="391" t="str">
        <f t="shared" si="0"/>
        <v>Pinaymootang First Nation</v>
      </c>
      <c r="AU24" s="391" t="str">
        <f>INDEX(TableAFNSchools[North/South of 53rd Parallel &amp; Fly-in = North],MATCH('B. 20-21 Prov&amp;Priv Enrolment&lt;22'!$A24,TableAFNSchools[Band No '#],0))</f>
        <v>South</v>
      </c>
      <c r="AV24" s="391" t="str">
        <f t="shared" si="1"/>
        <v>LAKESHORE SCHOOL DIVISION</v>
      </c>
      <c r="AW24" s="391" t="s">
        <v>442</v>
      </c>
      <c r="AX24" s="391" t="str">
        <f>IF('B. 20-21 Prov&amp;Priv Enrolment&lt;22'!$G24="","None",IF('B. 20-21 Prov&amp;Priv Enrolment&lt;22'!$G24&lt;'B. 20-21 Prov&amp;Priv Enrolment&lt;22'!$Z24,"Half-day",IF(AND('B. 20-21 Prov&amp;Priv Enrolment&lt;22'!$G24&gt;0,'B. 20-21 Prov&amp;Priv Enrolment&lt;22'!$G24='B. 20-21 Prov&amp;Priv Enrolment&lt;22'!$Z24),"Full-day",0)))</f>
        <v>None</v>
      </c>
      <c r="AY24" s="392" t="str">
        <f>IF('B. 20-21 Prov&amp;Priv Enrolment&lt;22'!$J24="","None",IF('B. 20-21 Prov&amp;Priv Enrolment&lt;22'!$J24&lt;'B. 20-21 Prov&amp;Priv Enrolment&lt;22'!$AC24,"Half-day",IF(AND('B. 20-21 Prov&amp;Priv Enrolment&lt;22'!$J24&gt;0,'B. 20-21 Prov&amp;Priv Enrolment&lt;22'!$J24='B. 20-21 Prov&amp;Priv Enrolment&lt;22'!$AC24),"Full-day",0)))</f>
        <v>None</v>
      </c>
    </row>
    <row r="25" spans="1:51">
      <c r="A25" s="391">
        <v>272</v>
      </c>
      <c r="B25" s="391" t="s">
        <v>734</v>
      </c>
      <c r="C25" s="391">
        <v>3362</v>
      </c>
      <c r="D25" s="391" t="s">
        <v>969</v>
      </c>
      <c r="E25" s="391" t="s">
        <v>1355</v>
      </c>
      <c r="F25" t="s">
        <v>666</v>
      </c>
      <c r="G25" s="391"/>
      <c r="H25" s="391"/>
      <c r="I25" s="391"/>
      <c r="J25" s="391"/>
      <c r="K25" s="391"/>
      <c r="L25" s="391"/>
      <c r="M25" s="391"/>
      <c r="N25" s="391"/>
      <c r="O25" s="391"/>
      <c r="P25" s="391"/>
      <c r="Q25" s="391"/>
      <c r="R25" s="391"/>
      <c r="S25" s="35"/>
      <c r="T25" s="623"/>
      <c r="U25" s="623">
        <v>1</v>
      </c>
      <c r="V25" s="623"/>
      <c r="W25" s="623"/>
      <c r="X25" s="391"/>
      <c r="Y25" s="393">
        <f>SUM('B. 20-21 Prov&amp;Priv Enrolment&lt;22'!$G25:$X25)</f>
        <v>1</v>
      </c>
      <c r="Z25" s="391"/>
      <c r="AA25" s="391"/>
      <c r="AB25" s="391"/>
      <c r="AC25" s="391"/>
      <c r="AD25" s="391"/>
      <c r="AE25" s="391"/>
      <c r="AF25" s="391"/>
      <c r="AG25" s="391"/>
      <c r="AH25" s="391"/>
      <c r="AI25" s="391"/>
      <c r="AJ25" s="391"/>
      <c r="AK25" s="391"/>
      <c r="AL25" s="35"/>
      <c r="AM25" s="623"/>
      <c r="AN25" s="623">
        <v>1</v>
      </c>
      <c r="AO25" s="623"/>
      <c r="AP25" s="623"/>
      <c r="AQ25" s="391"/>
      <c r="AR25" s="394">
        <f>SUM('B. 20-21 Prov&amp;Priv Enrolment&lt;22'!$Z25:$AQ25)</f>
        <v>1</v>
      </c>
      <c r="AS25" s="717"/>
      <c r="AT25" s="391" t="str">
        <f t="shared" si="0"/>
        <v>Pinaymootang First Nation</v>
      </c>
      <c r="AU25" s="391" t="str">
        <f>INDEX(TableAFNSchools[North/South of 53rd Parallel &amp; Fly-in = North],MATCH('B. 20-21 Prov&amp;Priv Enrolment&lt;22'!$A25,TableAFNSchools[Band No '#],0))</f>
        <v>South</v>
      </c>
      <c r="AV25" s="391" t="str">
        <f t="shared" si="1"/>
        <v>Winnipeg School Division</v>
      </c>
      <c r="AW25" s="391" t="s">
        <v>442</v>
      </c>
      <c r="AX25" s="391" t="str">
        <f>IF('B. 20-21 Prov&amp;Priv Enrolment&lt;22'!$G25="","None",IF('B. 20-21 Prov&amp;Priv Enrolment&lt;22'!$G25&lt;'B. 20-21 Prov&amp;Priv Enrolment&lt;22'!$Z25,"Half-day",IF(AND('B. 20-21 Prov&amp;Priv Enrolment&lt;22'!$G25&gt;0,'B. 20-21 Prov&amp;Priv Enrolment&lt;22'!$G25='B. 20-21 Prov&amp;Priv Enrolment&lt;22'!$Z25),"Full-day",0)))</f>
        <v>None</v>
      </c>
      <c r="AY25" s="392" t="str">
        <f>IF('B. 20-21 Prov&amp;Priv Enrolment&lt;22'!$J25="","None",IF('B. 20-21 Prov&amp;Priv Enrolment&lt;22'!$J25&lt;'B. 20-21 Prov&amp;Priv Enrolment&lt;22'!$AC25,"Half-day",IF(AND('B. 20-21 Prov&amp;Priv Enrolment&lt;22'!$J25&gt;0,'B. 20-21 Prov&amp;Priv Enrolment&lt;22'!$J25='B. 20-21 Prov&amp;Priv Enrolment&lt;22'!$AC25),"Full-day",0)))</f>
        <v>None</v>
      </c>
    </row>
    <row r="26" spans="1:51">
      <c r="A26" s="391">
        <v>272</v>
      </c>
      <c r="B26" s="391" t="s">
        <v>734</v>
      </c>
      <c r="C26" s="391">
        <v>3372</v>
      </c>
      <c r="D26" s="391" t="s">
        <v>976</v>
      </c>
      <c r="E26" s="392" t="s">
        <v>1363</v>
      </c>
      <c r="F26" t="s">
        <v>666</v>
      </c>
      <c r="G26" s="391"/>
      <c r="H26" s="391"/>
      <c r="I26" s="391"/>
      <c r="J26" s="391"/>
      <c r="K26" s="391"/>
      <c r="L26" s="391"/>
      <c r="M26" s="391"/>
      <c r="N26" s="391"/>
      <c r="O26" s="391"/>
      <c r="P26" s="391"/>
      <c r="Q26" s="391"/>
      <c r="R26" s="391"/>
      <c r="S26" s="35"/>
      <c r="T26" s="623"/>
      <c r="U26" s="623">
        <v>1</v>
      </c>
      <c r="V26" s="623"/>
      <c r="W26" s="623"/>
      <c r="X26" s="391"/>
      <c r="Y26" s="393">
        <f>SUM('B. 20-21 Prov&amp;Priv Enrolment&lt;22'!$G26:$X26)</f>
        <v>1</v>
      </c>
      <c r="Z26" s="391"/>
      <c r="AA26" s="391"/>
      <c r="AB26" s="391"/>
      <c r="AC26" s="391"/>
      <c r="AD26" s="391"/>
      <c r="AE26" s="391"/>
      <c r="AF26" s="391"/>
      <c r="AG26" s="391"/>
      <c r="AH26" s="391"/>
      <c r="AI26" s="391"/>
      <c r="AJ26" s="391"/>
      <c r="AK26" s="391"/>
      <c r="AL26" s="35"/>
      <c r="AM26" s="623"/>
      <c r="AN26" s="623">
        <v>1</v>
      </c>
      <c r="AO26" s="623"/>
      <c r="AP26" s="623"/>
      <c r="AQ26" s="391"/>
      <c r="AR26" s="394">
        <f>SUM('B. 20-21 Prov&amp;Priv Enrolment&lt;22'!$Z26:$AQ26)</f>
        <v>1</v>
      </c>
      <c r="AS26" s="717"/>
      <c r="AT26" s="391" t="str">
        <f t="shared" si="0"/>
        <v>Pinaymootang First Nation</v>
      </c>
      <c r="AU26" s="391" t="str">
        <f>INDEX(TableAFNSchools[North/South of 53rd Parallel &amp; Fly-in = North],MATCH('B. 20-21 Prov&amp;Priv Enrolment&lt;22'!$A26,TableAFNSchools[Band No '#],0))</f>
        <v>South</v>
      </c>
      <c r="AV26" s="391" t="str">
        <f t="shared" si="1"/>
        <v>St. James-Assiniboia School Division</v>
      </c>
      <c r="AW26" s="391" t="s">
        <v>442</v>
      </c>
      <c r="AX26" s="391" t="str">
        <f>IF('B. 20-21 Prov&amp;Priv Enrolment&lt;22'!$G26="","None",IF('B. 20-21 Prov&amp;Priv Enrolment&lt;22'!$G26&lt;'B. 20-21 Prov&amp;Priv Enrolment&lt;22'!$Z26,"Half-day",IF(AND('B. 20-21 Prov&amp;Priv Enrolment&lt;22'!$G26&gt;0,'B. 20-21 Prov&amp;Priv Enrolment&lt;22'!$G26='B. 20-21 Prov&amp;Priv Enrolment&lt;22'!$Z26),"Full-day",0)))</f>
        <v>None</v>
      </c>
      <c r="AY26" s="392" t="str">
        <f>IF('B. 20-21 Prov&amp;Priv Enrolment&lt;22'!$J26="","None",IF('B. 20-21 Prov&amp;Priv Enrolment&lt;22'!$J26&lt;'B. 20-21 Prov&amp;Priv Enrolment&lt;22'!$AC26,"Half-day",IF(AND('B. 20-21 Prov&amp;Priv Enrolment&lt;22'!$J26&gt;0,'B. 20-21 Prov&amp;Priv Enrolment&lt;22'!$J26='B. 20-21 Prov&amp;Priv Enrolment&lt;22'!$AC26),"Full-day",0)))</f>
        <v>None</v>
      </c>
    </row>
    <row r="27" spans="1:51">
      <c r="A27" s="391">
        <v>272</v>
      </c>
      <c r="B27" s="391" t="s">
        <v>734</v>
      </c>
      <c r="C27" s="391">
        <v>3395</v>
      </c>
      <c r="D27" s="392" t="s">
        <v>970</v>
      </c>
      <c r="E27" s="392" t="s">
        <v>1355</v>
      </c>
      <c r="F27" t="s">
        <v>666</v>
      </c>
      <c r="G27" s="391"/>
      <c r="H27" s="391"/>
      <c r="I27" s="391"/>
      <c r="J27" s="391"/>
      <c r="K27" s="391"/>
      <c r="L27" s="391"/>
      <c r="M27" s="391"/>
      <c r="N27" s="391"/>
      <c r="O27" s="391"/>
      <c r="P27" s="391"/>
      <c r="Q27" s="391"/>
      <c r="R27" s="391"/>
      <c r="S27" s="35"/>
      <c r="T27" s="623"/>
      <c r="U27" s="623"/>
      <c r="V27" s="623">
        <v>1</v>
      </c>
      <c r="W27" s="623">
        <v>2</v>
      </c>
      <c r="X27" s="391"/>
      <c r="Y27" s="393">
        <f>SUM('B. 20-21 Prov&amp;Priv Enrolment&lt;22'!$G27:$X27)</f>
        <v>3</v>
      </c>
      <c r="Z27" s="391"/>
      <c r="AA27" s="391"/>
      <c r="AB27" s="391"/>
      <c r="AC27" s="391"/>
      <c r="AD27" s="391"/>
      <c r="AE27" s="391"/>
      <c r="AF27" s="391"/>
      <c r="AG27" s="391"/>
      <c r="AH27" s="391"/>
      <c r="AI27" s="391"/>
      <c r="AJ27" s="391"/>
      <c r="AK27" s="391"/>
      <c r="AL27" s="35"/>
      <c r="AM27" s="623"/>
      <c r="AN27" s="623"/>
      <c r="AO27" s="623">
        <v>1</v>
      </c>
      <c r="AP27" s="623">
        <v>2</v>
      </c>
      <c r="AQ27" s="391"/>
      <c r="AR27" s="394">
        <f>SUM('B. 20-21 Prov&amp;Priv Enrolment&lt;22'!$Z27:$AQ27)</f>
        <v>3</v>
      </c>
      <c r="AS27" s="717"/>
      <c r="AT27" s="391" t="str">
        <f t="shared" si="0"/>
        <v>Pinaymootang First Nation</v>
      </c>
      <c r="AU27" s="391" t="str">
        <f>INDEX(TableAFNSchools[North/South of 53rd Parallel &amp; Fly-in = North],MATCH('B. 20-21 Prov&amp;Priv Enrolment&lt;22'!$A27,TableAFNSchools[Band No '#],0))</f>
        <v>South</v>
      </c>
      <c r="AV27" s="391" t="str">
        <f t="shared" si="1"/>
        <v>Winnipeg School Division</v>
      </c>
      <c r="AW27" s="391" t="s">
        <v>442</v>
      </c>
      <c r="AX27" s="391" t="str">
        <f>IF('B. 20-21 Prov&amp;Priv Enrolment&lt;22'!$G27="","None",IF('B. 20-21 Prov&amp;Priv Enrolment&lt;22'!$G27&lt;'B. 20-21 Prov&amp;Priv Enrolment&lt;22'!$Z27,"Half-day",IF(AND('B. 20-21 Prov&amp;Priv Enrolment&lt;22'!$G27&gt;0,'B. 20-21 Prov&amp;Priv Enrolment&lt;22'!$G27='B. 20-21 Prov&amp;Priv Enrolment&lt;22'!$Z27),"Full-day",0)))</f>
        <v>None</v>
      </c>
      <c r="AY27" s="392" t="str">
        <f>IF('B. 20-21 Prov&amp;Priv Enrolment&lt;22'!$J27="","None",IF('B. 20-21 Prov&amp;Priv Enrolment&lt;22'!$J27&lt;'B. 20-21 Prov&amp;Priv Enrolment&lt;22'!$AC27,"Half-day",IF(AND('B. 20-21 Prov&amp;Priv Enrolment&lt;22'!$J27&gt;0,'B. 20-21 Prov&amp;Priv Enrolment&lt;22'!$J27='B. 20-21 Prov&amp;Priv Enrolment&lt;22'!$AC27),"Full-day",0)))</f>
        <v>None</v>
      </c>
    </row>
    <row r="28" spans="1:51">
      <c r="A28" s="391">
        <v>273</v>
      </c>
      <c r="B28" s="391" t="s">
        <v>735</v>
      </c>
      <c r="C28" s="391">
        <v>1755</v>
      </c>
      <c r="D28" s="391" t="s">
        <v>1364</v>
      </c>
      <c r="E28" s="391" t="s">
        <v>1365</v>
      </c>
      <c r="F28" t="s">
        <v>666</v>
      </c>
      <c r="G28" s="391"/>
      <c r="H28" s="391"/>
      <c r="I28" s="391"/>
      <c r="J28" s="391">
        <v>1</v>
      </c>
      <c r="K28" s="391">
        <v>1</v>
      </c>
      <c r="L28" s="391">
        <v>2</v>
      </c>
      <c r="M28" s="391">
        <v>1</v>
      </c>
      <c r="N28" s="391">
        <v>1</v>
      </c>
      <c r="O28" s="391">
        <v>1</v>
      </c>
      <c r="P28" s="391">
        <v>1</v>
      </c>
      <c r="Q28" s="391">
        <v>3</v>
      </c>
      <c r="R28" s="391">
        <v>4</v>
      </c>
      <c r="S28" s="35"/>
      <c r="T28" s="623">
        <v>10</v>
      </c>
      <c r="U28" s="623">
        <v>18</v>
      </c>
      <c r="V28" s="623">
        <v>12</v>
      </c>
      <c r="W28" s="623">
        <v>13</v>
      </c>
      <c r="X28" s="391"/>
      <c r="Y28" s="393">
        <f>SUM('B. 20-21 Prov&amp;Priv Enrolment&lt;22'!$G28:$X28)</f>
        <v>68</v>
      </c>
      <c r="Z28" s="391"/>
      <c r="AA28" s="391"/>
      <c r="AB28" s="391"/>
      <c r="AC28" s="391">
        <v>1</v>
      </c>
      <c r="AD28" s="391">
        <v>1</v>
      </c>
      <c r="AE28" s="391">
        <v>2</v>
      </c>
      <c r="AF28" s="391">
        <v>1</v>
      </c>
      <c r="AG28" s="391">
        <v>1</v>
      </c>
      <c r="AH28" s="391">
        <v>1</v>
      </c>
      <c r="AI28" s="391">
        <v>1</v>
      </c>
      <c r="AJ28" s="391">
        <v>3</v>
      </c>
      <c r="AK28" s="391">
        <v>4</v>
      </c>
      <c r="AL28" s="35"/>
      <c r="AM28" s="623">
        <v>10</v>
      </c>
      <c r="AN28" s="623">
        <v>18</v>
      </c>
      <c r="AO28" s="623">
        <v>12</v>
      </c>
      <c r="AP28" s="623">
        <v>13</v>
      </c>
      <c r="AQ28" s="391"/>
      <c r="AR28" s="394">
        <f>SUM('B. 20-21 Prov&amp;Priv Enrolment&lt;22'!$Z28:$AQ28)</f>
        <v>68</v>
      </c>
      <c r="AS28" s="717"/>
      <c r="AT28" s="391" t="str">
        <f t="shared" si="0"/>
        <v>Roseau River Anishinabe First Nation Government</v>
      </c>
      <c r="AU28" s="391" t="str">
        <f>INDEX(TableAFNSchools[North/South of 53rd Parallel &amp; Fly-in = North],MATCH('B. 20-21 Prov&amp;Priv Enrolment&lt;22'!$A28,TableAFNSchools[Band No '#],0))</f>
        <v>South</v>
      </c>
      <c r="AV28" s="391" t="str">
        <f t="shared" si="1"/>
        <v>BORDER LAND SCHOOL DIVISION</v>
      </c>
      <c r="AW28" s="391" t="s">
        <v>442</v>
      </c>
      <c r="AX28" s="391" t="str">
        <f>IF('B. 20-21 Prov&amp;Priv Enrolment&lt;22'!$G28="","None",IF('B. 20-21 Prov&amp;Priv Enrolment&lt;22'!$G28&lt;'B. 20-21 Prov&amp;Priv Enrolment&lt;22'!$Z28,"Half-day",IF(AND('B. 20-21 Prov&amp;Priv Enrolment&lt;22'!$G28&gt;0,'B. 20-21 Prov&amp;Priv Enrolment&lt;22'!$G28='B. 20-21 Prov&amp;Priv Enrolment&lt;22'!$Z28),"Full-day",0)))</f>
        <v>None</v>
      </c>
      <c r="AY28" s="392" t="str">
        <f>IF('B. 20-21 Prov&amp;Priv Enrolment&lt;22'!$J28="","None",IF('B. 20-21 Prov&amp;Priv Enrolment&lt;22'!$J28&lt;'B. 20-21 Prov&amp;Priv Enrolment&lt;22'!$AC28,"Half-day",IF(AND('B. 20-21 Prov&amp;Priv Enrolment&lt;22'!$J28&gt;0,'B. 20-21 Prov&amp;Priv Enrolment&lt;22'!$J28='B. 20-21 Prov&amp;Priv Enrolment&lt;22'!$AC28),"Full-day",0)))</f>
        <v>Full-day</v>
      </c>
    </row>
    <row r="29" spans="1:51">
      <c r="A29" s="391">
        <v>275</v>
      </c>
      <c r="B29" s="391" t="s">
        <v>390</v>
      </c>
      <c r="C29" s="391">
        <v>3282</v>
      </c>
      <c r="D29" s="391" t="s">
        <v>967</v>
      </c>
      <c r="E29" s="391" t="s">
        <v>1355</v>
      </c>
      <c r="F29" t="s">
        <v>666</v>
      </c>
      <c r="G29" s="391"/>
      <c r="H29" s="391"/>
      <c r="I29" s="391"/>
      <c r="J29" s="391"/>
      <c r="K29" s="391"/>
      <c r="L29" s="391"/>
      <c r="M29" s="391"/>
      <c r="N29" s="391"/>
      <c r="O29" s="391"/>
      <c r="P29" s="391"/>
      <c r="Q29" s="391"/>
      <c r="R29" s="391"/>
      <c r="S29" s="35"/>
      <c r="T29" s="623"/>
      <c r="U29" s="623">
        <v>1</v>
      </c>
      <c r="V29" s="623"/>
      <c r="W29" s="623">
        <v>1</v>
      </c>
      <c r="X29" s="391"/>
      <c r="Y29" s="393">
        <f>SUM('B. 20-21 Prov&amp;Priv Enrolment&lt;22'!$G29:$X29)</f>
        <v>2</v>
      </c>
      <c r="Z29" s="391"/>
      <c r="AA29" s="391"/>
      <c r="AB29" s="391"/>
      <c r="AC29" s="391"/>
      <c r="AD29" s="391"/>
      <c r="AE29" s="391"/>
      <c r="AF29" s="391"/>
      <c r="AG29" s="391"/>
      <c r="AH29" s="391"/>
      <c r="AI29" s="391"/>
      <c r="AJ29" s="391"/>
      <c r="AK29" s="391"/>
      <c r="AL29" s="35"/>
      <c r="AM29" s="623"/>
      <c r="AN29" s="623">
        <v>1</v>
      </c>
      <c r="AO29" s="623"/>
      <c r="AP29" s="623">
        <v>1</v>
      </c>
      <c r="AQ29" s="391"/>
      <c r="AR29" s="394">
        <f>SUM('B. 20-21 Prov&amp;Priv Enrolment&lt;22'!$Z29:$AQ29)</f>
        <v>2</v>
      </c>
      <c r="AS29" s="717"/>
      <c r="AT29" s="391" t="str">
        <f t="shared" si="0"/>
        <v>Lake St. Martin</v>
      </c>
      <c r="AU29" s="391" t="str">
        <f>INDEX(TableAFNSchools[North/South of 53rd Parallel &amp; Fly-in = North],MATCH('B. 20-21 Prov&amp;Priv Enrolment&lt;22'!$A29,TableAFNSchools[Band No '#],0))</f>
        <v>South</v>
      </c>
      <c r="AV29" s="391" t="str">
        <f t="shared" si="1"/>
        <v>Winnipeg School Division</v>
      </c>
      <c r="AW29" s="391" t="s">
        <v>441</v>
      </c>
      <c r="AX29" s="391" t="str">
        <f>IF('B. 20-21 Prov&amp;Priv Enrolment&lt;22'!$G29="","None",IF('B. 20-21 Prov&amp;Priv Enrolment&lt;22'!$G29&lt;'B. 20-21 Prov&amp;Priv Enrolment&lt;22'!$Z29,"Half-day",IF(AND('B. 20-21 Prov&amp;Priv Enrolment&lt;22'!$G29&gt;0,'B. 20-21 Prov&amp;Priv Enrolment&lt;22'!$G29='B. 20-21 Prov&amp;Priv Enrolment&lt;22'!$Z29),"Full-day",0)))</f>
        <v>None</v>
      </c>
      <c r="AY29" s="392" t="str">
        <f>IF('B. 20-21 Prov&amp;Priv Enrolment&lt;22'!$J29="","None",IF('B. 20-21 Prov&amp;Priv Enrolment&lt;22'!$J29&lt;'B. 20-21 Prov&amp;Priv Enrolment&lt;22'!$AC29,"Half-day",IF(AND('B. 20-21 Prov&amp;Priv Enrolment&lt;22'!$J29&gt;0,'B. 20-21 Prov&amp;Priv Enrolment&lt;22'!$J29='B. 20-21 Prov&amp;Priv Enrolment&lt;22'!$AC29),"Full-day",0)))</f>
        <v>None</v>
      </c>
    </row>
    <row r="30" spans="1:51">
      <c r="A30" s="391">
        <v>275</v>
      </c>
      <c r="B30" s="391" t="s">
        <v>390</v>
      </c>
      <c r="C30" s="391">
        <v>3303</v>
      </c>
      <c r="D30" s="391" t="s">
        <v>977</v>
      </c>
      <c r="E30" s="391" t="s">
        <v>1366</v>
      </c>
      <c r="F30" t="s">
        <v>666</v>
      </c>
      <c r="G30" s="391"/>
      <c r="H30" s="391"/>
      <c r="I30" s="391"/>
      <c r="J30" s="391"/>
      <c r="K30" s="391"/>
      <c r="L30" s="391"/>
      <c r="M30" s="391"/>
      <c r="N30" s="391"/>
      <c r="O30" s="391"/>
      <c r="P30" s="391"/>
      <c r="Q30" s="391"/>
      <c r="R30" s="391"/>
      <c r="S30" s="35"/>
      <c r="T30" s="623">
        <v>1</v>
      </c>
      <c r="U30" s="623"/>
      <c r="V30" s="623"/>
      <c r="W30" s="623"/>
      <c r="X30" s="391"/>
      <c r="Y30" s="393">
        <f>SUM('B. 20-21 Prov&amp;Priv Enrolment&lt;22'!$G30:$X30)</f>
        <v>1</v>
      </c>
      <c r="Z30" s="391"/>
      <c r="AA30" s="391"/>
      <c r="AB30" s="391"/>
      <c r="AC30" s="391"/>
      <c r="AD30" s="391"/>
      <c r="AE30" s="391"/>
      <c r="AF30" s="391"/>
      <c r="AG30" s="391"/>
      <c r="AH30" s="391"/>
      <c r="AI30" s="391"/>
      <c r="AJ30" s="391"/>
      <c r="AK30" s="391"/>
      <c r="AL30" s="35"/>
      <c r="AM30" s="623">
        <v>1</v>
      </c>
      <c r="AN30" s="623"/>
      <c r="AO30" s="623"/>
      <c r="AP30" s="623"/>
      <c r="AQ30" s="391"/>
      <c r="AR30" s="394">
        <f>SUM('B. 20-21 Prov&amp;Priv Enrolment&lt;22'!$Z30:$AQ30)</f>
        <v>1</v>
      </c>
      <c r="AS30" s="717"/>
      <c r="AT30" s="391" t="str">
        <f t="shared" si="0"/>
        <v>Lake St. Martin</v>
      </c>
      <c r="AU30" s="391" t="str">
        <f>INDEX(TableAFNSchools[North/South of 53rd Parallel &amp; Fly-in = North],MATCH('B. 20-21 Prov&amp;Priv Enrolment&lt;22'!$A30,TableAFNSchools[Band No '#],0))</f>
        <v>South</v>
      </c>
      <c r="AV30" s="391" t="str">
        <f t="shared" si="1"/>
        <v>Brandon School Division</v>
      </c>
      <c r="AW30" s="391" t="s">
        <v>441</v>
      </c>
      <c r="AX30" s="391" t="str">
        <f>IF('B. 20-21 Prov&amp;Priv Enrolment&lt;22'!$G30="","None",IF('B. 20-21 Prov&amp;Priv Enrolment&lt;22'!$G30&lt;'B. 20-21 Prov&amp;Priv Enrolment&lt;22'!$Z30,"Half-day",IF(AND('B. 20-21 Prov&amp;Priv Enrolment&lt;22'!$G30&gt;0,'B. 20-21 Prov&amp;Priv Enrolment&lt;22'!$G30='B. 20-21 Prov&amp;Priv Enrolment&lt;22'!$Z30),"Full-day",0)))</f>
        <v>None</v>
      </c>
      <c r="AY30" s="392" t="str">
        <f>IF('B. 20-21 Prov&amp;Priv Enrolment&lt;22'!$J30="","None",IF('B. 20-21 Prov&amp;Priv Enrolment&lt;22'!$J30&lt;'B. 20-21 Prov&amp;Priv Enrolment&lt;22'!$AC30,"Half-day",IF(AND('B. 20-21 Prov&amp;Priv Enrolment&lt;22'!$J30&gt;0,'B. 20-21 Prov&amp;Priv Enrolment&lt;22'!$J30='B. 20-21 Prov&amp;Priv Enrolment&lt;22'!$AC30),"Full-day",0)))</f>
        <v>None</v>
      </c>
    </row>
    <row r="31" spans="1:51">
      <c r="A31" s="391">
        <v>275</v>
      </c>
      <c r="B31" s="391" t="s">
        <v>390</v>
      </c>
      <c r="C31" s="391">
        <v>3310</v>
      </c>
      <c r="D31" s="391" t="s">
        <v>968</v>
      </c>
      <c r="E31" s="391" t="s">
        <v>1355</v>
      </c>
      <c r="F31" t="s">
        <v>666</v>
      </c>
      <c r="G31" s="391"/>
      <c r="H31" s="391"/>
      <c r="I31" s="391"/>
      <c r="J31" s="391"/>
      <c r="K31" s="391"/>
      <c r="L31" s="391"/>
      <c r="M31" s="391"/>
      <c r="N31" s="391"/>
      <c r="O31" s="391"/>
      <c r="P31" s="391"/>
      <c r="Q31" s="391"/>
      <c r="R31" s="391"/>
      <c r="S31" s="35"/>
      <c r="T31" s="623"/>
      <c r="U31" s="623"/>
      <c r="V31" s="623">
        <v>1</v>
      </c>
      <c r="W31" s="623">
        <v>2</v>
      </c>
      <c r="X31" s="391"/>
      <c r="Y31" s="393">
        <f>SUM('B. 20-21 Prov&amp;Priv Enrolment&lt;22'!$G31:$X31)</f>
        <v>3</v>
      </c>
      <c r="Z31" s="391"/>
      <c r="AA31" s="391"/>
      <c r="AB31" s="391"/>
      <c r="AC31" s="391"/>
      <c r="AD31" s="391"/>
      <c r="AE31" s="391"/>
      <c r="AF31" s="391"/>
      <c r="AG31" s="391"/>
      <c r="AH31" s="391"/>
      <c r="AI31" s="391"/>
      <c r="AJ31" s="391"/>
      <c r="AK31" s="391"/>
      <c r="AL31" s="35"/>
      <c r="AM31" s="623"/>
      <c r="AN31" s="623"/>
      <c r="AO31" s="623">
        <v>1</v>
      </c>
      <c r="AP31" s="623">
        <v>2</v>
      </c>
      <c r="AQ31" s="391"/>
      <c r="AR31" s="394">
        <f>SUM('B. 20-21 Prov&amp;Priv Enrolment&lt;22'!$Z31:$AQ31)</f>
        <v>3</v>
      </c>
      <c r="AS31" s="717"/>
      <c r="AT31" s="391" t="str">
        <f t="shared" si="0"/>
        <v>Lake St. Martin</v>
      </c>
      <c r="AU31" s="391" t="str">
        <f>INDEX(TableAFNSchools[North/South of 53rd Parallel &amp; Fly-in = North],MATCH('B. 20-21 Prov&amp;Priv Enrolment&lt;22'!$A31,TableAFNSchools[Band No '#],0))</f>
        <v>South</v>
      </c>
      <c r="AV31" s="391" t="str">
        <f t="shared" si="1"/>
        <v>Winnipeg School Division</v>
      </c>
      <c r="AW31" s="391" t="s">
        <v>441</v>
      </c>
      <c r="AX31" s="391" t="str">
        <f>IF('B. 20-21 Prov&amp;Priv Enrolment&lt;22'!$G31="","None",IF('B. 20-21 Prov&amp;Priv Enrolment&lt;22'!$G31&lt;'B. 20-21 Prov&amp;Priv Enrolment&lt;22'!$Z31,"Half-day",IF(AND('B. 20-21 Prov&amp;Priv Enrolment&lt;22'!$G31&gt;0,'B. 20-21 Prov&amp;Priv Enrolment&lt;22'!$G31='B. 20-21 Prov&amp;Priv Enrolment&lt;22'!$Z31),"Full-day",0)))</f>
        <v>None</v>
      </c>
      <c r="AY31" s="392" t="str">
        <f>IF('B. 20-21 Prov&amp;Priv Enrolment&lt;22'!$J31="","None",IF('B. 20-21 Prov&amp;Priv Enrolment&lt;22'!$J31&lt;'B. 20-21 Prov&amp;Priv Enrolment&lt;22'!$AC31,"Half-day",IF(AND('B. 20-21 Prov&amp;Priv Enrolment&lt;22'!$J31&gt;0,'B. 20-21 Prov&amp;Priv Enrolment&lt;22'!$J31='B. 20-21 Prov&amp;Priv Enrolment&lt;22'!$AC31),"Full-day",0)))</f>
        <v>None</v>
      </c>
    </row>
    <row r="32" spans="1:51">
      <c r="A32" s="391">
        <v>275</v>
      </c>
      <c r="B32" s="391" t="s">
        <v>390</v>
      </c>
      <c r="C32" s="391">
        <v>3342</v>
      </c>
      <c r="D32" s="391" t="s">
        <v>978</v>
      </c>
      <c r="E32" s="391" t="s">
        <v>1367</v>
      </c>
      <c r="F32" t="s">
        <v>666</v>
      </c>
      <c r="G32" s="391"/>
      <c r="H32" s="391"/>
      <c r="I32" s="391"/>
      <c r="J32" s="391"/>
      <c r="K32" s="391"/>
      <c r="L32" s="391"/>
      <c r="M32" s="391"/>
      <c r="N32" s="391"/>
      <c r="O32" s="391"/>
      <c r="P32" s="391"/>
      <c r="Q32" s="391"/>
      <c r="R32" s="391"/>
      <c r="S32" s="35"/>
      <c r="T32" s="623"/>
      <c r="U32" s="623"/>
      <c r="V32" s="623"/>
      <c r="W32" s="623">
        <v>1</v>
      </c>
      <c r="X32" s="391"/>
      <c r="Y32" s="393">
        <f>SUM('B. 20-21 Prov&amp;Priv Enrolment&lt;22'!$G32:$X32)</f>
        <v>1</v>
      </c>
      <c r="Z32" s="391"/>
      <c r="AA32" s="391"/>
      <c r="AB32" s="391"/>
      <c r="AC32" s="391"/>
      <c r="AD32" s="391"/>
      <c r="AE32" s="391"/>
      <c r="AF32" s="391"/>
      <c r="AG32" s="391"/>
      <c r="AH32" s="391"/>
      <c r="AI32" s="391"/>
      <c r="AJ32" s="391"/>
      <c r="AK32" s="391"/>
      <c r="AL32" s="35"/>
      <c r="AM32" s="623"/>
      <c r="AN32" s="623"/>
      <c r="AO32" s="623"/>
      <c r="AP32" s="623">
        <v>1</v>
      </c>
      <c r="AQ32" s="391"/>
      <c r="AR32" s="394">
        <f>SUM('B. 20-21 Prov&amp;Priv Enrolment&lt;22'!$Z32:$AQ32)</f>
        <v>1</v>
      </c>
      <c r="AS32" s="717"/>
      <c r="AT32" s="391" t="str">
        <f t="shared" si="0"/>
        <v>Lake St. Martin</v>
      </c>
      <c r="AU32" s="391" t="str">
        <f>INDEX(TableAFNSchools[North/South of 53rd Parallel &amp; Fly-in = North],MATCH('B. 20-21 Prov&amp;Priv Enrolment&lt;22'!$A32,TableAFNSchools[Band No '#],0))</f>
        <v>South</v>
      </c>
      <c r="AV32" s="391" t="str">
        <f t="shared" si="1"/>
        <v>River East Transcona School Division</v>
      </c>
      <c r="AW32" s="391" t="s">
        <v>441</v>
      </c>
      <c r="AX32" s="391" t="str">
        <f>IF('B. 20-21 Prov&amp;Priv Enrolment&lt;22'!$G32="","None",IF('B. 20-21 Prov&amp;Priv Enrolment&lt;22'!$G32&lt;'B. 20-21 Prov&amp;Priv Enrolment&lt;22'!$Z32,"Half-day",IF(AND('B. 20-21 Prov&amp;Priv Enrolment&lt;22'!$G32&gt;0,'B. 20-21 Prov&amp;Priv Enrolment&lt;22'!$G32='B. 20-21 Prov&amp;Priv Enrolment&lt;22'!$Z32),"Full-day",0)))</f>
        <v>None</v>
      </c>
      <c r="AY32" s="392" t="str">
        <f>IF('B. 20-21 Prov&amp;Priv Enrolment&lt;22'!$J32="","None",IF('B. 20-21 Prov&amp;Priv Enrolment&lt;22'!$J32&lt;'B. 20-21 Prov&amp;Priv Enrolment&lt;22'!$AC32,"Half-day",IF(AND('B. 20-21 Prov&amp;Priv Enrolment&lt;22'!$J32&gt;0,'B. 20-21 Prov&amp;Priv Enrolment&lt;22'!$J32='B. 20-21 Prov&amp;Priv Enrolment&lt;22'!$AC32),"Full-day",0)))</f>
        <v>None</v>
      </c>
    </row>
    <row r="33" spans="1:51">
      <c r="A33" s="391">
        <v>275</v>
      </c>
      <c r="B33" s="391" t="s">
        <v>390</v>
      </c>
      <c r="C33" s="391">
        <v>3395</v>
      </c>
      <c r="D33" s="391" t="s">
        <v>970</v>
      </c>
      <c r="E33" s="391" t="s">
        <v>1355</v>
      </c>
      <c r="F33" t="s">
        <v>666</v>
      </c>
      <c r="G33" s="391"/>
      <c r="H33" s="391"/>
      <c r="I33" s="391"/>
      <c r="J33" s="391"/>
      <c r="K33" s="391"/>
      <c r="L33" s="391"/>
      <c r="M33" s="391"/>
      <c r="N33" s="391"/>
      <c r="O33" s="391"/>
      <c r="P33" s="391"/>
      <c r="Q33" s="391"/>
      <c r="R33" s="391"/>
      <c r="S33" s="35"/>
      <c r="T33" s="623">
        <v>1</v>
      </c>
      <c r="U33" s="623"/>
      <c r="V33" s="623"/>
      <c r="W33" s="623">
        <v>1</v>
      </c>
      <c r="X33" s="391"/>
      <c r="Y33" s="393">
        <f>SUM('B. 20-21 Prov&amp;Priv Enrolment&lt;22'!$G33:$X33)</f>
        <v>2</v>
      </c>
      <c r="Z33" s="391"/>
      <c r="AA33" s="391"/>
      <c r="AB33" s="391"/>
      <c r="AC33" s="391"/>
      <c r="AD33" s="391"/>
      <c r="AE33" s="391"/>
      <c r="AF33" s="391"/>
      <c r="AG33" s="391"/>
      <c r="AH33" s="391"/>
      <c r="AI33" s="391"/>
      <c r="AJ33" s="391"/>
      <c r="AK33" s="391"/>
      <c r="AL33" s="35"/>
      <c r="AM33" s="623">
        <v>1</v>
      </c>
      <c r="AN33" s="623"/>
      <c r="AO33" s="623"/>
      <c r="AP33" s="623">
        <v>1</v>
      </c>
      <c r="AQ33" s="391"/>
      <c r="AR33" s="394">
        <f>SUM('B. 20-21 Prov&amp;Priv Enrolment&lt;22'!$Z33:$AQ33)</f>
        <v>2</v>
      </c>
      <c r="AS33" s="717"/>
      <c r="AT33" s="391" t="str">
        <f t="shared" si="0"/>
        <v>Lake St. Martin</v>
      </c>
      <c r="AU33" s="391" t="str">
        <f>INDEX(TableAFNSchools[North/South of 53rd Parallel &amp; Fly-in = North],MATCH('B. 20-21 Prov&amp;Priv Enrolment&lt;22'!$A33,TableAFNSchools[Band No '#],0))</f>
        <v>South</v>
      </c>
      <c r="AV33" s="391" t="str">
        <f t="shared" si="1"/>
        <v>Winnipeg School Division</v>
      </c>
      <c r="AW33" s="391" t="s">
        <v>441</v>
      </c>
      <c r="AX33" s="391" t="str">
        <f>IF('B. 20-21 Prov&amp;Priv Enrolment&lt;22'!$G33="","None",IF('B. 20-21 Prov&amp;Priv Enrolment&lt;22'!$G33&lt;'B. 20-21 Prov&amp;Priv Enrolment&lt;22'!$Z33,"Half-day",IF(AND('B. 20-21 Prov&amp;Priv Enrolment&lt;22'!$G33&gt;0,'B. 20-21 Prov&amp;Priv Enrolment&lt;22'!$G33='B. 20-21 Prov&amp;Priv Enrolment&lt;22'!$Z33),"Full-day",0)))</f>
        <v>None</v>
      </c>
      <c r="AY33" s="392" t="str">
        <f>IF('B. 20-21 Prov&amp;Priv Enrolment&lt;22'!$J33="","None",IF('B. 20-21 Prov&amp;Priv Enrolment&lt;22'!$J33&lt;'B. 20-21 Prov&amp;Priv Enrolment&lt;22'!$AC33,"Half-day",IF(AND('B. 20-21 Prov&amp;Priv Enrolment&lt;22'!$J33&gt;0,'B. 20-21 Prov&amp;Priv Enrolment&lt;22'!$J33='B. 20-21 Prov&amp;Priv Enrolment&lt;22'!$AC33),"Full-day",0)))</f>
        <v>None</v>
      </c>
    </row>
    <row r="34" spans="1:51">
      <c r="A34" s="391">
        <v>275</v>
      </c>
      <c r="B34" s="391" t="s">
        <v>390</v>
      </c>
      <c r="C34" s="391">
        <v>3400</v>
      </c>
      <c r="D34" s="391" t="s">
        <v>979</v>
      </c>
      <c r="E34" s="391" t="s">
        <v>1367</v>
      </c>
      <c r="F34" t="s">
        <v>666</v>
      </c>
      <c r="G34" s="391"/>
      <c r="H34" s="391"/>
      <c r="I34" s="391"/>
      <c r="J34" s="391"/>
      <c r="K34" s="391"/>
      <c r="L34" s="391"/>
      <c r="M34" s="391"/>
      <c r="N34" s="391"/>
      <c r="O34" s="391"/>
      <c r="P34" s="391"/>
      <c r="Q34" s="391"/>
      <c r="R34" s="391"/>
      <c r="S34" s="35"/>
      <c r="T34" s="623">
        <v>1</v>
      </c>
      <c r="U34" s="623"/>
      <c r="V34" s="623"/>
      <c r="W34" s="623"/>
      <c r="X34" s="391"/>
      <c r="Y34" s="393">
        <f>SUM('B. 20-21 Prov&amp;Priv Enrolment&lt;22'!$G34:$X34)</f>
        <v>1</v>
      </c>
      <c r="Z34" s="391"/>
      <c r="AA34" s="391"/>
      <c r="AB34" s="391"/>
      <c r="AC34" s="391"/>
      <c r="AD34" s="391"/>
      <c r="AE34" s="391"/>
      <c r="AF34" s="391"/>
      <c r="AG34" s="391"/>
      <c r="AH34" s="391"/>
      <c r="AI34" s="391"/>
      <c r="AJ34" s="391"/>
      <c r="AK34" s="391"/>
      <c r="AL34" s="35"/>
      <c r="AM34" s="623">
        <v>1</v>
      </c>
      <c r="AN34" s="623"/>
      <c r="AO34" s="623"/>
      <c r="AP34" s="623"/>
      <c r="AQ34" s="391"/>
      <c r="AR34" s="394">
        <f>SUM('B. 20-21 Prov&amp;Priv Enrolment&lt;22'!$Z34:$AQ34)</f>
        <v>1</v>
      </c>
      <c r="AS34" s="717"/>
      <c r="AT34" s="391" t="str">
        <f t="shared" si="0"/>
        <v>Lake St. Martin</v>
      </c>
      <c r="AU34" s="391" t="str">
        <f>INDEX(TableAFNSchools[North/South of 53rd Parallel &amp; Fly-in = North],MATCH('B. 20-21 Prov&amp;Priv Enrolment&lt;22'!$A34,TableAFNSchools[Band No '#],0))</f>
        <v>South</v>
      </c>
      <c r="AV34" s="391" t="str">
        <f t="shared" si="1"/>
        <v>River East Transcona School Division</v>
      </c>
      <c r="AW34" s="391" t="s">
        <v>441</v>
      </c>
      <c r="AX34" s="391" t="str">
        <f>IF('B. 20-21 Prov&amp;Priv Enrolment&lt;22'!$G34="","None",IF('B. 20-21 Prov&amp;Priv Enrolment&lt;22'!$G34&lt;'B. 20-21 Prov&amp;Priv Enrolment&lt;22'!$Z34,"Half-day",IF(AND('B. 20-21 Prov&amp;Priv Enrolment&lt;22'!$G34&gt;0,'B. 20-21 Prov&amp;Priv Enrolment&lt;22'!$G34='B. 20-21 Prov&amp;Priv Enrolment&lt;22'!$Z34),"Full-day",0)))</f>
        <v>None</v>
      </c>
      <c r="AY34" s="392" t="str">
        <f>IF('B. 20-21 Prov&amp;Priv Enrolment&lt;22'!$J34="","None",IF('B. 20-21 Prov&amp;Priv Enrolment&lt;22'!$J34&lt;'B. 20-21 Prov&amp;Priv Enrolment&lt;22'!$AC34,"Half-day",IF(AND('B. 20-21 Prov&amp;Priv Enrolment&lt;22'!$J34&gt;0,'B. 20-21 Prov&amp;Priv Enrolment&lt;22'!$J34='B. 20-21 Prov&amp;Priv Enrolment&lt;22'!$AC34),"Full-day",0)))</f>
        <v>None</v>
      </c>
    </row>
    <row r="35" spans="1:51">
      <c r="A35" s="391">
        <v>275</v>
      </c>
      <c r="B35" s="391" t="s">
        <v>390</v>
      </c>
      <c r="C35" s="391">
        <v>3460</v>
      </c>
      <c r="D35" s="391" t="s">
        <v>980</v>
      </c>
      <c r="E35" s="391" t="s">
        <v>1359</v>
      </c>
      <c r="F35" t="s">
        <v>666</v>
      </c>
      <c r="G35" s="391"/>
      <c r="H35" s="391"/>
      <c r="I35" s="391"/>
      <c r="J35" s="391"/>
      <c r="K35" s="391"/>
      <c r="L35" s="391"/>
      <c r="M35" s="391"/>
      <c r="N35" s="391"/>
      <c r="O35" s="391"/>
      <c r="P35" s="391"/>
      <c r="Q35" s="391"/>
      <c r="R35" s="391"/>
      <c r="S35" s="35"/>
      <c r="T35" s="623"/>
      <c r="U35" s="623"/>
      <c r="V35" s="623"/>
      <c r="W35" s="623">
        <v>1</v>
      </c>
      <c r="X35" s="391"/>
      <c r="Y35" s="393">
        <f>SUM('B. 20-21 Prov&amp;Priv Enrolment&lt;22'!$G35:$X35)</f>
        <v>1</v>
      </c>
      <c r="Z35" s="391"/>
      <c r="AA35" s="391"/>
      <c r="AB35" s="391"/>
      <c r="AC35" s="391"/>
      <c r="AD35" s="391"/>
      <c r="AE35" s="391"/>
      <c r="AF35" s="391"/>
      <c r="AG35" s="391"/>
      <c r="AH35" s="391"/>
      <c r="AI35" s="391"/>
      <c r="AJ35" s="391"/>
      <c r="AK35" s="391"/>
      <c r="AL35" s="35"/>
      <c r="AM35" s="623"/>
      <c r="AN35" s="623"/>
      <c r="AO35" s="623"/>
      <c r="AP35" s="623">
        <v>1</v>
      </c>
      <c r="AQ35" s="391"/>
      <c r="AR35" s="394">
        <f>SUM('B. 20-21 Prov&amp;Priv Enrolment&lt;22'!$Z35:$AQ35)</f>
        <v>1</v>
      </c>
      <c r="AS35" s="717"/>
      <c r="AT35" s="391" t="str">
        <f t="shared" si="0"/>
        <v>Lake St. Martin</v>
      </c>
      <c r="AU35" s="391" t="str">
        <f>INDEX(TableAFNSchools[North/South of 53rd Parallel &amp; Fly-in = North],MATCH('B. 20-21 Prov&amp;Priv Enrolment&lt;22'!$A35,TableAFNSchools[Band No '#],0))</f>
        <v>South</v>
      </c>
      <c r="AV35" s="391" t="str">
        <f t="shared" si="1"/>
        <v>Seven Oaks School Division</v>
      </c>
      <c r="AW35" s="391" t="s">
        <v>441</v>
      </c>
      <c r="AX35" s="391" t="str">
        <f>IF('B. 20-21 Prov&amp;Priv Enrolment&lt;22'!$G35="","None",IF('B. 20-21 Prov&amp;Priv Enrolment&lt;22'!$G35&lt;'B. 20-21 Prov&amp;Priv Enrolment&lt;22'!$Z35,"Half-day",IF(AND('B. 20-21 Prov&amp;Priv Enrolment&lt;22'!$G35&gt;0,'B. 20-21 Prov&amp;Priv Enrolment&lt;22'!$G35='B. 20-21 Prov&amp;Priv Enrolment&lt;22'!$Z35),"Full-day",0)))</f>
        <v>None</v>
      </c>
      <c r="AY35" s="392" t="str">
        <f>IF('B. 20-21 Prov&amp;Priv Enrolment&lt;22'!$J35="","None",IF('B. 20-21 Prov&amp;Priv Enrolment&lt;22'!$J35&lt;'B. 20-21 Prov&amp;Priv Enrolment&lt;22'!$AC35,"Half-day",IF(AND('B. 20-21 Prov&amp;Priv Enrolment&lt;22'!$J35&gt;0,'B. 20-21 Prov&amp;Priv Enrolment&lt;22'!$J35='B. 20-21 Prov&amp;Priv Enrolment&lt;22'!$AC35),"Full-day",0)))</f>
        <v>None</v>
      </c>
    </row>
    <row r="36" spans="1:51">
      <c r="A36" s="391">
        <v>275</v>
      </c>
      <c r="B36" s="391" t="s">
        <v>390</v>
      </c>
      <c r="C36" s="391">
        <v>5725</v>
      </c>
      <c r="D36" s="391" t="s">
        <v>971</v>
      </c>
      <c r="E36" s="391" t="s">
        <v>1359</v>
      </c>
      <c r="F36" t="s">
        <v>666</v>
      </c>
      <c r="G36" s="391"/>
      <c r="H36" s="391"/>
      <c r="I36" s="391"/>
      <c r="J36" s="391"/>
      <c r="K36" s="391"/>
      <c r="L36" s="391"/>
      <c r="M36" s="391"/>
      <c r="N36" s="391"/>
      <c r="O36" s="391"/>
      <c r="P36" s="391"/>
      <c r="Q36" s="391"/>
      <c r="R36" s="391"/>
      <c r="S36" s="35"/>
      <c r="T36" s="623">
        <v>1</v>
      </c>
      <c r="U36" s="623"/>
      <c r="V36" s="623">
        <v>2</v>
      </c>
      <c r="W36" s="623">
        <v>1</v>
      </c>
      <c r="X36" s="391"/>
      <c r="Y36" s="393">
        <f>SUM('B. 20-21 Prov&amp;Priv Enrolment&lt;22'!$G36:$X36)</f>
        <v>4</v>
      </c>
      <c r="Z36" s="391"/>
      <c r="AA36" s="391"/>
      <c r="AB36" s="391"/>
      <c r="AC36" s="391"/>
      <c r="AD36" s="391"/>
      <c r="AE36" s="391"/>
      <c r="AF36" s="391"/>
      <c r="AG36" s="391"/>
      <c r="AH36" s="391"/>
      <c r="AI36" s="391"/>
      <c r="AJ36" s="391"/>
      <c r="AK36" s="391"/>
      <c r="AL36" s="35"/>
      <c r="AM36" s="623">
        <v>1</v>
      </c>
      <c r="AN36" s="623"/>
      <c r="AO36" s="623">
        <v>2</v>
      </c>
      <c r="AP36" s="623">
        <v>1</v>
      </c>
      <c r="AQ36" s="391"/>
      <c r="AR36" s="394">
        <f>SUM('B. 20-21 Prov&amp;Priv Enrolment&lt;22'!$Z36:$AQ36)</f>
        <v>4</v>
      </c>
      <c r="AS36" s="717"/>
      <c r="AT36" s="391" t="str">
        <f t="shared" si="0"/>
        <v>Lake St. Martin</v>
      </c>
      <c r="AU36" s="391" t="str">
        <f>INDEX(TableAFNSchools[North/South of 53rd Parallel &amp; Fly-in = North],MATCH('B. 20-21 Prov&amp;Priv Enrolment&lt;22'!$A36,TableAFNSchools[Band No '#],0))</f>
        <v>South</v>
      </c>
      <c r="AV36" s="391" t="str">
        <f t="shared" si="1"/>
        <v>Seven Oaks School Division</v>
      </c>
      <c r="AW36" s="391" t="s">
        <v>441</v>
      </c>
      <c r="AX36" s="391" t="str">
        <f>IF('B. 20-21 Prov&amp;Priv Enrolment&lt;22'!$G36="","None",IF('B. 20-21 Prov&amp;Priv Enrolment&lt;22'!$G36&lt;'B. 20-21 Prov&amp;Priv Enrolment&lt;22'!$Z36,"Half-day",IF(AND('B. 20-21 Prov&amp;Priv Enrolment&lt;22'!$G36&gt;0,'B. 20-21 Prov&amp;Priv Enrolment&lt;22'!$G36='B. 20-21 Prov&amp;Priv Enrolment&lt;22'!$Z36),"Full-day",0)))</f>
        <v>None</v>
      </c>
      <c r="AY36" s="392" t="str">
        <f>IF('B. 20-21 Prov&amp;Priv Enrolment&lt;22'!$J36="","None",IF('B. 20-21 Prov&amp;Priv Enrolment&lt;22'!$J36&lt;'B. 20-21 Prov&amp;Priv Enrolment&lt;22'!$AC36,"Half-day",IF(AND('B. 20-21 Prov&amp;Priv Enrolment&lt;22'!$J36&gt;0,'B. 20-21 Prov&amp;Priv Enrolment&lt;22'!$J36='B. 20-21 Prov&amp;Priv Enrolment&lt;22'!$AC36),"Full-day",0)))</f>
        <v>None</v>
      </c>
    </row>
    <row r="37" spans="1:51">
      <c r="A37" s="391">
        <v>275</v>
      </c>
      <c r="B37" s="391" t="s">
        <v>390</v>
      </c>
      <c r="C37" s="391">
        <v>5736</v>
      </c>
      <c r="D37" s="391" t="s">
        <v>981</v>
      </c>
      <c r="E37" s="391" t="s">
        <v>1366</v>
      </c>
      <c r="F37" t="s">
        <v>666</v>
      </c>
      <c r="G37" s="391"/>
      <c r="H37" s="391"/>
      <c r="I37" s="391"/>
      <c r="J37" s="391"/>
      <c r="K37" s="391"/>
      <c r="L37" s="391"/>
      <c r="M37" s="391"/>
      <c r="N37" s="391"/>
      <c r="O37" s="391"/>
      <c r="P37" s="391"/>
      <c r="Q37" s="391"/>
      <c r="R37" s="391"/>
      <c r="S37" s="35"/>
      <c r="T37" s="623"/>
      <c r="U37" s="623"/>
      <c r="V37" s="623"/>
      <c r="W37" s="623">
        <v>1</v>
      </c>
      <c r="X37" s="391"/>
      <c r="Y37" s="393">
        <f>SUM('B. 20-21 Prov&amp;Priv Enrolment&lt;22'!$G37:$X37)</f>
        <v>1</v>
      </c>
      <c r="Z37" s="391"/>
      <c r="AA37" s="391"/>
      <c r="AB37" s="391"/>
      <c r="AC37" s="391"/>
      <c r="AD37" s="391"/>
      <c r="AE37" s="391"/>
      <c r="AF37" s="391"/>
      <c r="AG37" s="391"/>
      <c r="AH37" s="391"/>
      <c r="AI37" s="391"/>
      <c r="AJ37" s="391"/>
      <c r="AK37" s="391"/>
      <c r="AL37" s="35"/>
      <c r="AM37" s="623"/>
      <c r="AN37" s="623"/>
      <c r="AO37" s="623"/>
      <c r="AP37" s="623">
        <v>1</v>
      </c>
      <c r="AQ37" s="391"/>
      <c r="AR37" s="394">
        <f>SUM('B. 20-21 Prov&amp;Priv Enrolment&lt;22'!$Z37:$AQ37)</f>
        <v>1</v>
      </c>
      <c r="AS37" s="717"/>
      <c r="AT37" s="391" t="str">
        <f t="shared" si="0"/>
        <v>Lake St. Martin</v>
      </c>
      <c r="AU37" s="391" t="str">
        <f>INDEX(TableAFNSchools[North/South of 53rd Parallel &amp; Fly-in = North],MATCH('B. 20-21 Prov&amp;Priv Enrolment&lt;22'!$A37,TableAFNSchools[Band No '#],0))</f>
        <v>South</v>
      </c>
      <c r="AV37" s="391" t="str">
        <f t="shared" si="1"/>
        <v>Brandon School Division</v>
      </c>
      <c r="AW37" s="391" t="s">
        <v>441</v>
      </c>
      <c r="AX37" s="391" t="str">
        <f>IF('B. 20-21 Prov&amp;Priv Enrolment&lt;22'!$G37="","None",IF('B. 20-21 Prov&amp;Priv Enrolment&lt;22'!$G37&lt;'B. 20-21 Prov&amp;Priv Enrolment&lt;22'!$Z37,"Half-day",IF(AND('B. 20-21 Prov&amp;Priv Enrolment&lt;22'!$G37&gt;0,'B. 20-21 Prov&amp;Priv Enrolment&lt;22'!$G37='B. 20-21 Prov&amp;Priv Enrolment&lt;22'!$Z37),"Full-day",0)))</f>
        <v>None</v>
      </c>
      <c r="AY37" s="392" t="str">
        <f>IF('B. 20-21 Prov&amp;Priv Enrolment&lt;22'!$J37="","None",IF('B. 20-21 Prov&amp;Priv Enrolment&lt;22'!$J37&lt;'B. 20-21 Prov&amp;Priv Enrolment&lt;22'!$AC37,"Half-day",IF(AND('B. 20-21 Prov&amp;Priv Enrolment&lt;22'!$J37&gt;0,'B. 20-21 Prov&amp;Priv Enrolment&lt;22'!$J37='B. 20-21 Prov&amp;Priv Enrolment&lt;22'!$AC37),"Full-day",0)))</f>
        <v>None</v>
      </c>
    </row>
    <row r="38" spans="1:51">
      <c r="A38" s="391">
        <v>286</v>
      </c>
      <c r="B38" s="391" t="s">
        <v>406</v>
      </c>
      <c r="C38" s="391">
        <v>3310</v>
      </c>
      <c r="D38" s="391" t="s">
        <v>968</v>
      </c>
      <c r="E38" s="391" t="s">
        <v>1355</v>
      </c>
      <c r="F38" t="s">
        <v>666</v>
      </c>
      <c r="G38" s="391"/>
      <c r="H38" s="391"/>
      <c r="I38" s="391"/>
      <c r="J38" s="391"/>
      <c r="K38" s="391"/>
      <c r="L38" s="391"/>
      <c r="M38" s="391"/>
      <c r="N38" s="391"/>
      <c r="O38" s="391"/>
      <c r="P38" s="391"/>
      <c r="Q38" s="391"/>
      <c r="R38" s="391"/>
      <c r="S38" s="35"/>
      <c r="T38" s="623"/>
      <c r="U38" s="623"/>
      <c r="V38" s="623"/>
      <c r="W38" s="623">
        <v>2</v>
      </c>
      <c r="X38" s="391"/>
      <c r="Y38" s="393">
        <f>SUM('B. 20-21 Prov&amp;Priv Enrolment&lt;22'!$G38:$X38)</f>
        <v>2</v>
      </c>
      <c r="Z38" s="391"/>
      <c r="AA38" s="391"/>
      <c r="AB38" s="391"/>
      <c r="AC38" s="391"/>
      <c r="AD38" s="391"/>
      <c r="AE38" s="391"/>
      <c r="AF38" s="391"/>
      <c r="AG38" s="391"/>
      <c r="AH38" s="391"/>
      <c r="AI38" s="391"/>
      <c r="AJ38" s="391"/>
      <c r="AK38" s="391"/>
      <c r="AL38" s="35"/>
      <c r="AM38" s="623"/>
      <c r="AN38" s="623"/>
      <c r="AO38" s="623"/>
      <c r="AP38" s="623">
        <v>2</v>
      </c>
      <c r="AQ38" s="391"/>
      <c r="AR38" s="394">
        <f>SUM('B. 20-21 Prov&amp;Priv Enrolment&lt;22'!$Z38:$AQ38)</f>
        <v>2</v>
      </c>
      <c r="AS38" s="717"/>
      <c r="AT38" s="391" t="str">
        <f t="shared" si="0"/>
        <v>Keeseekoowenin</v>
      </c>
      <c r="AU38" s="391" t="str">
        <f>INDEX(TableAFNSchools[North/South of 53rd Parallel &amp; Fly-in = North],MATCH('B. 20-21 Prov&amp;Priv Enrolment&lt;22'!$A38,TableAFNSchools[Band No '#],0))</f>
        <v>South</v>
      </c>
      <c r="AV38" s="391" t="str">
        <f t="shared" si="1"/>
        <v>Winnipeg School Division</v>
      </c>
      <c r="AW38" s="392" t="s">
        <v>446</v>
      </c>
      <c r="AX38" s="391" t="str">
        <f>IF('B. 20-21 Prov&amp;Priv Enrolment&lt;22'!$G38="","None",IF('B. 20-21 Prov&amp;Priv Enrolment&lt;22'!$G38&lt;'B. 20-21 Prov&amp;Priv Enrolment&lt;22'!$Z38,"Half-day",IF(AND('B. 20-21 Prov&amp;Priv Enrolment&lt;22'!$G38&gt;0,'B. 20-21 Prov&amp;Priv Enrolment&lt;22'!$G38='B. 20-21 Prov&amp;Priv Enrolment&lt;22'!$Z38),"Full-day",0)))</f>
        <v>None</v>
      </c>
      <c r="AY38" s="392" t="str">
        <f>IF('B. 20-21 Prov&amp;Priv Enrolment&lt;22'!$J38="","None",IF('B. 20-21 Prov&amp;Priv Enrolment&lt;22'!$J38&lt;'B. 20-21 Prov&amp;Priv Enrolment&lt;22'!$AC38,"Half-day",IF(AND('B. 20-21 Prov&amp;Priv Enrolment&lt;22'!$J38&gt;0,'B. 20-21 Prov&amp;Priv Enrolment&lt;22'!$J38='B. 20-21 Prov&amp;Priv Enrolment&lt;22'!$AC38),"Full-day",0)))</f>
        <v>None</v>
      </c>
    </row>
    <row r="39" spans="1:51">
      <c r="A39" s="391">
        <v>286</v>
      </c>
      <c r="B39" s="391" t="s">
        <v>406</v>
      </c>
      <c r="C39" s="391">
        <v>7870</v>
      </c>
      <c r="D39" s="391" t="s">
        <v>1368</v>
      </c>
      <c r="E39" s="391" t="s">
        <v>1369</v>
      </c>
      <c r="F39" t="s">
        <v>666</v>
      </c>
      <c r="G39" s="391"/>
      <c r="H39" s="391"/>
      <c r="I39" s="391"/>
      <c r="J39" s="391"/>
      <c r="K39" s="391"/>
      <c r="L39" s="391"/>
      <c r="M39" s="391"/>
      <c r="N39" s="391"/>
      <c r="O39" s="391"/>
      <c r="P39" s="391"/>
      <c r="Q39" s="391"/>
      <c r="R39" s="391"/>
      <c r="S39" s="35"/>
      <c r="T39" s="623">
        <v>14</v>
      </c>
      <c r="U39" s="623">
        <v>7</v>
      </c>
      <c r="V39" s="623">
        <v>6</v>
      </c>
      <c r="W39" s="623">
        <v>12</v>
      </c>
      <c r="X39" s="391"/>
      <c r="Y39" s="393">
        <f>SUM('B. 20-21 Prov&amp;Priv Enrolment&lt;22'!$G39:$X39)</f>
        <v>39</v>
      </c>
      <c r="Z39" s="391"/>
      <c r="AA39" s="391"/>
      <c r="AB39" s="391"/>
      <c r="AC39" s="391"/>
      <c r="AD39" s="391"/>
      <c r="AE39" s="391"/>
      <c r="AF39" s="391"/>
      <c r="AG39" s="391"/>
      <c r="AH39" s="391"/>
      <c r="AI39" s="391"/>
      <c r="AJ39" s="391"/>
      <c r="AK39" s="391"/>
      <c r="AL39" s="35"/>
      <c r="AM39" s="623">
        <v>14</v>
      </c>
      <c r="AN39" s="623">
        <v>7</v>
      </c>
      <c r="AO39" s="623">
        <v>6</v>
      </c>
      <c r="AP39" s="623">
        <v>12</v>
      </c>
      <c r="AQ39" s="391"/>
      <c r="AR39" s="394">
        <f>SUM('B. 20-21 Prov&amp;Priv Enrolment&lt;22'!$Z39:$AQ39)</f>
        <v>39</v>
      </c>
      <c r="AS39" s="717"/>
      <c r="AT39" s="391" t="str">
        <f t="shared" si="0"/>
        <v>Keeseekoowenin</v>
      </c>
      <c r="AU39" s="391" t="str">
        <f>INDEX(TableAFNSchools[North/South of 53rd Parallel &amp; Fly-in = North],MATCH('B. 20-21 Prov&amp;Priv Enrolment&lt;22'!$A39,TableAFNSchools[Band No '#],0))</f>
        <v>South</v>
      </c>
      <c r="AV39" s="391" t="str">
        <f t="shared" si="1"/>
        <v>PARK WEST SCHOOL DIVISION</v>
      </c>
      <c r="AW39" s="392" t="s">
        <v>446</v>
      </c>
      <c r="AX39" s="391" t="str">
        <f>IF('B. 20-21 Prov&amp;Priv Enrolment&lt;22'!$G39="","None",IF('B. 20-21 Prov&amp;Priv Enrolment&lt;22'!$G39&lt;'B. 20-21 Prov&amp;Priv Enrolment&lt;22'!$Z39,"Half-day",IF(AND('B. 20-21 Prov&amp;Priv Enrolment&lt;22'!$G39&gt;0,'B. 20-21 Prov&amp;Priv Enrolment&lt;22'!$G39='B. 20-21 Prov&amp;Priv Enrolment&lt;22'!$Z39),"Full-day",0)))</f>
        <v>None</v>
      </c>
      <c r="AY39" s="392" t="str">
        <f>IF('B. 20-21 Prov&amp;Priv Enrolment&lt;22'!$J39="","None",IF('B. 20-21 Prov&amp;Priv Enrolment&lt;22'!$J39&lt;'B. 20-21 Prov&amp;Priv Enrolment&lt;22'!$AC39,"Half-day",IF(AND('B. 20-21 Prov&amp;Priv Enrolment&lt;22'!$J39&gt;0,'B. 20-21 Prov&amp;Priv Enrolment&lt;22'!$J39='B. 20-21 Prov&amp;Priv Enrolment&lt;22'!$AC39),"Full-day",0)))</f>
        <v>None</v>
      </c>
    </row>
    <row r="40" spans="1:51">
      <c r="A40" s="391">
        <v>288</v>
      </c>
      <c r="B40" s="391" t="s">
        <v>398</v>
      </c>
      <c r="C40" s="391">
        <v>3333</v>
      </c>
      <c r="D40" s="391" t="s">
        <v>1370</v>
      </c>
      <c r="E40" s="391" t="s">
        <v>1371</v>
      </c>
      <c r="F40" t="s">
        <v>666</v>
      </c>
      <c r="G40" s="391"/>
      <c r="H40" s="391"/>
      <c r="I40" s="391"/>
      <c r="J40" s="391"/>
      <c r="K40" s="391"/>
      <c r="L40" s="391"/>
      <c r="M40" s="391"/>
      <c r="N40" s="391"/>
      <c r="O40" s="391"/>
      <c r="P40" s="391"/>
      <c r="Q40" s="391"/>
      <c r="R40" s="391">
        <v>1</v>
      </c>
      <c r="S40" s="35"/>
      <c r="T40" s="623"/>
      <c r="U40" s="623"/>
      <c r="V40" s="623"/>
      <c r="W40" s="623"/>
      <c r="X40" s="391"/>
      <c r="Y40" s="393">
        <f>SUM('B. 20-21 Prov&amp;Priv Enrolment&lt;22'!$G40:$X40)</f>
        <v>1</v>
      </c>
      <c r="Z40" s="391"/>
      <c r="AA40" s="391"/>
      <c r="AB40" s="391"/>
      <c r="AC40" s="391"/>
      <c r="AD40" s="391"/>
      <c r="AE40" s="391"/>
      <c r="AF40" s="391"/>
      <c r="AG40" s="391"/>
      <c r="AH40" s="391"/>
      <c r="AI40" s="391"/>
      <c r="AJ40" s="391"/>
      <c r="AK40" s="391">
        <v>1</v>
      </c>
      <c r="AL40" s="35"/>
      <c r="AM40" s="623"/>
      <c r="AN40" s="623"/>
      <c r="AO40" s="623"/>
      <c r="AP40" s="623"/>
      <c r="AQ40" s="391"/>
      <c r="AR40" s="394">
        <f>SUM('B. 20-21 Prov&amp;Priv Enrolment&lt;22'!$Z40:$AQ40)</f>
        <v>1</v>
      </c>
      <c r="AS40" s="717"/>
      <c r="AT40" s="391" t="str">
        <f t="shared" si="0"/>
        <v>Dakota Plains</v>
      </c>
      <c r="AU40" s="391" t="str">
        <f>INDEX(TableAFNSchools[North/South of 53rd Parallel &amp; Fly-in = North],MATCH('B. 20-21 Prov&amp;Priv Enrolment&lt;22'!$A40,TableAFNSchools[Band No '#],0))</f>
        <v>South</v>
      </c>
      <c r="AV40" s="391" t="str">
        <f t="shared" si="1"/>
        <v>PORTAGE LA PRAIRIE SCHOOL DIVISION #24</v>
      </c>
      <c r="AW40" t="s">
        <v>451</v>
      </c>
      <c r="AX40" s="391" t="str">
        <f>IF('B. 20-21 Prov&amp;Priv Enrolment&lt;22'!$G40="","None",IF('B. 20-21 Prov&amp;Priv Enrolment&lt;22'!$G40&lt;'B. 20-21 Prov&amp;Priv Enrolment&lt;22'!$Z40,"Half-day",IF(AND('B. 20-21 Prov&amp;Priv Enrolment&lt;22'!$G40&gt;0,'B. 20-21 Prov&amp;Priv Enrolment&lt;22'!$G40='B. 20-21 Prov&amp;Priv Enrolment&lt;22'!$Z40),"Full-day",0)))</f>
        <v>None</v>
      </c>
      <c r="AY40" s="392" t="str">
        <f>IF('B. 20-21 Prov&amp;Priv Enrolment&lt;22'!$J40="","None",IF('B. 20-21 Prov&amp;Priv Enrolment&lt;22'!$J40&lt;'B. 20-21 Prov&amp;Priv Enrolment&lt;22'!$AC40,"Half-day",IF(AND('B. 20-21 Prov&amp;Priv Enrolment&lt;22'!$J40&gt;0,'B. 20-21 Prov&amp;Priv Enrolment&lt;22'!$J40='B. 20-21 Prov&amp;Priv Enrolment&lt;22'!$AC40),"Full-day",0)))</f>
        <v>None</v>
      </c>
    </row>
    <row r="41" spans="1:51">
      <c r="A41" s="391">
        <v>288</v>
      </c>
      <c r="B41" s="391" t="s">
        <v>398</v>
      </c>
      <c r="C41" s="391">
        <v>3403</v>
      </c>
      <c r="D41" s="391" t="s">
        <v>1372</v>
      </c>
      <c r="E41" s="391" t="s">
        <v>1371</v>
      </c>
      <c r="F41" t="s">
        <v>666</v>
      </c>
      <c r="G41" s="391"/>
      <c r="H41" s="391"/>
      <c r="I41" s="391"/>
      <c r="J41" s="391"/>
      <c r="K41" s="391"/>
      <c r="L41" s="391"/>
      <c r="M41" s="391"/>
      <c r="N41" s="391"/>
      <c r="O41" s="391"/>
      <c r="P41" s="391"/>
      <c r="Q41" s="391"/>
      <c r="R41" s="391"/>
      <c r="S41" s="35"/>
      <c r="T41" s="623">
        <v>4</v>
      </c>
      <c r="U41" s="623">
        <v>2</v>
      </c>
      <c r="V41" s="623">
        <v>5</v>
      </c>
      <c r="W41" s="623">
        <v>1</v>
      </c>
      <c r="X41" s="391"/>
      <c r="Y41" s="393">
        <f>SUM('B. 20-21 Prov&amp;Priv Enrolment&lt;22'!$G41:$X41)</f>
        <v>12</v>
      </c>
      <c r="Z41" s="391"/>
      <c r="AA41" s="391"/>
      <c r="AB41" s="391"/>
      <c r="AC41" s="391"/>
      <c r="AD41" s="391"/>
      <c r="AE41" s="391"/>
      <c r="AF41" s="391"/>
      <c r="AG41" s="391"/>
      <c r="AH41" s="391"/>
      <c r="AI41" s="391"/>
      <c r="AJ41" s="391"/>
      <c r="AK41" s="391"/>
      <c r="AL41" s="35"/>
      <c r="AM41" s="623">
        <v>4</v>
      </c>
      <c r="AN41" s="623">
        <v>2</v>
      </c>
      <c r="AO41" s="623">
        <v>5</v>
      </c>
      <c r="AP41" s="623">
        <v>1</v>
      </c>
      <c r="AQ41" s="391"/>
      <c r="AR41" s="394">
        <f>SUM('B. 20-21 Prov&amp;Priv Enrolment&lt;22'!$Z41:$AQ41)</f>
        <v>12</v>
      </c>
      <c r="AS41" s="717"/>
      <c r="AT41" s="391" t="str">
        <f t="shared" si="0"/>
        <v>Dakota Plains</v>
      </c>
      <c r="AU41" s="391" t="str">
        <f>INDEX(TableAFNSchools[North/South of 53rd Parallel &amp; Fly-in = North],MATCH('B. 20-21 Prov&amp;Priv Enrolment&lt;22'!$A41,TableAFNSchools[Band No '#],0))</f>
        <v>South</v>
      </c>
      <c r="AV41" s="391" t="str">
        <f t="shared" si="1"/>
        <v>PORTAGE LA PRAIRIE SCHOOL DIVISION #24</v>
      </c>
      <c r="AW41" t="s">
        <v>451</v>
      </c>
      <c r="AX41" s="391" t="str">
        <f>IF('B. 20-21 Prov&amp;Priv Enrolment&lt;22'!$G41="","None",IF('B. 20-21 Prov&amp;Priv Enrolment&lt;22'!$G41&lt;'B. 20-21 Prov&amp;Priv Enrolment&lt;22'!$Z41,"Half-day",IF(AND('B. 20-21 Prov&amp;Priv Enrolment&lt;22'!$G41&gt;0,'B. 20-21 Prov&amp;Priv Enrolment&lt;22'!$G41='B. 20-21 Prov&amp;Priv Enrolment&lt;22'!$Z41),"Full-day",0)))</f>
        <v>None</v>
      </c>
      <c r="AY41" s="392" t="str">
        <f>IF('B. 20-21 Prov&amp;Priv Enrolment&lt;22'!$J41="","None",IF('B. 20-21 Prov&amp;Priv Enrolment&lt;22'!$J41&lt;'B. 20-21 Prov&amp;Priv Enrolment&lt;22'!$AC41,"Half-day",IF(AND('B. 20-21 Prov&amp;Priv Enrolment&lt;22'!$J41&gt;0,'B. 20-21 Prov&amp;Priv Enrolment&lt;22'!$J41='B. 20-21 Prov&amp;Priv Enrolment&lt;22'!$AC41),"Full-day",0)))</f>
        <v>None</v>
      </c>
    </row>
    <row r="42" spans="1:51">
      <c r="A42" s="391">
        <v>288</v>
      </c>
      <c r="B42" s="391" t="s">
        <v>398</v>
      </c>
      <c r="C42" s="391">
        <v>20891</v>
      </c>
      <c r="D42" s="391" t="s">
        <v>1373</v>
      </c>
      <c r="E42" s="391" t="s">
        <v>1373</v>
      </c>
      <c r="F42" t="s">
        <v>973</v>
      </c>
      <c r="G42" s="391"/>
      <c r="H42" s="391"/>
      <c r="I42" s="391"/>
      <c r="J42" s="391"/>
      <c r="K42" s="391"/>
      <c r="L42" s="391">
        <v>1</v>
      </c>
      <c r="M42" s="391"/>
      <c r="N42" s="391"/>
      <c r="O42" s="391"/>
      <c r="P42" s="391">
        <v>1</v>
      </c>
      <c r="Q42" s="391"/>
      <c r="R42" s="391"/>
      <c r="S42" s="35"/>
      <c r="T42" s="623">
        <v>2</v>
      </c>
      <c r="U42" s="623">
        <v>2</v>
      </c>
      <c r="V42" s="623"/>
      <c r="W42" s="623">
        <v>3</v>
      </c>
      <c r="X42" s="391"/>
      <c r="Y42" s="393">
        <f>SUM('B. 20-21 Prov&amp;Priv Enrolment&lt;22'!$G42:$X42)</f>
        <v>9</v>
      </c>
      <c r="Z42" s="391"/>
      <c r="AA42" s="391"/>
      <c r="AB42" s="391"/>
      <c r="AC42" s="391"/>
      <c r="AD42" s="391"/>
      <c r="AE42" s="391">
        <v>1</v>
      </c>
      <c r="AF42" s="391"/>
      <c r="AG42" s="391"/>
      <c r="AH42" s="391"/>
      <c r="AI42" s="391">
        <v>1</v>
      </c>
      <c r="AJ42" s="391"/>
      <c r="AK42" s="391"/>
      <c r="AL42" s="35"/>
      <c r="AM42" s="623">
        <v>2</v>
      </c>
      <c r="AN42" s="623">
        <v>2</v>
      </c>
      <c r="AO42" s="623"/>
      <c r="AP42" s="623">
        <v>3</v>
      </c>
      <c r="AQ42" s="391"/>
      <c r="AR42" s="394">
        <f>SUM('B. 20-21 Prov&amp;Priv Enrolment&lt;22'!$Z42:$AQ42)</f>
        <v>9</v>
      </c>
      <c r="AS42" s="717"/>
      <c r="AT42" s="391" t="str">
        <f t="shared" si="0"/>
        <v>Dakota Plains</v>
      </c>
      <c r="AU42" s="391" t="str">
        <f>INDEX(TableAFNSchools[North/South of 53rd Parallel &amp; Fly-in = North],MATCH('B. 20-21 Prov&amp;Priv Enrolment&lt;22'!$A42,TableAFNSchools[Band No '#],0))</f>
        <v>South</v>
      </c>
      <c r="AV42" s="391" t="str">
        <f t="shared" si="1"/>
        <v>Westpark School</v>
      </c>
      <c r="AW42" t="s">
        <v>451</v>
      </c>
      <c r="AX42" s="391" t="str">
        <f>IF('B. 20-21 Prov&amp;Priv Enrolment&lt;22'!$G42="","None",IF('B. 20-21 Prov&amp;Priv Enrolment&lt;22'!$G42&lt;'B. 20-21 Prov&amp;Priv Enrolment&lt;22'!$Z42,"Half-day",IF(AND('B. 20-21 Prov&amp;Priv Enrolment&lt;22'!$G42&gt;0,'B. 20-21 Prov&amp;Priv Enrolment&lt;22'!$G42='B. 20-21 Prov&amp;Priv Enrolment&lt;22'!$Z42),"Full-day",0)))</f>
        <v>None</v>
      </c>
      <c r="AY42" s="392" t="str">
        <f>IF('B. 20-21 Prov&amp;Priv Enrolment&lt;22'!$J42="","None",IF('B. 20-21 Prov&amp;Priv Enrolment&lt;22'!$J42&lt;'B. 20-21 Prov&amp;Priv Enrolment&lt;22'!$AC42,"Half-day",IF(AND('B. 20-21 Prov&amp;Priv Enrolment&lt;22'!$J42&gt;0,'B. 20-21 Prov&amp;Priv Enrolment&lt;22'!$J42='B. 20-21 Prov&amp;Priv Enrolment&lt;22'!$AC42),"Full-day",0)))</f>
        <v>None</v>
      </c>
    </row>
    <row r="43" spans="1:51">
      <c r="A43" s="391">
        <v>295</v>
      </c>
      <c r="B43" s="391" t="s">
        <v>320</v>
      </c>
      <c r="C43" s="391">
        <v>3283</v>
      </c>
      <c r="D43" s="391" t="s">
        <v>1374</v>
      </c>
      <c r="E43" s="391" t="s">
        <v>1371</v>
      </c>
      <c r="F43" t="s">
        <v>666</v>
      </c>
      <c r="G43" s="391"/>
      <c r="H43" s="391"/>
      <c r="I43" s="391"/>
      <c r="J43" s="391"/>
      <c r="K43" s="391"/>
      <c r="L43" s="391"/>
      <c r="M43" s="391">
        <v>1</v>
      </c>
      <c r="N43" s="391"/>
      <c r="O43" s="391"/>
      <c r="P43" s="391">
        <v>1</v>
      </c>
      <c r="Q43" s="391"/>
      <c r="R43" s="391">
        <v>1</v>
      </c>
      <c r="S43" s="35"/>
      <c r="T43" s="623"/>
      <c r="U43" s="623"/>
      <c r="V43" s="623"/>
      <c r="W43" s="623"/>
      <c r="X43" s="391"/>
      <c r="Y43" s="393">
        <f>SUM('B. 20-21 Prov&amp;Priv Enrolment&lt;22'!$G43:$X43)</f>
        <v>3</v>
      </c>
      <c r="Z43" s="391"/>
      <c r="AA43" s="391"/>
      <c r="AB43" s="391"/>
      <c r="AC43" s="391"/>
      <c r="AD43" s="391"/>
      <c r="AE43" s="391"/>
      <c r="AF43" s="391">
        <v>1</v>
      </c>
      <c r="AG43" s="391"/>
      <c r="AH43" s="391"/>
      <c r="AI43" s="391">
        <v>1</v>
      </c>
      <c r="AJ43" s="391"/>
      <c r="AK43" s="391">
        <v>1</v>
      </c>
      <c r="AL43" s="35"/>
      <c r="AM43" s="623"/>
      <c r="AN43" s="623"/>
      <c r="AO43" s="623"/>
      <c r="AP43" s="623"/>
      <c r="AQ43" s="391"/>
      <c r="AR43" s="394">
        <f>SUM('B. 20-21 Prov&amp;Priv Enrolment&lt;22'!$Z43:$AQ43)</f>
        <v>3</v>
      </c>
      <c r="AS43" s="717"/>
      <c r="AT43" s="391" t="str">
        <f t="shared" si="0"/>
        <v>Dakota Tipi</v>
      </c>
      <c r="AU43" s="391" t="str">
        <f>INDEX(TableAFNSchools[North/South of 53rd Parallel &amp; Fly-in = North],MATCH('B. 20-21 Prov&amp;Priv Enrolment&lt;22'!$A43,TableAFNSchools[Band No '#],0))</f>
        <v>South</v>
      </c>
      <c r="AV43" s="391" t="str">
        <f t="shared" si="1"/>
        <v>PORTAGE LA PRAIRIE SCHOOL DIVISION #24</v>
      </c>
      <c r="AW43" t="s">
        <v>451</v>
      </c>
      <c r="AX43" s="391" t="str">
        <f>IF('B. 20-21 Prov&amp;Priv Enrolment&lt;22'!$G43="","None",IF('B. 20-21 Prov&amp;Priv Enrolment&lt;22'!$G43&lt;'B. 20-21 Prov&amp;Priv Enrolment&lt;22'!$Z43,"Half-day",IF(AND('B. 20-21 Prov&amp;Priv Enrolment&lt;22'!$G43&gt;0,'B. 20-21 Prov&amp;Priv Enrolment&lt;22'!$G43='B. 20-21 Prov&amp;Priv Enrolment&lt;22'!$Z43),"Full-day",0)))</f>
        <v>None</v>
      </c>
      <c r="AY43" s="392" t="str">
        <f>IF('B. 20-21 Prov&amp;Priv Enrolment&lt;22'!$J43="","None",IF('B. 20-21 Prov&amp;Priv Enrolment&lt;22'!$J43&lt;'B. 20-21 Prov&amp;Priv Enrolment&lt;22'!$AC43,"Half-day",IF(AND('B. 20-21 Prov&amp;Priv Enrolment&lt;22'!$J43&gt;0,'B. 20-21 Prov&amp;Priv Enrolment&lt;22'!$J43='B. 20-21 Prov&amp;Priv Enrolment&lt;22'!$AC43),"Full-day",0)))</f>
        <v>None</v>
      </c>
    </row>
    <row r="44" spans="1:51">
      <c r="A44" s="391">
        <v>295</v>
      </c>
      <c r="B44" s="391" t="s">
        <v>320</v>
      </c>
      <c r="C44" s="391">
        <v>3302</v>
      </c>
      <c r="D44" s="391" t="s">
        <v>1375</v>
      </c>
      <c r="E44" s="391" t="s">
        <v>1371</v>
      </c>
      <c r="F44" t="s">
        <v>666</v>
      </c>
      <c r="G44" s="391"/>
      <c r="H44" s="391"/>
      <c r="I44" s="391"/>
      <c r="J44" s="391">
        <v>1</v>
      </c>
      <c r="K44" s="391"/>
      <c r="L44" s="391"/>
      <c r="M44" s="391">
        <v>2</v>
      </c>
      <c r="N44" s="391"/>
      <c r="O44" s="391"/>
      <c r="P44" s="391"/>
      <c r="Q44" s="391"/>
      <c r="R44" s="391"/>
      <c r="S44" s="35"/>
      <c r="T44" s="623"/>
      <c r="U44" s="623"/>
      <c r="V44" s="623"/>
      <c r="W44" s="623"/>
      <c r="X44" s="391"/>
      <c r="Y44" s="393">
        <f>SUM('B. 20-21 Prov&amp;Priv Enrolment&lt;22'!$G44:$X44)</f>
        <v>3</v>
      </c>
      <c r="Z44" s="391"/>
      <c r="AA44" s="391"/>
      <c r="AB44" s="391"/>
      <c r="AC44" s="391">
        <v>1</v>
      </c>
      <c r="AD44" s="391"/>
      <c r="AE44" s="391"/>
      <c r="AF44" s="391">
        <v>2</v>
      </c>
      <c r="AG44" s="391"/>
      <c r="AH44" s="391"/>
      <c r="AI44" s="391"/>
      <c r="AJ44" s="391"/>
      <c r="AK44" s="391"/>
      <c r="AL44" s="35"/>
      <c r="AM44" s="623"/>
      <c r="AN44" s="623"/>
      <c r="AO44" s="623"/>
      <c r="AP44" s="623"/>
      <c r="AQ44" s="391"/>
      <c r="AR44" s="394">
        <f>SUM('B. 20-21 Prov&amp;Priv Enrolment&lt;22'!$Z44:$AQ44)</f>
        <v>3</v>
      </c>
      <c r="AS44" s="717"/>
      <c r="AT44" s="391" t="str">
        <f t="shared" si="0"/>
        <v>Dakota Tipi</v>
      </c>
      <c r="AU44" s="391" t="str">
        <f>INDEX(TableAFNSchools[North/South of 53rd Parallel &amp; Fly-in = North],MATCH('B. 20-21 Prov&amp;Priv Enrolment&lt;22'!$A44,TableAFNSchools[Band No '#],0))</f>
        <v>South</v>
      </c>
      <c r="AV44" s="391" t="str">
        <f t="shared" si="1"/>
        <v>PORTAGE LA PRAIRIE SCHOOL DIVISION #24</v>
      </c>
      <c r="AW44" t="s">
        <v>451</v>
      </c>
      <c r="AX44" s="391" t="str">
        <f>IF('B. 20-21 Prov&amp;Priv Enrolment&lt;22'!$G44="","None",IF('B. 20-21 Prov&amp;Priv Enrolment&lt;22'!$G44&lt;'B. 20-21 Prov&amp;Priv Enrolment&lt;22'!$Z44,"Half-day",IF(AND('B. 20-21 Prov&amp;Priv Enrolment&lt;22'!$G44&gt;0,'B. 20-21 Prov&amp;Priv Enrolment&lt;22'!$G44='B. 20-21 Prov&amp;Priv Enrolment&lt;22'!$Z44),"Full-day",0)))</f>
        <v>None</v>
      </c>
      <c r="AY44" s="392" t="str">
        <f>IF('B. 20-21 Prov&amp;Priv Enrolment&lt;22'!$J44="","None",IF('B. 20-21 Prov&amp;Priv Enrolment&lt;22'!$J44&lt;'B. 20-21 Prov&amp;Priv Enrolment&lt;22'!$AC44,"Half-day",IF(AND('B. 20-21 Prov&amp;Priv Enrolment&lt;22'!$J44&gt;0,'B. 20-21 Prov&amp;Priv Enrolment&lt;22'!$J44='B. 20-21 Prov&amp;Priv Enrolment&lt;22'!$AC44),"Full-day",0)))</f>
        <v>Full-day</v>
      </c>
    </row>
    <row r="45" spans="1:51">
      <c r="A45" s="391">
        <v>295</v>
      </c>
      <c r="B45" s="391" t="s">
        <v>320</v>
      </c>
      <c r="C45" s="391">
        <v>3333</v>
      </c>
      <c r="D45" s="391" t="s">
        <v>1370</v>
      </c>
      <c r="E45" s="391" t="s">
        <v>1371</v>
      </c>
      <c r="F45" t="s">
        <v>666</v>
      </c>
      <c r="G45" s="391"/>
      <c r="H45" s="391"/>
      <c r="I45" s="391"/>
      <c r="J45" s="391"/>
      <c r="K45" s="391"/>
      <c r="L45" s="391">
        <v>1</v>
      </c>
      <c r="M45" s="391"/>
      <c r="N45" s="391"/>
      <c r="O45" s="391"/>
      <c r="P45" s="391"/>
      <c r="Q45" s="391"/>
      <c r="R45" s="391">
        <v>3</v>
      </c>
      <c r="S45" s="35"/>
      <c r="T45" s="623"/>
      <c r="U45" s="623"/>
      <c r="V45" s="623"/>
      <c r="W45" s="623"/>
      <c r="X45" s="391"/>
      <c r="Y45" s="393">
        <f>SUM('B. 20-21 Prov&amp;Priv Enrolment&lt;22'!$G45:$X45)</f>
        <v>4</v>
      </c>
      <c r="Z45" s="391"/>
      <c r="AA45" s="391"/>
      <c r="AB45" s="391"/>
      <c r="AC45" s="391"/>
      <c r="AD45" s="391"/>
      <c r="AE45" s="391">
        <v>1</v>
      </c>
      <c r="AF45" s="391"/>
      <c r="AG45" s="391"/>
      <c r="AH45" s="391"/>
      <c r="AI45" s="391"/>
      <c r="AJ45" s="391"/>
      <c r="AK45" s="391">
        <v>3</v>
      </c>
      <c r="AL45" s="35"/>
      <c r="AM45" s="623"/>
      <c r="AN45" s="623"/>
      <c r="AO45" s="623"/>
      <c r="AP45" s="623"/>
      <c r="AQ45" s="391"/>
      <c r="AR45" s="394">
        <f>SUM('B. 20-21 Prov&amp;Priv Enrolment&lt;22'!$Z45:$AQ45)</f>
        <v>4</v>
      </c>
      <c r="AS45" s="717"/>
      <c r="AT45" s="391" t="str">
        <f t="shared" si="0"/>
        <v>Dakota Tipi</v>
      </c>
      <c r="AU45" s="391" t="str">
        <f>INDEX(TableAFNSchools[North/South of 53rd Parallel &amp; Fly-in = North],MATCH('B. 20-21 Prov&amp;Priv Enrolment&lt;22'!$A45,TableAFNSchools[Band No '#],0))</f>
        <v>South</v>
      </c>
      <c r="AV45" s="391" t="str">
        <f t="shared" si="1"/>
        <v>PORTAGE LA PRAIRIE SCHOOL DIVISION #24</v>
      </c>
      <c r="AW45" t="s">
        <v>451</v>
      </c>
      <c r="AX45" s="391" t="str">
        <f>IF('B. 20-21 Prov&amp;Priv Enrolment&lt;22'!$G45="","None",IF('B. 20-21 Prov&amp;Priv Enrolment&lt;22'!$G45&lt;'B. 20-21 Prov&amp;Priv Enrolment&lt;22'!$Z45,"Half-day",IF(AND('B. 20-21 Prov&amp;Priv Enrolment&lt;22'!$G45&gt;0,'B. 20-21 Prov&amp;Priv Enrolment&lt;22'!$G45='B. 20-21 Prov&amp;Priv Enrolment&lt;22'!$Z45),"Full-day",0)))</f>
        <v>None</v>
      </c>
      <c r="AY45" s="392" t="str">
        <f>IF('B. 20-21 Prov&amp;Priv Enrolment&lt;22'!$J45="","None",IF('B. 20-21 Prov&amp;Priv Enrolment&lt;22'!$J45&lt;'B. 20-21 Prov&amp;Priv Enrolment&lt;22'!$AC45,"Half-day",IF(AND('B. 20-21 Prov&amp;Priv Enrolment&lt;22'!$J45&gt;0,'B. 20-21 Prov&amp;Priv Enrolment&lt;22'!$J45='B. 20-21 Prov&amp;Priv Enrolment&lt;22'!$AC45),"Full-day",0)))</f>
        <v>None</v>
      </c>
    </row>
    <row r="46" spans="1:51">
      <c r="A46" s="391">
        <v>295</v>
      </c>
      <c r="B46" s="391" t="s">
        <v>320</v>
      </c>
      <c r="C46" s="391">
        <v>3401</v>
      </c>
      <c r="D46" s="391" t="s">
        <v>1376</v>
      </c>
      <c r="E46" s="391" t="s">
        <v>1371</v>
      </c>
      <c r="F46" t="s">
        <v>666</v>
      </c>
      <c r="G46" s="391"/>
      <c r="H46" s="391"/>
      <c r="I46" s="391"/>
      <c r="J46" s="391">
        <v>3</v>
      </c>
      <c r="K46" s="391"/>
      <c r="L46" s="391">
        <v>2</v>
      </c>
      <c r="M46" s="391">
        <v>3</v>
      </c>
      <c r="N46" s="391">
        <v>3</v>
      </c>
      <c r="O46" s="391">
        <v>2</v>
      </c>
      <c r="P46" s="391">
        <v>1</v>
      </c>
      <c r="Q46" s="391">
        <v>2</v>
      </c>
      <c r="R46" s="391">
        <v>3</v>
      </c>
      <c r="S46" s="35"/>
      <c r="T46" s="623"/>
      <c r="U46" s="623"/>
      <c r="V46" s="623"/>
      <c r="W46" s="623"/>
      <c r="X46" s="391"/>
      <c r="Y46" s="393">
        <f>SUM('B. 20-21 Prov&amp;Priv Enrolment&lt;22'!$G46:$X46)</f>
        <v>19</v>
      </c>
      <c r="Z46" s="391"/>
      <c r="AA46" s="391"/>
      <c r="AB46" s="391"/>
      <c r="AC46" s="391">
        <v>3</v>
      </c>
      <c r="AD46" s="391"/>
      <c r="AE46" s="391">
        <v>2</v>
      </c>
      <c r="AF46" s="391">
        <v>3</v>
      </c>
      <c r="AG46" s="391">
        <v>3</v>
      </c>
      <c r="AH46" s="391">
        <v>2</v>
      </c>
      <c r="AI46" s="391">
        <v>1</v>
      </c>
      <c r="AJ46" s="391">
        <v>2</v>
      </c>
      <c r="AK46" s="391">
        <v>3</v>
      </c>
      <c r="AL46" s="35"/>
      <c r="AM46" s="623"/>
      <c r="AN46" s="623"/>
      <c r="AO46" s="623"/>
      <c r="AP46" s="623"/>
      <c r="AQ46" s="391"/>
      <c r="AR46" s="394">
        <f>SUM('B. 20-21 Prov&amp;Priv Enrolment&lt;22'!$Z46:$AQ46)</f>
        <v>19</v>
      </c>
      <c r="AS46" s="717"/>
      <c r="AT46" s="391" t="str">
        <f t="shared" si="0"/>
        <v>Dakota Tipi</v>
      </c>
      <c r="AU46" s="391" t="str">
        <f>INDEX(TableAFNSchools[North/South of 53rd Parallel &amp; Fly-in = North],MATCH('B. 20-21 Prov&amp;Priv Enrolment&lt;22'!$A46,TableAFNSchools[Band No '#],0))</f>
        <v>South</v>
      </c>
      <c r="AV46" s="391" t="str">
        <f t="shared" si="1"/>
        <v>PORTAGE LA PRAIRIE SCHOOL DIVISION #24</v>
      </c>
      <c r="AW46" t="s">
        <v>451</v>
      </c>
      <c r="AX46" s="391" t="str">
        <f>IF('B. 20-21 Prov&amp;Priv Enrolment&lt;22'!$G46="","None",IF('B. 20-21 Prov&amp;Priv Enrolment&lt;22'!$G46&lt;'B. 20-21 Prov&amp;Priv Enrolment&lt;22'!$Z46,"Half-day",IF(AND('B. 20-21 Prov&amp;Priv Enrolment&lt;22'!$G46&gt;0,'B. 20-21 Prov&amp;Priv Enrolment&lt;22'!$G46='B. 20-21 Prov&amp;Priv Enrolment&lt;22'!$Z46),"Full-day",0)))</f>
        <v>None</v>
      </c>
      <c r="AY46" s="392" t="str">
        <f>IF('B. 20-21 Prov&amp;Priv Enrolment&lt;22'!$J46="","None",IF('B. 20-21 Prov&amp;Priv Enrolment&lt;22'!$J46&lt;'B. 20-21 Prov&amp;Priv Enrolment&lt;22'!$AC46,"Half-day",IF(AND('B. 20-21 Prov&amp;Priv Enrolment&lt;22'!$J46&gt;0,'B. 20-21 Prov&amp;Priv Enrolment&lt;22'!$J46='B. 20-21 Prov&amp;Priv Enrolment&lt;22'!$AC46),"Full-day",0)))</f>
        <v>Full-day</v>
      </c>
    </row>
    <row r="47" spans="1:51">
      <c r="A47" s="391">
        <v>295</v>
      </c>
      <c r="B47" s="391" t="s">
        <v>320</v>
      </c>
      <c r="C47" s="391">
        <v>3403</v>
      </c>
      <c r="D47" s="391" t="s">
        <v>1372</v>
      </c>
      <c r="E47" s="391" t="s">
        <v>1371</v>
      </c>
      <c r="F47" t="s">
        <v>666</v>
      </c>
      <c r="G47" s="391"/>
      <c r="H47" s="391"/>
      <c r="I47" s="391"/>
      <c r="J47" s="391"/>
      <c r="K47" s="391"/>
      <c r="L47" s="391"/>
      <c r="M47" s="391"/>
      <c r="N47" s="391"/>
      <c r="O47" s="391"/>
      <c r="P47" s="391"/>
      <c r="Q47" s="391"/>
      <c r="R47" s="391"/>
      <c r="S47" s="35"/>
      <c r="T47" s="623">
        <v>9</v>
      </c>
      <c r="U47" s="623">
        <v>4</v>
      </c>
      <c r="V47" s="623">
        <v>3</v>
      </c>
      <c r="W47" s="623">
        <v>1</v>
      </c>
      <c r="X47" s="391"/>
      <c r="Y47" s="393">
        <f>SUM('B. 20-21 Prov&amp;Priv Enrolment&lt;22'!$G47:$X47)</f>
        <v>17</v>
      </c>
      <c r="Z47" s="391"/>
      <c r="AA47" s="391"/>
      <c r="AB47" s="391"/>
      <c r="AC47" s="391"/>
      <c r="AD47" s="391"/>
      <c r="AE47" s="391"/>
      <c r="AF47" s="391"/>
      <c r="AG47" s="391"/>
      <c r="AH47" s="391"/>
      <c r="AI47" s="391"/>
      <c r="AJ47" s="391"/>
      <c r="AK47" s="391"/>
      <c r="AL47" s="35"/>
      <c r="AM47" s="623">
        <v>9</v>
      </c>
      <c r="AN47" s="623">
        <v>4</v>
      </c>
      <c r="AO47" s="623">
        <v>3</v>
      </c>
      <c r="AP47" s="623">
        <v>1</v>
      </c>
      <c r="AQ47" s="391"/>
      <c r="AR47" s="394">
        <f>SUM('B. 20-21 Prov&amp;Priv Enrolment&lt;22'!$Z47:$AQ47)</f>
        <v>17</v>
      </c>
      <c r="AS47" s="717"/>
      <c r="AT47" s="391" t="str">
        <f t="shared" si="0"/>
        <v>Dakota Tipi</v>
      </c>
      <c r="AU47" s="391" t="str">
        <f>INDEX(TableAFNSchools[North/South of 53rd Parallel &amp; Fly-in = North],MATCH('B. 20-21 Prov&amp;Priv Enrolment&lt;22'!$A47,TableAFNSchools[Band No '#],0))</f>
        <v>South</v>
      </c>
      <c r="AV47" s="391" t="str">
        <f t="shared" si="1"/>
        <v>PORTAGE LA PRAIRIE SCHOOL DIVISION #24</v>
      </c>
      <c r="AW47" t="s">
        <v>451</v>
      </c>
      <c r="AX47" s="391" t="str">
        <f>IF('B. 20-21 Prov&amp;Priv Enrolment&lt;22'!$G47="","None",IF('B. 20-21 Prov&amp;Priv Enrolment&lt;22'!$G47&lt;'B. 20-21 Prov&amp;Priv Enrolment&lt;22'!$Z47,"Half-day",IF(AND('B. 20-21 Prov&amp;Priv Enrolment&lt;22'!$G47&gt;0,'B. 20-21 Prov&amp;Priv Enrolment&lt;22'!$G47='B. 20-21 Prov&amp;Priv Enrolment&lt;22'!$Z47),"Full-day",0)))</f>
        <v>None</v>
      </c>
      <c r="AY47" s="392" t="str">
        <f>IF('B. 20-21 Prov&amp;Priv Enrolment&lt;22'!$J47="","None",IF('B. 20-21 Prov&amp;Priv Enrolment&lt;22'!$J47&lt;'B. 20-21 Prov&amp;Priv Enrolment&lt;22'!$AC47,"Half-day",IF(AND('B. 20-21 Prov&amp;Priv Enrolment&lt;22'!$J47&gt;0,'B. 20-21 Prov&amp;Priv Enrolment&lt;22'!$J47='B. 20-21 Prov&amp;Priv Enrolment&lt;22'!$AC47),"Full-day",0)))</f>
        <v>None</v>
      </c>
    </row>
    <row r="48" spans="1:51">
      <c r="A48" s="391">
        <v>304</v>
      </c>
      <c r="B48" s="391" t="s">
        <v>641</v>
      </c>
      <c r="C48" s="391">
        <v>1758</v>
      </c>
      <c r="D48" s="392" t="s">
        <v>982</v>
      </c>
      <c r="E48" s="392" t="s">
        <v>1377</v>
      </c>
      <c r="F48" t="s">
        <v>666</v>
      </c>
      <c r="G48" s="391"/>
      <c r="H48" s="391"/>
      <c r="I48" s="391"/>
      <c r="J48" s="391"/>
      <c r="K48" s="391"/>
      <c r="L48" s="391"/>
      <c r="M48" s="391"/>
      <c r="N48" s="391"/>
      <c r="O48" s="391"/>
      <c r="P48" s="391"/>
      <c r="Q48" s="391"/>
      <c r="R48" s="391"/>
      <c r="S48" s="35"/>
      <c r="T48" s="623"/>
      <c r="U48" s="623">
        <v>2</v>
      </c>
      <c r="V48" s="623">
        <v>3</v>
      </c>
      <c r="W48" s="623"/>
      <c r="X48" s="391"/>
      <c r="Y48" s="393">
        <f>SUM('B. 20-21 Prov&amp;Priv Enrolment&lt;22'!$G48:$X48)</f>
        <v>5</v>
      </c>
      <c r="Z48" s="391"/>
      <c r="AA48" s="391"/>
      <c r="AB48" s="391"/>
      <c r="AC48" s="391"/>
      <c r="AD48" s="391"/>
      <c r="AE48" s="391"/>
      <c r="AF48" s="391"/>
      <c r="AG48" s="391"/>
      <c r="AH48" s="391"/>
      <c r="AI48" s="391"/>
      <c r="AJ48" s="391"/>
      <c r="AK48" s="391"/>
      <c r="AL48" s="35"/>
      <c r="AM48" s="623"/>
      <c r="AN48" s="623">
        <v>2</v>
      </c>
      <c r="AO48" s="623">
        <v>3</v>
      </c>
      <c r="AP48" s="623"/>
      <c r="AQ48" s="391"/>
      <c r="AR48" s="394">
        <f>SUM('B. 20-21 Prov&amp;Priv Enrolment&lt;22'!$Z48:$AQ48)</f>
        <v>5</v>
      </c>
      <c r="AS48" s="717"/>
      <c r="AT48" s="391" t="str">
        <f t="shared" si="0"/>
        <v>York Factory First Nation</v>
      </c>
      <c r="AU48" s="391" t="str">
        <f>INDEX(TableAFNSchools[North/South of 53rd Parallel &amp; Fly-in = North],MATCH('B. 20-21 Prov&amp;Priv Enrolment&lt;22'!$A48,TableAFNSchools[Band No '#],0))</f>
        <v>North</v>
      </c>
      <c r="AV48" s="391" t="str">
        <f t="shared" si="1"/>
        <v>FRONTIER SCHOOL DIVISION #48</v>
      </c>
      <c r="AW48" s="391" t="s">
        <v>441</v>
      </c>
      <c r="AX48" s="391" t="str">
        <f>IF('B. 20-21 Prov&amp;Priv Enrolment&lt;22'!$G48="","None",IF('B. 20-21 Prov&amp;Priv Enrolment&lt;22'!$G48&lt;'B. 20-21 Prov&amp;Priv Enrolment&lt;22'!$Z48,"Half-day",IF(AND('B. 20-21 Prov&amp;Priv Enrolment&lt;22'!$G48&gt;0,'B. 20-21 Prov&amp;Priv Enrolment&lt;22'!$G48='B. 20-21 Prov&amp;Priv Enrolment&lt;22'!$Z48),"Full-day",0)))</f>
        <v>None</v>
      </c>
      <c r="AY48" s="392" t="str">
        <f>IF('B. 20-21 Prov&amp;Priv Enrolment&lt;22'!$J48="","None",IF('B. 20-21 Prov&amp;Priv Enrolment&lt;22'!$J48&lt;'B. 20-21 Prov&amp;Priv Enrolment&lt;22'!$AC48,"Half-day",IF(AND('B. 20-21 Prov&amp;Priv Enrolment&lt;22'!$J48&gt;0,'B. 20-21 Prov&amp;Priv Enrolment&lt;22'!$J48='B. 20-21 Prov&amp;Priv Enrolment&lt;22'!$AC48),"Full-day",0)))</f>
        <v>None</v>
      </c>
    </row>
    <row r="49" spans="1:51">
      <c r="A49" s="391">
        <v>304</v>
      </c>
      <c r="B49" s="391" t="s">
        <v>641</v>
      </c>
      <c r="C49" s="391">
        <v>1761</v>
      </c>
      <c r="D49" s="391" t="s">
        <v>983</v>
      </c>
      <c r="E49" s="391" t="s">
        <v>1378</v>
      </c>
      <c r="F49" t="s">
        <v>666</v>
      </c>
      <c r="G49" s="391"/>
      <c r="H49" s="391"/>
      <c r="I49" s="391"/>
      <c r="J49" s="391"/>
      <c r="K49" s="391"/>
      <c r="L49" s="391"/>
      <c r="M49" s="391"/>
      <c r="N49" s="391"/>
      <c r="O49" s="391"/>
      <c r="P49" s="391"/>
      <c r="Q49" s="391"/>
      <c r="R49" s="391"/>
      <c r="S49" s="35"/>
      <c r="T49" s="623"/>
      <c r="U49" s="623"/>
      <c r="V49" s="623"/>
      <c r="W49" s="623">
        <v>1</v>
      </c>
      <c r="X49" s="391"/>
      <c r="Y49" s="393">
        <f>SUM('B. 20-21 Prov&amp;Priv Enrolment&lt;22'!$G49:$X49)</f>
        <v>1</v>
      </c>
      <c r="Z49" s="391"/>
      <c r="AA49" s="391"/>
      <c r="AB49" s="391"/>
      <c r="AC49" s="391"/>
      <c r="AD49" s="391"/>
      <c r="AE49" s="391"/>
      <c r="AF49" s="391"/>
      <c r="AG49" s="391"/>
      <c r="AH49" s="391"/>
      <c r="AI49" s="391"/>
      <c r="AJ49" s="391"/>
      <c r="AK49" s="391"/>
      <c r="AL49" s="35"/>
      <c r="AM49" s="623"/>
      <c r="AN49" s="623"/>
      <c r="AO49" s="623"/>
      <c r="AP49" s="623">
        <v>1</v>
      </c>
      <c r="AQ49" s="391"/>
      <c r="AR49" s="394">
        <f>SUM('B. 20-21 Prov&amp;Priv Enrolment&lt;22'!$Z49:$AQ49)</f>
        <v>1</v>
      </c>
      <c r="AS49" s="717"/>
      <c r="AT49" s="391" t="str">
        <f t="shared" si="0"/>
        <v>York Factory First Nation</v>
      </c>
      <c r="AU49" s="391" t="str">
        <f>INDEX(TableAFNSchools[North/South of 53rd Parallel &amp; Fly-in = North],MATCH('B. 20-21 Prov&amp;Priv Enrolment&lt;22'!$A49,TableAFNSchools[Band No '#],0))</f>
        <v>North</v>
      </c>
      <c r="AV49" s="391" t="str">
        <f t="shared" si="1"/>
        <v>Kelsey School Division</v>
      </c>
      <c r="AW49" s="391" t="s">
        <v>441</v>
      </c>
      <c r="AX49" s="391" t="str">
        <f>IF('B. 20-21 Prov&amp;Priv Enrolment&lt;22'!$G49="","None",IF('B. 20-21 Prov&amp;Priv Enrolment&lt;22'!$G49&lt;'B. 20-21 Prov&amp;Priv Enrolment&lt;22'!$Z49,"Half-day",IF(AND('B. 20-21 Prov&amp;Priv Enrolment&lt;22'!$G49&gt;0,'B. 20-21 Prov&amp;Priv Enrolment&lt;22'!$G49='B. 20-21 Prov&amp;Priv Enrolment&lt;22'!$Z49),"Full-day",0)))</f>
        <v>None</v>
      </c>
      <c r="AY49" s="392" t="str">
        <f>IF('B. 20-21 Prov&amp;Priv Enrolment&lt;22'!$J49="","None",IF('B. 20-21 Prov&amp;Priv Enrolment&lt;22'!$J49&lt;'B. 20-21 Prov&amp;Priv Enrolment&lt;22'!$AC49,"Half-day",IF(AND('B. 20-21 Prov&amp;Priv Enrolment&lt;22'!$J49&gt;0,'B. 20-21 Prov&amp;Priv Enrolment&lt;22'!$J49='B. 20-21 Prov&amp;Priv Enrolment&lt;22'!$AC49),"Full-day",0)))</f>
        <v>None</v>
      </c>
    </row>
    <row r="50" spans="1:51">
      <c r="A50" s="391">
        <v>304</v>
      </c>
      <c r="B50" s="391" t="s">
        <v>641</v>
      </c>
      <c r="C50" s="391">
        <v>1765</v>
      </c>
      <c r="D50" s="391" t="s">
        <v>984</v>
      </c>
      <c r="E50" s="392" t="s">
        <v>1377</v>
      </c>
      <c r="F50" t="s">
        <v>666</v>
      </c>
      <c r="G50" s="391"/>
      <c r="H50" s="391"/>
      <c r="I50" s="391"/>
      <c r="J50" s="391"/>
      <c r="K50" s="391"/>
      <c r="L50" s="391"/>
      <c r="M50" s="391"/>
      <c r="N50" s="391"/>
      <c r="O50" s="391"/>
      <c r="P50" s="391"/>
      <c r="Q50" s="391"/>
      <c r="R50" s="391"/>
      <c r="S50" s="35"/>
      <c r="T50" s="623"/>
      <c r="U50" s="623">
        <v>1</v>
      </c>
      <c r="V50" s="623"/>
      <c r="W50" s="623"/>
      <c r="X50" s="391"/>
      <c r="Y50" s="393">
        <f>SUM('B. 20-21 Prov&amp;Priv Enrolment&lt;22'!$G50:$X50)</f>
        <v>1</v>
      </c>
      <c r="Z50" s="391"/>
      <c r="AA50" s="391"/>
      <c r="AB50" s="391"/>
      <c r="AC50" s="391"/>
      <c r="AD50" s="391"/>
      <c r="AE50" s="391"/>
      <c r="AF50" s="391"/>
      <c r="AG50" s="391"/>
      <c r="AH50" s="391"/>
      <c r="AI50" s="391"/>
      <c r="AJ50" s="391"/>
      <c r="AK50" s="391"/>
      <c r="AL50" s="35"/>
      <c r="AM50" s="623"/>
      <c r="AN50" s="623">
        <v>1</v>
      </c>
      <c r="AO50" s="623"/>
      <c r="AP50" s="623"/>
      <c r="AQ50" s="391"/>
      <c r="AR50" s="394">
        <f>SUM('B. 20-21 Prov&amp;Priv Enrolment&lt;22'!$Z50:$AQ50)</f>
        <v>1</v>
      </c>
      <c r="AS50" s="717"/>
      <c r="AT50" s="391" t="str">
        <f t="shared" si="0"/>
        <v>York Factory First Nation</v>
      </c>
      <c r="AU50" s="391" t="str">
        <f>INDEX(TableAFNSchools[North/South of 53rd Parallel &amp; Fly-in = North],MATCH('B. 20-21 Prov&amp;Priv Enrolment&lt;22'!$A50,TableAFNSchools[Band No '#],0))</f>
        <v>North</v>
      </c>
      <c r="AV50" s="391" t="str">
        <f t="shared" si="1"/>
        <v>FRONTIER SCHOOL DIVISION #48</v>
      </c>
      <c r="AW50" s="391" t="s">
        <v>441</v>
      </c>
      <c r="AX50" s="391" t="str">
        <f>IF('B. 20-21 Prov&amp;Priv Enrolment&lt;22'!$G50="","None",IF('B. 20-21 Prov&amp;Priv Enrolment&lt;22'!$G50&lt;'B. 20-21 Prov&amp;Priv Enrolment&lt;22'!$Z50,"Half-day",IF(AND('B. 20-21 Prov&amp;Priv Enrolment&lt;22'!$G50&gt;0,'B. 20-21 Prov&amp;Priv Enrolment&lt;22'!$G50='B. 20-21 Prov&amp;Priv Enrolment&lt;22'!$Z50),"Full-day",0)))</f>
        <v>None</v>
      </c>
      <c r="AY50" s="392" t="str">
        <f>IF('B. 20-21 Prov&amp;Priv Enrolment&lt;22'!$J50="","None",IF('B. 20-21 Prov&amp;Priv Enrolment&lt;22'!$J50&lt;'B. 20-21 Prov&amp;Priv Enrolment&lt;22'!$AC50,"Half-day",IF(AND('B. 20-21 Prov&amp;Priv Enrolment&lt;22'!$J50&gt;0,'B. 20-21 Prov&amp;Priv Enrolment&lt;22'!$J50='B. 20-21 Prov&amp;Priv Enrolment&lt;22'!$AC50),"Full-day",0)))</f>
        <v>None</v>
      </c>
    </row>
    <row r="51" spans="1:51">
      <c r="A51" s="391">
        <v>304</v>
      </c>
      <c r="B51" s="391" t="s">
        <v>641</v>
      </c>
      <c r="C51" s="391">
        <v>3395</v>
      </c>
      <c r="D51" s="391" t="s">
        <v>970</v>
      </c>
      <c r="E51" s="391" t="s">
        <v>1355</v>
      </c>
      <c r="F51" t="s">
        <v>666</v>
      </c>
      <c r="G51" s="391"/>
      <c r="H51" s="391"/>
      <c r="I51" s="391"/>
      <c r="J51" s="391"/>
      <c r="K51" s="391"/>
      <c r="L51" s="391"/>
      <c r="M51" s="391"/>
      <c r="N51" s="391"/>
      <c r="O51" s="391"/>
      <c r="P51" s="391"/>
      <c r="Q51" s="391"/>
      <c r="R51" s="391"/>
      <c r="S51" s="35"/>
      <c r="T51" s="623"/>
      <c r="U51" s="623">
        <v>1</v>
      </c>
      <c r="V51" s="623">
        <v>1</v>
      </c>
      <c r="W51" s="623">
        <v>1</v>
      </c>
      <c r="X51" s="391"/>
      <c r="Y51" s="393">
        <f>SUM('B. 20-21 Prov&amp;Priv Enrolment&lt;22'!$G51:$X51)</f>
        <v>3</v>
      </c>
      <c r="Z51" s="391"/>
      <c r="AA51" s="391"/>
      <c r="AB51" s="391"/>
      <c r="AC51" s="391"/>
      <c r="AD51" s="391"/>
      <c r="AE51" s="391"/>
      <c r="AF51" s="391"/>
      <c r="AG51" s="391"/>
      <c r="AH51" s="391"/>
      <c r="AI51" s="391"/>
      <c r="AJ51" s="391"/>
      <c r="AK51" s="391"/>
      <c r="AL51" s="35"/>
      <c r="AM51" s="623"/>
      <c r="AN51" s="623">
        <v>1</v>
      </c>
      <c r="AO51" s="623">
        <v>1</v>
      </c>
      <c r="AP51" s="623">
        <v>1</v>
      </c>
      <c r="AQ51" s="391"/>
      <c r="AR51" s="394">
        <f>SUM('B. 20-21 Prov&amp;Priv Enrolment&lt;22'!$Z51:$AQ51)</f>
        <v>3</v>
      </c>
      <c r="AS51" s="717"/>
      <c r="AT51" s="391" t="str">
        <f t="shared" si="0"/>
        <v>York Factory First Nation</v>
      </c>
      <c r="AU51" s="391" t="str">
        <f>INDEX(TableAFNSchools[North/South of 53rd Parallel &amp; Fly-in = North],MATCH('B. 20-21 Prov&amp;Priv Enrolment&lt;22'!$A51,TableAFNSchools[Band No '#],0))</f>
        <v>North</v>
      </c>
      <c r="AV51" s="391" t="str">
        <f t="shared" si="1"/>
        <v>Winnipeg School Division</v>
      </c>
      <c r="AW51" s="391" t="s">
        <v>441</v>
      </c>
      <c r="AX51" s="391" t="str">
        <f>IF('B. 20-21 Prov&amp;Priv Enrolment&lt;22'!$G51="","None",IF('B. 20-21 Prov&amp;Priv Enrolment&lt;22'!$G51&lt;'B. 20-21 Prov&amp;Priv Enrolment&lt;22'!$Z51,"Half-day",IF(AND('B. 20-21 Prov&amp;Priv Enrolment&lt;22'!$G51&gt;0,'B. 20-21 Prov&amp;Priv Enrolment&lt;22'!$G51='B. 20-21 Prov&amp;Priv Enrolment&lt;22'!$Z51),"Full-day",0)))</f>
        <v>None</v>
      </c>
      <c r="AY51" s="392" t="str">
        <f>IF('B. 20-21 Prov&amp;Priv Enrolment&lt;22'!$J51="","None",IF('B. 20-21 Prov&amp;Priv Enrolment&lt;22'!$J51&lt;'B. 20-21 Prov&amp;Priv Enrolment&lt;22'!$AC51,"Half-day",IF(AND('B. 20-21 Prov&amp;Priv Enrolment&lt;22'!$J51&gt;0,'B. 20-21 Prov&amp;Priv Enrolment&lt;22'!$J51='B. 20-21 Prov&amp;Priv Enrolment&lt;22'!$AC51),"Full-day",0)))</f>
        <v>None</v>
      </c>
    </row>
    <row r="52" spans="1:51">
      <c r="A52" s="391">
        <v>304</v>
      </c>
      <c r="B52" s="391" t="s">
        <v>641</v>
      </c>
      <c r="C52" s="391">
        <v>3478</v>
      </c>
      <c r="D52" s="391" t="s">
        <v>985</v>
      </c>
      <c r="E52" s="391" t="s">
        <v>1379</v>
      </c>
      <c r="F52" t="s">
        <v>666</v>
      </c>
      <c r="G52" s="391"/>
      <c r="H52" s="391"/>
      <c r="I52" s="391"/>
      <c r="J52" s="391"/>
      <c r="K52" s="391"/>
      <c r="L52" s="391"/>
      <c r="M52" s="391"/>
      <c r="N52" s="391"/>
      <c r="O52" s="391"/>
      <c r="P52" s="391"/>
      <c r="Q52" s="391"/>
      <c r="R52" s="391"/>
      <c r="S52" s="35"/>
      <c r="T52" s="623"/>
      <c r="U52" s="623"/>
      <c r="V52" s="623">
        <v>1</v>
      </c>
      <c r="W52" s="623"/>
      <c r="X52" s="391"/>
      <c r="Y52" s="393">
        <f>SUM('B. 20-21 Prov&amp;Priv Enrolment&lt;22'!$G52:$X52)</f>
        <v>1</v>
      </c>
      <c r="Z52" s="391"/>
      <c r="AA52" s="391"/>
      <c r="AB52" s="391"/>
      <c r="AC52" s="391"/>
      <c r="AD52" s="391"/>
      <c r="AE52" s="391"/>
      <c r="AF52" s="391"/>
      <c r="AG52" s="391"/>
      <c r="AH52" s="391"/>
      <c r="AI52" s="391"/>
      <c r="AJ52" s="391"/>
      <c r="AK52" s="391"/>
      <c r="AL52" s="35"/>
      <c r="AM52" s="623"/>
      <c r="AN52" s="623"/>
      <c r="AO52" s="35">
        <v>1</v>
      </c>
      <c r="AP52" s="623"/>
      <c r="AQ52" s="391"/>
      <c r="AR52" s="394">
        <f>SUM('B. 20-21 Prov&amp;Priv Enrolment&lt;22'!$Z52:$AQ52)</f>
        <v>1</v>
      </c>
      <c r="AS52" s="717"/>
      <c r="AT52" s="391" t="str">
        <f t="shared" si="0"/>
        <v>York Factory First Nation</v>
      </c>
      <c r="AU52" s="391" t="str">
        <f>INDEX(TableAFNSchools[North/South of 53rd Parallel &amp; Fly-in = North],MATCH('B. 20-21 Prov&amp;Priv Enrolment&lt;22'!$A52,TableAFNSchools[Band No '#],0))</f>
        <v>North</v>
      </c>
      <c r="AV52" s="391" t="str">
        <f t="shared" si="1"/>
        <v>Pembina Trails School Division</v>
      </c>
      <c r="AW52" s="391" t="s">
        <v>441</v>
      </c>
      <c r="AX52" s="391" t="str">
        <f>IF('B. 20-21 Prov&amp;Priv Enrolment&lt;22'!$G52="","None",IF('B. 20-21 Prov&amp;Priv Enrolment&lt;22'!$G52&lt;'B. 20-21 Prov&amp;Priv Enrolment&lt;22'!$Z52,"Half-day",IF(AND('B. 20-21 Prov&amp;Priv Enrolment&lt;22'!$G52&gt;0,'B. 20-21 Prov&amp;Priv Enrolment&lt;22'!$G52='B. 20-21 Prov&amp;Priv Enrolment&lt;22'!$Z52),"Full-day",0)))</f>
        <v>None</v>
      </c>
      <c r="AY52" s="392" t="str">
        <f>IF('B. 20-21 Prov&amp;Priv Enrolment&lt;22'!$J52="","None",IF('B. 20-21 Prov&amp;Priv Enrolment&lt;22'!$J52&lt;'B. 20-21 Prov&amp;Priv Enrolment&lt;22'!$AC52,"Half-day",IF(AND('B. 20-21 Prov&amp;Priv Enrolment&lt;22'!$J52&gt;0,'B. 20-21 Prov&amp;Priv Enrolment&lt;22'!$J52='B. 20-21 Prov&amp;Priv Enrolment&lt;22'!$AC52),"Full-day",0)))</f>
        <v>None</v>
      </c>
    </row>
    <row r="53" spans="1:51">
      <c r="A53" s="391">
        <v>304</v>
      </c>
      <c r="B53" s="391" t="s">
        <v>641</v>
      </c>
      <c r="C53" s="391">
        <v>3548</v>
      </c>
      <c r="D53" s="391" t="s">
        <v>986</v>
      </c>
      <c r="E53" s="391" t="s">
        <v>1380</v>
      </c>
      <c r="F53" t="s">
        <v>666</v>
      </c>
      <c r="G53" s="391"/>
      <c r="H53" s="391"/>
      <c r="I53" s="391"/>
      <c r="J53" s="391"/>
      <c r="K53" s="391"/>
      <c r="L53" s="391"/>
      <c r="M53" s="391"/>
      <c r="N53" s="391"/>
      <c r="O53" s="391"/>
      <c r="P53" s="391"/>
      <c r="Q53" s="391"/>
      <c r="R53" s="391"/>
      <c r="S53" s="35"/>
      <c r="T53" s="623"/>
      <c r="U53" s="623">
        <v>3</v>
      </c>
      <c r="V53" s="623">
        <v>4</v>
      </c>
      <c r="W53" s="623">
        <v>6</v>
      </c>
      <c r="X53" s="391"/>
      <c r="Y53" s="393">
        <f>SUM('B. 20-21 Prov&amp;Priv Enrolment&lt;22'!$G53:$X53)</f>
        <v>13</v>
      </c>
      <c r="Z53" s="391"/>
      <c r="AA53" s="391"/>
      <c r="AB53" s="391"/>
      <c r="AC53" s="391"/>
      <c r="AD53" s="391"/>
      <c r="AE53" s="391"/>
      <c r="AF53" s="391"/>
      <c r="AG53" s="391"/>
      <c r="AH53" s="391"/>
      <c r="AI53" s="391"/>
      <c r="AJ53" s="391"/>
      <c r="AK53" s="391"/>
      <c r="AL53" s="35"/>
      <c r="AM53" s="623"/>
      <c r="AN53" s="623">
        <v>3</v>
      </c>
      <c r="AO53" s="623">
        <v>4</v>
      </c>
      <c r="AP53" s="623">
        <v>6</v>
      </c>
      <c r="AQ53" s="391"/>
      <c r="AR53" s="394">
        <f>SUM('B. 20-21 Prov&amp;Priv Enrolment&lt;22'!$Z53:$AQ53)</f>
        <v>13</v>
      </c>
      <c r="AS53" s="717"/>
      <c r="AT53" s="391" t="str">
        <f t="shared" si="0"/>
        <v>York Factory First Nation</v>
      </c>
      <c r="AU53" s="391" t="str">
        <f>INDEX(TableAFNSchools[North/South of 53rd Parallel &amp; Fly-in = North],MATCH('B. 20-21 Prov&amp;Priv Enrolment&lt;22'!$A53,TableAFNSchools[Band No '#],0))</f>
        <v>North</v>
      </c>
      <c r="AV53" s="391" t="str">
        <f t="shared" si="1"/>
        <v>School District of Mystery Lake</v>
      </c>
      <c r="AW53" s="391" t="s">
        <v>441</v>
      </c>
      <c r="AX53" s="391" t="str">
        <f>IF('B. 20-21 Prov&amp;Priv Enrolment&lt;22'!$G53="","None",IF('B. 20-21 Prov&amp;Priv Enrolment&lt;22'!$G53&lt;'B. 20-21 Prov&amp;Priv Enrolment&lt;22'!$Z53,"Half-day",IF(AND('B. 20-21 Prov&amp;Priv Enrolment&lt;22'!$G53&gt;0,'B. 20-21 Prov&amp;Priv Enrolment&lt;22'!$G53='B. 20-21 Prov&amp;Priv Enrolment&lt;22'!$Z53),"Full-day",0)))</f>
        <v>None</v>
      </c>
      <c r="AY53" s="392" t="str">
        <f>IF('B. 20-21 Prov&amp;Priv Enrolment&lt;22'!$J53="","None",IF('B. 20-21 Prov&amp;Priv Enrolment&lt;22'!$J53&lt;'B. 20-21 Prov&amp;Priv Enrolment&lt;22'!$AC53,"Half-day",IF(AND('B. 20-21 Prov&amp;Priv Enrolment&lt;22'!$J53&gt;0,'B. 20-21 Prov&amp;Priv Enrolment&lt;22'!$J53='B. 20-21 Prov&amp;Priv Enrolment&lt;22'!$AC53),"Full-day",0)))</f>
        <v>None</v>
      </c>
    </row>
    <row r="54" spans="1:51">
      <c r="A54" s="391">
        <v>305</v>
      </c>
      <c r="B54" s="391" t="s">
        <v>404</v>
      </c>
      <c r="C54" s="391">
        <v>3563</v>
      </c>
      <c r="D54" s="391" t="s">
        <v>1095</v>
      </c>
      <c r="E54" s="391" t="s">
        <v>1377</v>
      </c>
      <c r="F54" t="s">
        <v>666</v>
      </c>
      <c r="G54" s="391"/>
      <c r="H54" s="391">
        <v>1</v>
      </c>
      <c r="I54" s="391"/>
      <c r="J54" s="391"/>
      <c r="K54" s="391"/>
      <c r="L54" s="391"/>
      <c r="M54" s="391">
        <v>1</v>
      </c>
      <c r="N54" s="391">
        <v>1</v>
      </c>
      <c r="O54" s="391"/>
      <c r="P54" s="391">
        <v>1</v>
      </c>
      <c r="Q54" s="391"/>
      <c r="R54" s="391">
        <v>2</v>
      </c>
      <c r="S54" s="35"/>
      <c r="T54" s="623">
        <v>7</v>
      </c>
      <c r="U54" s="623">
        <v>4</v>
      </c>
      <c r="V54" s="623"/>
      <c r="W54" s="623">
        <v>1</v>
      </c>
      <c r="X54" s="391"/>
      <c r="Y54" s="393">
        <f>SUM('B. 20-21 Prov&amp;Priv Enrolment&lt;22'!$G54:$X54)</f>
        <v>18</v>
      </c>
      <c r="Z54" s="391"/>
      <c r="AA54" s="391">
        <v>1</v>
      </c>
      <c r="AB54" s="391"/>
      <c r="AC54" s="391"/>
      <c r="AD54" s="391"/>
      <c r="AE54" s="391"/>
      <c r="AF54" s="391">
        <v>1</v>
      </c>
      <c r="AG54" s="391">
        <v>1</v>
      </c>
      <c r="AH54" s="391"/>
      <c r="AI54" s="391">
        <v>1</v>
      </c>
      <c r="AJ54" s="391"/>
      <c r="AK54" s="391">
        <v>2</v>
      </c>
      <c r="AL54" s="35"/>
      <c r="AM54" s="623">
        <v>7</v>
      </c>
      <c r="AN54" s="623">
        <v>4</v>
      </c>
      <c r="AO54" s="623"/>
      <c r="AP54" s="623">
        <v>1</v>
      </c>
      <c r="AQ54" s="391"/>
      <c r="AR54" s="394">
        <f>SUM('B. 20-21 Prov&amp;Priv Enrolment&lt;22'!$Z54:$AQ54)</f>
        <v>18</v>
      </c>
      <c r="AS54" s="717"/>
      <c r="AT54" s="391" t="str">
        <f t="shared" si="0"/>
        <v>Fox Lake</v>
      </c>
      <c r="AU54" s="391" t="str">
        <f>INDEX(TableAFNSchools[North/South of 53rd Parallel &amp; Fly-in = North],MATCH('B. 20-21 Prov&amp;Priv Enrolment&lt;22'!$A54,TableAFNSchools[Band No '#],0))</f>
        <v>North</v>
      </c>
      <c r="AV54" s="391" t="str">
        <f t="shared" si="1"/>
        <v>FRONTIER SCHOOL DIVISION #48</v>
      </c>
      <c r="AW54" s="391" t="s">
        <v>441</v>
      </c>
      <c r="AX54" s="391" t="str">
        <f>IF('B. 20-21 Prov&amp;Priv Enrolment&lt;22'!$G54="","None",IF('B. 20-21 Prov&amp;Priv Enrolment&lt;22'!$G54&lt;'B. 20-21 Prov&amp;Priv Enrolment&lt;22'!$Z54,"Half-day",IF(AND('B. 20-21 Prov&amp;Priv Enrolment&lt;22'!$G54&gt;0,'B. 20-21 Prov&amp;Priv Enrolment&lt;22'!$G54='B. 20-21 Prov&amp;Priv Enrolment&lt;22'!$Z54),"Full-day",0)))</f>
        <v>None</v>
      </c>
      <c r="AY54" s="392" t="str">
        <f>IF('B. 20-21 Prov&amp;Priv Enrolment&lt;22'!$J54="","None",IF('B. 20-21 Prov&amp;Priv Enrolment&lt;22'!$J54&lt;'B. 20-21 Prov&amp;Priv Enrolment&lt;22'!$AC54,"Half-day",IF(AND('B. 20-21 Prov&amp;Priv Enrolment&lt;22'!$J54&gt;0,'B. 20-21 Prov&amp;Priv Enrolment&lt;22'!$J54='B. 20-21 Prov&amp;Priv Enrolment&lt;22'!$AC54),"Full-day",0)))</f>
        <v>None</v>
      </c>
    </row>
    <row r="55" spans="1:51">
      <c r="A55" s="1506"/>
      <c r="B55" s="1506"/>
      <c r="C55" s="1506"/>
      <c r="D55" s="1506"/>
      <c r="E55" s="1506"/>
      <c r="F55" s="1506"/>
      <c r="G55" s="1506">
        <f>SUM(G8:G54)</f>
        <v>0</v>
      </c>
      <c r="H55" s="1506"/>
      <c r="I55" s="1506"/>
      <c r="J55" s="1506">
        <f t="shared" ref="J55:Z55" si="2">SUM(J8:J54)</f>
        <v>5</v>
      </c>
      <c r="K55" s="1506">
        <f t="shared" si="2"/>
        <v>2</v>
      </c>
      <c r="L55" s="1506">
        <f t="shared" si="2"/>
        <v>6</v>
      </c>
      <c r="M55" s="1506">
        <f t="shared" si="2"/>
        <v>9</v>
      </c>
      <c r="N55" s="1506">
        <f t="shared" si="2"/>
        <v>6</v>
      </c>
      <c r="O55" s="1506">
        <f t="shared" si="2"/>
        <v>3</v>
      </c>
      <c r="P55" s="1506">
        <f t="shared" si="2"/>
        <v>6</v>
      </c>
      <c r="Q55" s="1506">
        <f t="shared" si="2"/>
        <v>5</v>
      </c>
      <c r="R55" s="1506">
        <f t="shared" si="2"/>
        <v>16</v>
      </c>
      <c r="S55" s="1506">
        <f t="shared" si="2"/>
        <v>0</v>
      </c>
      <c r="T55" s="1506">
        <f t="shared" si="2"/>
        <v>52</v>
      </c>
      <c r="U55" s="1506">
        <f t="shared" si="2"/>
        <v>75</v>
      </c>
      <c r="V55" s="1506">
        <f t="shared" si="2"/>
        <v>52</v>
      </c>
      <c r="W55" s="1506">
        <f t="shared" si="2"/>
        <v>70</v>
      </c>
      <c r="X55" s="1506">
        <f t="shared" si="2"/>
        <v>0</v>
      </c>
      <c r="Y55" s="1506">
        <f t="shared" si="2"/>
        <v>310</v>
      </c>
      <c r="Z55" s="1506">
        <f t="shared" si="2"/>
        <v>0</v>
      </c>
      <c r="AA55" s="1506"/>
      <c r="AB55" s="1506"/>
      <c r="AC55" s="1506">
        <f t="shared" ref="AC55:AR55" si="3">SUM(AC8:AC54)</f>
        <v>5</v>
      </c>
      <c r="AD55" s="1506">
        <f t="shared" si="3"/>
        <v>2</v>
      </c>
      <c r="AE55" s="1506">
        <f t="shared" si="3"/>
        <v>6</v>
      </c>
      <c r="AF55" s="1506">
        <f t="shared" si="3"/>
        <v>9</v>
      </c>
      <c r="AG55" s="1506">
        <f t="shared" si="3"/>
        <v>6</v>
      </c>
      <c r="AH55" s="1506">
        <f t="shared" si="3"/>
        <v>3</v>
      </c>
      <c r="AI55" s="1506">
        <f t="shared" si="3"/>
        <v>6</v>
      </c>
      <c r="AJ55" s="1506">
        <f t="shared" si="3"/>
        <v>5</v>
      </c>
      <c r="AK55" s="1506">
        <f t="shared" si="3"/>
        <v>16</v>
      </c>
      <c r="AL55" s="1506">
        <f t="shared" si="3"/>
        <v>0</v>
      </c>
      <c r="AM55" s="1506">
        <f t="shared" si="3"/>
        <v>52</v>
      </c>
      <c r="AN55" s="1506">
        <f t="shared" si="3"/>
        <v>75</v>
      </c>
      <c r="AO55" s="1506">
        <f t="shared" si="3"/>
        <v>52</v>
      </c>
      <c r="AP55" s="1506">
        <f t="shared" si="3"/>
        <v>70</v>
      </c>
      <c r="AQ55" s="1506">
        <f t="shared" si="3"/>
        <v>0</v>
      </c>
      <c r="AR55" s="1506">
        <f t="shared" si="3"/>
        <v>310</v>
      </c>
      <c r="AS55" s="1506"/>
      <c r="AT55" s="1506"/>
      <c r="AU55" s="1506"/>
      <c r="AV55" s="1310"/>
      <c r="AW55" s="1506"/>
      <c r="AX55" s="1506"/>
      <c r="AY55" s="1506"/>
    </row>
    <row r="78" ht="11.2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467" spans="1:55" s="624" customFormat="1" hidden="1">
      <c r="A467" s="624" t="s">
        <v>1381</v>
      </c>
    </row>
    <row r="468" spans="1:55" s="624" customFormat="1" ht="65.25" hidden="1" customHeight="1">
      <c r="A468" s="625" t="s">
        <v>739</v>
      </c>
      <c r="B468" s="625" t="s">
        <v>481</v>
      </c>
      <c r="C468" s="625" t="s">
        <v>375</v>
      </c>
      <c r="D468" s="625" t="s">
        <v>331</v>
      </c>
      <c r="E468" s="625" t="s">
        <v>1316</v>
      </c>
      <c r="F468" s="626" t="s">
        <v>338</v>
      </c>
      <c r="G468" s="1311" t="s">
        <v>1276</v>
      </c>
      <c r="H468" s="1311" t="s">
        <v>1277</v>
      </c>
      <c r="I468" s="1311" t="s">
        <v>1320</v>
      </c>
      <c r="J468" s="1311" t="s">
        <v>1321</v>
      </c>
      <c r="K468" s="1311" t="s">
        <v>1322</v>
      </c>
      <c r="L468" s="1311" t="s">
        <v>1323</v>
      </c>
      <c r="M468" s="1311" t="s">
        <v>1324</v>
      </c>
      <c r="N468" s="1311" t="s">
        <v>1325</v>
      </c>
      <c r="O468" s="1311" t="s">
        <v>1326</v>
      </c>
      <c r="P468" s="1311" t="s">
        <v>1327</v>
      </c>
      <c r="Q468" s="1311" t="s">
        <v>1328</v>
      </c>
      <c r="R468" s="1311" t="s">
        <v>1329</v>
      </c>
      <c r="S468" s="1311" t="s">
        <v>1330</v>
      </c>
      <c r="T468" s="1311" t="s">
        <v>1331</v>
      </c>
      <c r="U468" s="1311" t="s">
        <v>1332</v>
      </c>
      <c r="V468" s="1311" t="s">
        <v>1333</v>
      </c>
      <c r="W468" s="1312" t="s">
        <v>1334</v>
      </c>
      <c r="X468" s="1313" t="s">
        <v>1278</v>
      </c>
      <c r="Y468" s="1313" t="s">
        <v>1279</v>
      </c>
      <c r="Z468" s="1313" t="s">
        <v>1335</v>
      </c>
      <c r="AA468" s="1313" t="s">
        <v>1336</v>
      </c>
      <c r="AB468" s="1313" t="s">
        <v>1337</v>
      </c>
      <c r="AC468" s="1313" t="s">
        <v>1338</v>
      </c>
      <c r="AD468" s="1313" t="s">
        <v>1339</v>
      </c>
      <c r="AE468" s="1313" t="s">
        <v>1340</v>
      </c>
      <c r="AF468" s="1313" t="s">
        <v>1341</v>
      </c>
      <c r="AG468" s="1313" t="s">
        <v>1342</v>
      </c>
      <c r="AH468" s="1313" t="s">
        <v>1343</v>
      </c>
      <c r="AI468" s="1313" t="s">
        <v>1344</v>
      </c>
      <c r="AJ468" s="1313" t="s">
        <v>1345</v>
      </c>
      <c r="AK468" s="1313" t="s">
        <v>1346</v>
      </c>
      <c r="AL468" s="1313" t="s">
        <v>1347</v>
      </c>
      <c r="AM468" s="1313" t="s">
        <v>1348</v>
      </c>
      <c r="AN468" s="1312" t="s">
        <v>1349</v>
      </c>
      <c r="AO468" s="1314" t="s">
        <v>1382</v>
      </c>
      <c r="AP468" s="1313" t="s">
        <v>1350</v>
      </c>
      <c r="AQ468" s="625" t="s">
        <v>1188</v>
      </c>
      <c r="AR468" s="1313" t="s">
        <v>832</v>
      </c>
      <c r="AS468" s="1313" t="s">
        <v>1351</v>
      </c>
      <c r="AT468" s="1313" t="s">
        <v>1186</v>
      </c>
      <c r="AU468" s="1313" t="s">
        <v>1187</v>
      </c>
      <c r="AV468" s="627" t="s">
        <v>1216</v>
      </c>
      <c r="AW468" s="627" t="s">
        <v>1217</v>
      </c>
      <c r="AX468" s="627" t="s">
        <v>1218</v>
      </c>
      <c r="AY468" s="627" t="s">
        <v>1219</v>
      </c>
      <c r="AZ468" s="628" t="s">
        <v>1220</v>
      </c>
      <c r="BA468" s="628" t="s">
        <v>1221</v>
      </c>
      <c r="BB468" s="628" t="s">
        <v>1222</v>
      </c>
      <c r="BC468" s="628" t="s">
        <v>1223</v>
      </c>
    </row>
    <row r="469" spans="1:55" s="624" customFormat="1" hidden="1">
      <c r="A469" s="629">
        <v>261</v>
      </c>
      <c r="B469" s="629" t="s">
        <v>733</v>
      </c>
      <c r="C469" s="629" t="s">
        <v>1383</v>
      </c>
      <c r="D469" s="629" t="s">
        <v>1354</v>
      </c>
      <c r="E469" s="629" t="s">
        <v>1353</v>
      </c>
      <c r="F469" s="624" t="s">
        <v>1013</v>
      </c>
      <c r="G469" s="629"/>
      <c r="H469" s="629"/>
      <c r="I469" s="629">
        <v>1</v>
      </c>
      <c r="J469" s="629"/>
      <c r="K469" s="629">
        <v>1</v>
      </c>
      <c r="L469" s="629"/>
      <c r="M469" s="629">
        <v>1</v>
      </c>
      <c r="N469" s="629"/>
      <c r="O469" s="629"/>
      <c r="P469" s="629">
        <v>1</v>
      </c>
      <c r="Q469" s="630"/>
      <c r="R469" s="631"/>
      <c r="S469" s="631"/>
      <c r="T469" s="631"/>
      <c r="U469" s="631"/>
      <c r="V469" s="629"/>
      <c r="W469" s="632">
        <f>SUM(BProvPrivEnrlmtUnder2233[[#This Row],[K4]:[Ungradable Second FTE]])</f>
        <v>4</v>
      </c>
      <c r="X469" s="629"/>
      <c r="Y469" s="629"/>
      <c r="Z469" s="629">
        <v>1</v>
      </c>
      <c r="AA469" s="629"/>
      <c r="AB469" s="629">
        <v>1</v>
      </c>
      <c r="AC469" s="629"/>
      <c r="AD469" s="629">
        <v>1</v>
      </c>
      <c r="AE469" s="629"/>
      <c r="AF469" s="629"/>
      <c r="AG469" s="629">
        <v>1</v>
      </c>
      <c r="AH469" s="630"/>
      <c r="AI469" s="631"/>
      <c r="AJ469" s="631"/>
      <c r="AK469" s="631"/>
      <c r="AL469" s="631"/>
      <c r="AM469" s="629"/>
      <c r="AN469" s="633">
        <f>SUM(BProvPrivEnrlmtUnder2233[[#This Row],[K4 H]:[Ungradable Second H]])</f>
        <v>4</v>
      </c>
      <c r="AO469" s="634">
        <v>4</v>
      </c>
      <c r="AP469" s="629" t="s">
        <v>400</v>
      </c>
      <c r="AQ469" s="629" t="str">
        <f>INDEX(TableAFNSchools[North/South of 53rd Parallel &amp; Fly-in = North],MATCH(BProvPrivEnrlmtUnder2233[[#This Row],[Band No.]],TableAFNSchools[Band No '#],0))</f>
        <v>South</v>
      </c>
      <c r="AR469" s="629" t="s">
        <v>1384</v>
      </c>
      <c r="AS469" s="629" t="s">
        <v>443</v>
      </c>
      <c r="AT469" s="629" t="str">
        <f>IF(BProvPrivEnrlmtUnder2233[[#This Row],[K4]]="","None",IF(BProvPrivEnrlmtUnder2233[[#This Row],[K4]]&lt;BProvPrivEnrlmtUnder2233[[#This Row],[K4 H]],"Half-day",IF(AND(BProvPrivEnrlmtUnder2233[[#This Row],[K4]]&gt;0,BProvPrivEnrlmtUnder2233[[#This Row],[K4]]=BProvPrivEnrlmtUnder2233[[#This Row],[K4 H]]),"Full-day",0)))</f>
        <v>None</v>
      </c>
      <c r="AU469" s="629" t="str">
        <f>IF(BProvPrivEnrlmtUnder2233[[#This Row],[K5]]="","None",IF(BProvPrivEnrlmtUnder2233[[#This Row],[K5]]&lt;BProvPrivEnrlmtUnder2233[[#This Row],[K5 H]],"Half-day",IF(AND(BProvPrivEnrlmtUnder2233[[#This Row],[K5]]&gt;0,BProvPrivEnrlmtUnder2233[[#This Row],[K5]]=BProvPrivEnrlmtUnder2233[[#This Row],[K5 H]]),"Full-day",0)))</f>
        <v>None</v>
      </c>
      <c r="AV469" s="635">
        <f t="array" ref="AV469">IFERROR(INDEX($J$755:$J$818,MATCH(BProvPrivEnrlmtUnder2233[[#This Row],[Band No.]]&amp;BProvPrivEnrlmtUnder2233[[#This Row],[School No.]],$A$755:$A$818&amp;$E$755:$E$818,0)),0)</f>
        <v>0</v>
      </c>
      <c r="AW469" s="635">
        <f t="array" ref="AW469">IFERROR(INDEX($M$755:$M$818,MATCH(BProvPrivEnrlmtUnder2233[[#This Row],[Band No.]]&amp;BProvPrivEnrlmtUnder2233[[#This Row],[School No.]],$A$755:$A$818&amp;$E$755:$E$818,0)),0)</f>
        <v>0</v>
      </c>
      <c r="AX469" s="635">
        <f t="array" ref="AX469">IFERROR(INDEX($I$755:$I$818,MATCH(BProvPrivEnrlmtUnder2233[[#This Row],[Band No.]]&amp;BProvPrivEnrlmtUnder2233[[#This Row],[School No.]],$A$755:$A$818&amp;$E$755:$E$818,0)),0)</f>
        <v>0</v>
      </c>
      <c r="AY469" s="635">
        <f t="array" ref="AY469">IFERROR(INDEX($K$755:$K$818,MATCH(BProvPrivEnrlmtUnder2233[[#This Row],[Band No.]]&amp;BProvPrivEnrlmtUnder2233[[#This Row],[School No.]],$A$755:$A$818&amp;$E$755:$E$818,0)),0)</f>
        <v>0</v>
      </c>
      <c r="AZ469" s="635">
        <f t="array" ref="AZ469">IFERROR(INDEX($O$755:$O$818,MATCH(BProvPrivEnrlmtUnder2233[[#This Row],[Band No.]]&amp;BProvPrivEnrlmtUnder2233[[#This Row],[School No.]],$A$755:$A$818&amp;$E$755:$E$818,0)),0)</f>
        <v>0</v>
      </c>
      <c r="BA469" s="635">
        <f t="array" ref="BA469">IFERROR(INDEX($R$755:$R$818,MATCH(BProvPrivEnrlmtUnder2233[[#This Row],[Band No.]]&amp;BProvPrivEnrlmtUnder2233[[#This Row],[School No.]],$A$755:$A$818&amp;$E$755:$E$818,0)),0)</f>
        <v>0</v>
      </c>
      <c r="BB469" s="635">
        <f t="array" ref="BB469">IFERROR(INDEX($N$755:$N$818,MATCH(BProvPrivEnrlmtUnder2233[[#This Row],[Band No.]]&amp;BProvPrivEnrlmtUnder2233[[#This Row],[School No.]],$A$755:$A$818&amp;$E$755:$E$818,0)),0)</f>
        <v>0</v>
      </c>
      <c r="BC469" s="635">
        <f t="array" ref="BC469">IFERROR(INDEX($P$755:$P$818,MATCH(BProvPrivEnrlmtUnder2233[[#This Row],[Band No.]]&amp;BProvPrivEnrlmtUnder2233[[#This Row],[School No.]],$A$755:$A$818&amp;$E$755:$E$818,0)),0)</f>
        <v>0</v>
      </c>
    </row>
    <row r="470" spans="1:55" s="624" customFormat="1" hidden="1">
      <c r="A470" s="629">
        <v>261</v>
      </c>
      <c r="B470" s="629" t="s">
        <v>733</v>
      </c>
      <c r="C470" s="629" t="s">
        <v>1014</v>
      </c>
      <c r="D470" s="629" t="s">
        <v>1356</v>
      </c>
      <c r="E470" s="629" t="s">
        <v>1353</v>
      </c>
      <c r="F470" s="624" t="s">
        <v>1013</v>
      </c>
      <c r="G470" s="629"/>
      <c r="H470" s="629"/>
      <c r="I470" s="629"/>
      <c r="J470" s="629"/>
      <c r="K470" s="629"/>
      <c r="L470" s="629"/>
      <c r="M470" s="629"/>
      <c r="N470" s="629"/>
      <c r="O470" s="629"/>
      <c r="P470" s="629"/>
      <c r="Q470" s="630"/>
      <c r="R470" s="631"/>
      <c r="S470" s="631">
        <v>12</v>
      </c>
      <c r="T470" s="631">
        <v>8</v>
      </c>
      <c r="U470" s="631">
        <v>7</v>
      </c>
      <c r="V470" s="629"/>
      <c r="W470" s="632">
        <f>SUM(BProvPrivEnrlmtUnder2233[[#This Row],[K4]:[Ungradable Second FTE]])</f>
        <v>27</v>
      </c>
      <c r="X470" s="629"/>
      <c r="Y470" s="629"/>
      <c r="Z470" s="629"/>
      <c r="AA470" s="629"/>
      <c r="AB470" s="629"/>
      <c r="AC470" s="629"/>
      <c r="AD470" s="629"/>
      <c r="AE470" s="629"/>
      <c r="AF470" s="629"/>
      <c r="AG470" s="629"/>
      <c r="AH470" s="630"/>
      <c r="AI470" s="631"/>
      <c r="AJ470" s="631">
        <v>12</v>
      </c>
      <c r="AK470" s="631">
        <v>8</v>
      </c>
      <c r="AL470" s="631">
        <v>7</v>
      </c>
      <c r="AM470" s="629"/>
      <c r="AN470" s="633">
        <f>SUM(BProvPrivEnrlmtUnder2233[[#This Row],[K4 H]:[Ungradable Second H]])</f>
        <v>27</v>
      </c>
      <c r="AO470" s="634">
        <v>17</v>
      </c>
      <c r="AP470" s="629" t="s">
        <v>400</v>
      </c>
      <c r="AQ470" s="629" t="str">
        <f>INDEX(TableAFNSchools[North/South of 53rd Parallel &amp; Fly-in = North],MATCH(BProvPrivEnrlmtUnder2233[[#This Row],[Band No.]],TableAFNSchools[Band No '#],0))</f>
        <v>South</v>
      </c>
      <c r="AR470" s="629" t="s">
        <v>1384</v>
      </c>
      <c r="AS470" s="629" t="s">
        <v>443</v>
      </c>
      <c r="AT470" s="629" t="str">
        <f>IF(BProvPrivEnrlmtUnder2233[[#This Row],[K4]]="","None",IF(BProvPrivEnrlmtUnder2233[[#This Row],[K4]]&lt;BProvPrivEnrlmtUnder2233[[#This Row],[K4 H]],"Half-day",IF(AND(BProvPrivEnrlmtUnder2233[[#This Row],[K4]]&gt;0,BProvPrivEnrlmtUnder2233[[#This Row],[K4]]=BProvPrivEnrlmtUnder2233[[#This Row],[K4 H]]),"Full-day",0)))</f>
        <v>None</v>
      </c>
      <c r="AU470" s="629" t="str">
        <f>IF(BProvPrivEnrlmtUnder2233[[#This Row],[K5]]="","None",IF(BProvPrivEnrlmtUnder2233[[#This Row],[K5]]&lt;BProvPrivEnrlmtUnder2233[[#This Row],[K5 H]],"Half-day",IF(AND(BProvPrivEnrlmtUnder2233[[#This Row],[K5]]&gt;0,BProvPrivEnrlmtUnder2233[[#This Row],[K5]]=BProvPrivEnrlmtUnder2233[[#This Row],[K5 H]]),"Full-day",0)))</f>
        <v>None</v>
      </c>
      <c r="AV470" s="635">
        <f t="array" ref="AV470">IFERROR(INDEX($J$755:$J$818,MATCH(BProvPrivEnrlmtUnder2233[[#This Row],[Band No.]]&amp;BProvPrivEnrlmtUnder2233[[#This Row],[School No.]],$A$755:$A$818&amp;$E$755:$E$818,0)),0)</f>
        <v>0</v>
      </c>
      <c r="AW470" s="635">
        <f t="array" ref="AW470">IFERROR(INDEX($M$755:$M$818,MATCH(BProvPrivEnrlmtUnder2233[[#This Row],[Band No.]]&amp;BProvPrivEnrlmtUnder2233[[#This Row],[School No.]],$A$755:$A$818&amp;$E$755:$E$818,0)),0)</f>
        <v>0</v>
      </c>
      <c r="AX470" s="624">
        <f t="array" ref="AX470">IFERROR(INDEX($I$755:$I$818,MATCH(BProvPrivEnrlmtUnder2233[[#This Row],[Band No.]]&amp;BProvPrivEnrlmtUnder2233[[#This Row],[School No.]],$A$755:$A$818&amp;$E$755:$E$818,0)),0)</f>
        <v>0</v>
      </c>
      <c r="AY470" s="636">
        <f t="array" ref="AY470">IFERROR(INDEX($K$755:$K$818,MATCH(BProvPrivEnrlmtUnder2233[[#This Row],[Band No.]]&amp;BProvPrivEnrlmtUnder2233[[#This Row],[School No.]],$A$755:$A$818&amp;$E$755:$E$818,0)),0)</f>
        <v>0</v>
      </c>
      <c r="AZ470" s="637">
        <f t="array" ref="AZ470">IFERROR(INDEX($O$755:$O$818,MATCH(BProvPrivEnrlmtUnder2233[[#This Row],[Band No.]]&amp;BProvPrivEnrlmtUnder2233[[#This Row],[School No.]],$A$755:$A$818&amp;$E$755:$E$818,0)),0)</f>
        <v>0</v>
      </c>
      <c r="BA470" s="637">
        <f t="array" ref="BA470">IFERROR(INDEX($R$755:$R$818,MATCH(BProvPrivEnrlmtUnder2233[[#This Row],[Band No.]]&amp;BProvPrivEnrlmtUnder2233[[#This Row],[School No.]],$A$755:$A$818&amp;$E$755:$E$818,0)),0)</f>
        <v>0</v>
      </c>
      <c r="BB470" s="637">
        <f t="array" ref="BB470">IFERROR(INDEX($N$755:$N$818,MATCH(BProvPrivEnrlmtUnder2233[[#This Row],[Band No.]]&amp;BProvPrivEnrlmtUnder2233[[#This Row],[School No.]],$A$755:$A$818&amp;$E$755:$E$818,0)),0)</f>
        <v>0</v>
      </c>
      <c r="BC470" s="637">
        <f t="array" ref="BC470">IFERROR(INDEX($P$755:$P$818,MATCH(BProvPrivEnrlmtUnder2233[[#This Row],[Band No.]]&amp;BProvPrivEnrlmtUnder2233[[#This Row],[School No.]],$A$755:$A$818&amp;$E$755:$E$818,0)),0)</f>
        <v>0</v>
      </c>
    </row>
    <row r="471" spans="1:55" s="624" customFormat="1" hidden="1">
      <c r="A471" s="629">
        <v>261</v>
      </c>
      <c r="B471" s="629" t="s">
        <v>733</v>
      </c>
      <c r="C471" s="629" t="s">
        <v>1385</v>
      </c>
      <c r="D471" s="629" t="s">
        <v>1357</v>
      </c>
      <c r="E471" s="629" t="s">
        <v>1353</v>
      </c>
      <c r="F471" s="624" t="s">
        <v>1013</v>
      </c>
      <c r="G471" s="629"/>
      <c r="H471" s="629">
        <v>1</v>
      </c>
      <c r="I471" s="629"/>
      <c r="J471" s="629">
        <v>1</v>
      </c>
      <c r="K471" s="629">
        <v>2</v>
      </c>
      <c r="L471" s="629"/>
      <c r="M471" s="629">
        <v>2</v>
      </c>
      <c r="N471" s="629">
        <v>1</v>
      </c>
      <c r="O471" s="629">
        <v>4</v>
      </c>
      <c r="P471" s="629">
        <v>4</v>
      </c>
      <c r="Q471" s="630"/>
      <c r="R471" s="631">
        <v>3</v>
      </c>
      <c r="S471" s="631"/>
      <c r="T471" s="631"/>
      <c r="U471" s="631"/>
      <c r="V471" s="629"/>
      <c r="W471" s="632">
        <f>SUM(BProvPrivEnrlmtUnder2233[[#This Row],[K4]:[Ungradable Second FTE]])</f>
        <v>18</v>
      </c>
      <c r="X471" s="629"/>
      <c r="Y471" s="629">
        <v>1</v>
      </c>
      <c r="Z471" s="629"/>
      <c r="AA471" s="629">
        <v>1</v>
      </c>
      <c r="AB471" s="629">
        <v>2</v>
      </c>
      <c r="AC471" s="629"/>
      <c r="AD471" s="629">
        <v>2</v>
      </c>
      <c r="AE471" s="629">
        <v>1</v>
      </c>
      <c r="AF471" s="629">
        <v>4</v>
      </c>
      <c r="AG471" s="629">
        <v>4</v>
      </c>
      <c r="AH471" s="630"/>
      <c r="AI471" s="631">
        <v>3</v>
      </c>
      <c r="AJ471" s="631"/>
      <c r="AK471" s="631"/>
      <c r="AL471" s="631"/>
      <c r="AM471" s="629"/>
      <c r="AN471" s="633">
        <f>SUM(BProvPrivEnrlmtUnder2233[[#This Row],[K4 H]:[Ungradable Second H]])</f>
        <v>18</v>
      </c>
      <c r="AO471" s="634">
        <v>18</v>
      </c>
      <c r="AP471" s="629" t="s">
        <v>400</v>
      </c>
      <c r="AQ471" s="629" t="str">
        <f>INDEX(TableAFNSchools[North/South of 53rd Parallel &amp; Fly-in = North],MATCH(BProvPrivEnrlmtUnder2233[[#This Row],[Band No.]],TableAFNSchools[Band No '#],0))</f>
        <v>South</v>
      </c>
      <c r="AR471" s="629" t="s">
        <v>1384</v>
      </c>
      <c r="AS471" s="629" t="s">
        <v>443</v>
      </c>
      <c r="AT471" s="629" t="str">
        <f>IF(BProvPrivEnrlmtUnder2233[[#This Row],[K4]]="","None",IF(BProvPrivEnrlmtUnder2233[[#This Row],[K4]]&lt;BProvPrivEnrlmtUnder2233[[#This Row],[K4 H]],"Half-day",IF(AND(BProvPrivEnrlmtUnder2233[[#This Row],[K4]]&gt;0,BProvPrivEnrlmtUnder2233[[#This Row],[K4]]=BProvPrivEnrlmtUnder2233[[#This Row],[K4 H]]),"Full-day",0)))</f>
        <v>None</v>
      </c>
      <c r="AU471" s="629" t="str">
        <f>IF(BProvPrivEnrlmtUnder2233[[#This Row],[K5]]="","None",IF(BProvPrivEnrlmtUnder2233[[#This Row],[K5]]&lt;BProvPrivEnrlmtUnder2233[[#This Row],[K5 H]],"Half-day",IF(AND(BProvPrivEnrlmtUnder2233[[#This Row],[K5]]&gt;0,BProvPrivEnrlmtUnder2233[[#This Row],[K5]]=BProvPrivEnrlmtUnder2233[[#This Row],[K5 H]]),"Full-day",0)))</f>
        <v>Full-day</v>
      </c>
      <c r="AV471" s="635">
        <f t="array" ref="AV471">IFERROR(INDEX($J$755:$J$818,MATCH(BProvPrivEnrlmtUnder2233[[#This Row],[Band No.]]&amp;BProvPrivEnrlmtUnder2233[[#This Row],[School No.]],$A$755:$A$818&amp;$E$755:$E$818,0)),0)</f>
        <v>0</v>
      </c>
      <c r="AW471" s="635">
        <f t="array" ref="AW471">IFERROR(INDEX($M$755:$M$818,MATCH(BProvPrivEnrlmtUnder2233[[#This Row],[Band No.]]&amp;BProvPrivEnrlmtUnder2233[[#This Row],[School No.]],$A$755:$A$818&amp;$E$755:$E$818,0)),0)</f>
        <v>5</v>
      </c>
      <c r="AX471" s="624">
        <f t="array" ref="AX471">IFERROR(INDEX($I$755:$I$818,MATCH(BProvPrivEnrlmtUnder2233[[#This Row],[Band No.]]&amp;BProvPrivEnrlmtUnder2233[[#This Row],[School No.]],$A$755:$A$818&amp;$E$755:$E$818,0)),0)</f>
        <v>0</v>
      </c>
      <c r="AY471" s="635">
        <f t="array" ref="AY471">IFERROR(INDEX($K$755:$K$818,MATCH(BProvPrivEnrlmtUnder2233[[#This Row],[Band No.]]&amp;BProvPrivEnrlmtUnder2233[[#This Row],[School No.]],$A$755:$A$818&amp;$E$755:$E$818,0)),0)</f>
        <v>0</v>
      </c>
      <c r="AZ471" s="637">
        <f t="array" ref="AZ471">IFERROR(INDEX($O$755:$O$818,MATCH(BProvPrivEnrlmtUnder2233[[#This Row],[Band No.]]&amp;BProvPrivEnrlmtUnder2233[[#This Row],[School No.]],$A$755:$A$818&amp;$E$755:$E$818,0)),0)</f>
        <v>0</v>
      </c>
      <c r="BA471" s="637">
        <f t="array" ref="BA471">IFERROR(INDEX($R$755:$R$818,MATCH(BProvPrivEnrlmtUnder2233[[#This Row],[Band No.]]&amp;BProvPrivEnrlmtUnder2233[[#This Row],[School No.]],$A$755:$A$818&amp;$E$755:$E$818,0)),0)</f>
        <v>0</v>
      </c>
      <c r="BB471" s="637">
        <f t="array" ref="BB471">IFERROR(INDEX($N$755:$N$818,MATCH(BProvPrivEnrlmtUnder2233[[#This Row],[Band No.]]&amp;BProvPrivEnrlmtUnder2233[[#This Row],[School No.]],$A$755:$A$818&amp;$E$755:$E$818,0)),0)</f>
        <v>0</v>
      </c>
      <c r="BC471" s="637">
        <f t="array" ref="BC471">IFERROR(INDEX($P$755:$P$818,MATCH(BProvPrivEnrlmtUnder2233[[#This Row],[Band No.]]&amp;BProvPrivEnrlmtUnder2233[[#This Row],[School No.]],$A$755:$A$818&amp;$E$755:$E$818,0)),0)</f>
        <v>0</v>
      </c>
    </row>
    <row r="472" spans="1:55" s="624" customFormat="1" hidden="1">
      <c r="A472" s="629">
        <v>267</v>
      </c>
      <c r="B472" s="629" t="s">
        <v>392</v>
      </c>
      <c r="C472" s="629" t="s">
        <v>1017</v>
      </c>
      <c r="D472" s="629" t="s">
        <v>1386</v>
      </c>
      <c r="E472" s="629" t="s">
        <v>1387</v>
      </c>
      <c r="F472" s="624" t="s">
        <v>1013</v>
      </c>
      <c r="G472" s="629"/>
      <c r="H472" s="629"/>
      <c r="I472" s="629"/>
      <c r="J472" s="629"/>
      <c r="K472" s="629"/>
      <c r="L472" s="629"/>
      <c r="M472" s="629"/>
      <c r="N472" s="629"/>
      <c r="O472" s="629"/>
      <c r="P472" s="629"/>
      <c r="Q472" s="630"/>
      <c r="R472" s="631"/>
      <c r="S472" s="631"/>
      <c r="T472" s="631">
        <v>1</v>
      </c>
      <c r="U472" s="631"/>
      <c r="V472" s="629"/>
      <c r="W472" s="632">
        <f>SUM(BProvPrivEnrlmtUnder2233[[#This Row],[K4]:[Ungradable Second FTE]])</f>
        <v>1</v>
      </c>
      <c r="X472" s="629"/>
      <c r="Y472" s="629"/>
      <c r="Z472" s="629"/>
      <c r="AA472" s="629"/>
      <c r="AB472" s="629"/>
      <c r="AC472" s="629"/>
      <c r="AD472" s="629"/>
      <c r="AE472" s="629"/>
      <c r="AF472" s="629"/>
      <c r="AG472" s="629"/>
      <c r="AH472" s="630"/>
      <c r="AI472" s="631"/>
      <c r="AJ472" s="631"/>
      <c r="AK472" s="631">
        <v>1</v>
      </c>
      <c r="AL472" s="631"/>
      <c r="AM472" s="629"/>
      <c r="AN472" s="633">
        <f>SUM(BProvPrivEnrlmtUnder2233[[#This Row],[K4 H]:[Ungradable Second H]])</f>
        <v>1</v>
      </c>
      <c r="AO472" s="634">
        <v>1</v>
      </c>
      <c r="AP472" s="629" t="s">
        <v>392</v>
      </c>
      <c r="AQ472" s="629" t="str">
        <f>INDEX(TableAFNSchools[North/South of 53rd Parallel &amp; Fly-in = North],MATCH(BProvPrivEnrlmtUnder2233[[#This Row],[Band No.]],TableAFNSchools[Band No '#],0))</f>
        <v>North</v>
      </c>
      <c r="AR472" s="629" t="s">
        <v>866</v>
      </c>
      <c r="AS472" s="629" t="s">
        <v>441</v>
      </c>
      <c r="AT472" s="629" t="str">
        <f>IF(BProvPrivEnrlmtUnder2233[[#This Row],[K4]]="","None",IF(BProvPrivEnrlmtUnder2233[[#This Row],[K4]]&lt;BProvPrivEnrlmtUnder2233[[#This Row],[K4 H]],"Half-day",IF(AND(BProvPrivEnrlmtUnder2233[[#This Row],[K4]]&gt;0,BProvPrivEnrlmtUnder2233[[#This Row],[K4]]=BProvPrivEnrlmtUnder2233[[#This Row],[K4 H]]),"Full-day",0)))</f>
        <v>None</v>
      </c>
      <c r="AU472" s="629" t="str">
        <f>IF(BProvPrivEnrlmtUnder2233[[#This Row],[K5]]="","None",IF(BProvPrivEnrlmtUnder2233[[#This Row],[K5]]&lt;BProvPrivEnrlmtUnder2233[[#This Row],[K5 H]],"Half-day",IF(AND(BProvPrivEnrlmtUnder2233[[#This Row],[K5]]&gt;0,BProvPrivEnrlmtUnder2233[[#This Row],[K5]]=BProvPrivEnrlmtUnder2233[[#This Row],[K5 H]]),"Full-day",0)))</f>
        <v>None</v>
      </c>
      <c r="AV472" s="635">
        <f t="array" ref="AV472">IFERROR(INDEX($J$755:$J$818,MATCH(BProvPrivEnrlmtUnder2233[[#This Row],[Band No.]]&amp;BProvPrivEnrlmtUnder2233[[#This Row],[School No.]],$A$755:$A$818&amp;$E$755:$E$818,0)),0)</f>
        <v>0</v>
      </c>
      <c r="AW472" s="635">
        <f t="array" ref="AW472">IFERROR(INDEX($M$755:$M$818,MATCH(BProvPrivEnrlmtUnder2233[[#This Row],[Band No.]]&amp;BProvPrivEnrlmtUnder2233[[#This Row],[School No.]],$A$755:$A$818&amp;$E$755:$E$818,0)),0)</f>
        <v>0</v>
      </c>
      <c r="AX472" s="624">
        <f t="array" ref="AX472">IFERROR(INDEX($I$755:$I$818,MATCH(BProvPrivEnrlmtUnder2233[[#This Row],[Band No.]]&amp;BProvPrivEnrlmtUnder2233[[#This Row],[School No.]],$A$755:$A$818&amp;$E$755:$E$818,0)),0)</f>
        <v>0</v>
      </c>
      <c r="AY472" s="630">
        <f t="array" ref="AY472">IFERROR(INDEX($K$755:$K$818,MATCH(BProvPrivEnrlmtUnder2233[[#This Row],[Band No.]]&amp;BProvPrivEnrlmtUnder2233[[#This Row],[School No.]],$A$755:$A$818&amp;$E$755:$E$818,0)),0)</f>
        <v>0</v>
      </c>
      <c r="AZ472" s="637">
        <f t="array" ref="AZ472">IFERROR(INDEX($O$755:$O$818,MATCH(BProvPrivEnrlmtUnder2233[[#This Row],[Band No.]]&amp;BProvPrivEnrlmtUnder2233[[#This Row],[School No.]],$A$755:$A$818&amp;$E$755:$E$818,0)),0)</f>
        <v>1</v>
      </c>
      <c r="BA472" s="637">
        <f t="array" ref="BA472">IFERROR(INDEX($R$755:$R$818,MATCH(BProvPrivEnrlmtUnder2233[[#This Row],[Band No.]]&amp;BProvPrivEnrlmtUnder2233[[#This Row],[School No.]],$A$755:$A$818&amp;$E$755:$E$818,0)),0)</f>
        <v>0</v>
      </c>
      <c r="BB472" s="637">
        <f t="array" ref="BB472">IFERROR(INDEX($N$755:$N$818,MATCH(BProvPrivEnrlmtUnder2233[[#This Row],[Band No.]]&amp;BProvPrivEnrlmtUnder2233[[#This Row],[School No.]],$A$755:$A$818&amp;$E$755:$E$818,0)),0)</f>
        <v>0</v>
      </c>
      <c r="BC472" s="637">
        <f t="array" ref="BC472">IFERROR(INDEX($P$755:$P$818,MATCH(BProvPrivEnrlmtUnder2233[[#This Row],[Band No.]]&amp;BProvPrivEnrlmtUnder2233[[#This Row],[School No.]],$A$755:$A$818&amp;$E$755:$E$818,0)),0)</f>
        <v>0</v>
      </c>
    </row>
    <row r="473" spans="1:55" s="624" customFormat="1" hidden="1">
      <c r="A473" s="629">
        <v>267</v>
      </c>
      <c r="B473" s="629" t="s">
        <v>392</v>
      </c>
      <c r="C473" s="629" t="s">
        <v>1021</v>
      </c>
      <c r="D473" s="629" t="s">
        <v>967</v>
      </c>
      <c r="E473" s="629" t="s">
        <v>1355</v>
      </c>
      <c r="F473" s="624" t="s">
        <v>1013</v>
      </c>
      <c r="G473" s="629"/>
      <c r="H473" s="629"/>
      <c r="I473" s="629"/>
      <c r="J473" s="629"/>
      <c r="K473" s="629"/>
      <c r="L473" s="629"/>
      <c r="M473" s="629"/>
      <c r="N473" s="629"/>
      <c r="O473" s="629"/>
      <c r="P473" s="629"/>
      <c r="Q473" s="630"/>
      <c r="R473" s="631">
        <v>1</v>
      </c>
      <c r="S473" s="631">
        <v>1</v>
      </c>
      <c r="T473" s="631">
        <v>3</v>
      </c>
      <c r="U473" s="631">
        <v>3</v>
      </c>
      <c r="V473" s="629"/>
      <c r="W473" s="632">
        <f>SUM(BProvPrivEnrlmtUnder2233[[#This Row],[K4]:[Ungradable Second FTE]])</f>
        <v>8</v>
      </c>
      <c r="X473" s="629"/>
      <c r="Y473" s="629"/>
      <c r="Z473" s="629"/>
      <c r="AA473" s="629"/>
      <c r="AB473" s="629"/>
      <c r="AC473" s="629"/>
      <c r="AD473" s="629"/>
      <c r="AE473" s="629"/>
      <c r="AF473" s="629"/>
      <c r="AG473" s="629"/>
      <c r="AH473" s="630"/>
      <c r="AI473" s="631">
        <v>1</v>
      </c>
      <c r="AJ473" s="631">
        <v>1</v>
      </c>
      <c r="AK473" s="631">
        <v>3</v>
      </c>
      <c r="AL473" s="631">
        <v>3</v>
      </c>
      <c r="AM473" s="629"/>
      <c r="AN473" s="633">
        <f>SUM(BProvPrivEnrlmtUnder2233[[#This Row],[K4 H]:[Ungradable Second H]])</f>
        <v>8</v>
      </c>
      <c r="AO473" s="634">
        <v>8</v>
      </c>
      <c r="AP473" s="629" t="s">
        <v>392</v>
      </c>
      <c r="AQ473" s="629" t="str">
        <f>INDEX(TableAFNSchools[North/South of 53rd Parallel &amp; Fly-in = North],MATCH(BProvPrivEnrlmtUnder2233[[#This Row],[Band No.]],TableAFNSchools[Band No '#],0))</f>
        <v>North</v>
      </c>
      <c r="AR473" s="629" t="s">
        <v>1233</v>
      </c>
      <c r="AS473" s="629" t="s">
        <v>441</v>
      </c>
      <c r="AT473" s="629" t="str">
        <f>IF(BProvPrivEnrlmtUnder2233[[#This Row],[K4]]="","None",IF(BProvPrivEnrlmtUnder2233[[#This Row],[K4]]&lt;BProvPrivEnrlmtUnder2233[[#This Row],[K4 H]],"Half-day",IF(AND(BProvPrivEnrlmtUnder2233[[#This Row],[K4]]&gt;0,BProvPrivEnrlmtUnder2233[[#This Row],[K4]]=BProvPrivEnrlmtUnder2233[[#This Row],[K4 H]]),"Full-day",0)))</f>
        <v>None</v>
      </c>
      <c r="AU473" s="629" t="str">
        <f>IF(BProvPrivEnrlmtUnder2233[[#This Row],[K5]]="","None",IF(BProvPrivEnrlmtUnder2233[[#This Row],[K5]]&lt;BProvPrivEnrlmtUnder2233[[#This Row],[K5 H]],"Half-day",IF(AND(BProvPrivEnrlmtUnder2233[[#This Row],[K5]]&gt;0,BProvPrivEnrlmtUnder2233[[#This Row],[K5]]=BProvPrivEnrlmtUnder2233[[#This Row],[K5 H]]),"Full-day",0)))</f>
        <v>None</v>
      </c>
      <c r="AV473" s="635">
        <f t="array" ref="AV473">IFERROR(INDEX($J$755:$J$818,MATCH(BProvPrivEnrlmtUnder2233[[#This Row],[Band No.]]&amp;BProvPrivEnrlmtUnder2233[[#This Row],[School No.]],$A$755:$A$818&amp;$E$755:$E$818,0)),0)</f>
        <v>1</v>
      </c>
      <c r="AW473" s="635">
        <f t="array" ref="AW473">IFERROR(INDEX($M$755:$M$818,MATCH(BProvPrivEnrlmtUnder2233[[#This Row],[Band No.]]&amp;BProvPrivEnrlmtUnder2233[[#This Row],[School No.]],$A$755:$A$818&amp;$E$755:$E$818,0)),0)</f>
        <v>0</v>
      </c>
      <c r="AX473" s="624">
        <f t="array" ref="AX473">IFERROR(INDEX($I$755:$I$818,MATCH(BProvPrivEnrlmtUnder2233[[#This Row],[Band No.]]&amp;BProvPrivEnrlmtUnder2233[[#This Row],[School No.]],$A$755:$A$818&amp;$E$755:$E$818,0)),0)</f>
        <v>0</v>
      </c>
      <c r="AY473" s="630">
        <f t="array" ref="AY473">IFERROR(INDEX($K$755:$K$818,MATCH(BProvPrivEnrlmtUnder2233[[#This Row],[Band No.]]&amp;BProvPrivEnrlmtUnder2233[[#This Row],[School No.]],$A$755:$A$818&amp;$E$755:$E$818,0)),0)</f>
        <v>0</v>
      </c>
      <c r="AZ473" s="637">
        <f t="array" ref="AZ473">IFERROR(INDEX($O$755:$O$818,MATCH(BProvPrivEnrlmtUnder2233[[#This Row],[Band No.]]&amp;BProvPrivEnrlmtUnder2233[[#This Row],[School No.]],$A$755:$A$818&amp;$E$755:$E$818,0)),0)</f>
        <v>7</v>
      </c>
      <c r="BA473" s="637">
        <f t="array" ref="BA473">IFERROR(INDEX($R$755:$R$818,MATCH(BProvPrivEnrlmtUnder2233[[#This Row],[Band No.]]&amp;BProvPrivEnrlmtUnder2233[[#This Row],[School No.]],$A$755:$A$818&amp;$E$755:$E$818,0)),0)</f>
        <v>0</v>
      </c>
      <c r="BB473" s="637">
        <f t="array" ref="BB473">IFERROR(INDEX($N$755:$N$818,MATCH(BProvPrivEnrlmtUnder2233[[#This Row],[Band No.]]&amp;BProvPrivEnrlmtUnder2233[[#This Row],[School No.]],$A$755:$A$818&amp;$E$755:$E$818,0)),0)</f>
        <v>0</v>
      </c>
      <c r="BC473" s="637">
        <f t="array" ref="BC473">IFERROR(INDEX($P$755:$P$818,MATCH(BProvPrivEnrlmtUnder2233[[#This Row],[Band No.]]&amp;BProvPrivEnrlmtUnder2233[[#This Row],[School No.]],$A$755:$A$818&amp;$E$755:$E$818,0)),0)</f>
        <v>0</v>
      </c>
    </row>
    <row r="474" spans="1:55" s="624" customFormat="1" hidden="1">
      <c r="A474" s="629">
        <v>267</v>
      </c>
      <c r="B474" s="629" t="s">
        <v>392</v>
      </c>
      <c r="C474" s="629" t="s">
        <v>1044</v>
      </c>
      <c r="D474" s="629" t="s">
        <v>968</v>
      </c>
      <c r="E474" s="629" t="s">
        <v>1355</v>
      </c>
      <c r="F474" s="624" t="s">
        <v>1013</v>
      </c>
      <c r="G474" s="629"/>
      <c r="H474" s="629"/>
      <c r="I474" s="629"/>
      <c r="J474" s="629"/>
      <c r="K474" s="629"/>
      <c r="L474" s="629"/>
      <c r="M474" s="629"/>
      <c r="N474" s="629"/>
      <c r="O474" s="629"/>
      <c r="P474" s="629"/>
      <c r="Q474" s="630"/>
      <c r="R474" s="631"/>
      <c r="S474" s="631"/>
      <c r="T474" s="631"/>
      <c r="U474" s="631">
        <v>1</v>
      </c>
      <c r="V474" s="629"/>
      <c r="W474" s="632">
        <f>SUM(BProvPrivEnrlmtUnder2233[[#This Row],[K4]:[Ungradable Second FTE]])</f>
        <v>1</v>
      </c>
      <c r="X474" s="629"/>
      <c r="Y474" s="629"/>
      <c r="Z474" s="629"/>
      <c r="AA474" s="629"/>
      <c r="AB474" s="629"/>
      <c r="AC474" s="629"/>
      <c r="AD474" s="629"/>
      <c r="AE474" s="629"/>
      <c r="AF474" s="629"/>
      <c r="AG474" s="629"/>
      <c r="AH474" s="630"/>
      <c r="AI474" s="631"/>
      <c r="AJ474" s="631"/>
      <c r="AK474" s="631"/>
      <c r="AL474" s="631">
        <v>1</v>
      </c>
      <c r="AM474" s="629"/>
      <c r="AN474" s="633">
        <f>SUM(BProvPrivEnrlmtUnder2233[[#This Row],[K4 H]:[Ungradable Second H]])</f>
        <v>1</v>
      </c>
      <c r="AO474" s="634">
        <v>1</v>
      </c>
      <c r="AP474" s="629" t="s">
        <v>392</v>
      </c>
      <c r="AQ474" s="629" t="str">
        <f>INDEX(TableAFNSchools[North/South of 53rd Parallel &amp; Fly-in = North],MATCH(BProvPrivEnrlmtUnder2233[[#This Row],[Band No.]],TableAFNSchools[Band No '#],0))</f>
        <v>North</v>
      </c>
      <c r="AR474" s="629" t="s">
        <v>1388</v>
      </c>
      <c r="AS474" s="629" t="s">
        <v>441</v>
      </c>
      <c r="AT474" s="629" t="str">
        <f>IF(BProvPrivEnrlmtUnder2233[[#This Row],[K4]]="","None",IF(BProvPrivEnrlmtUnder2233[[#This Row],[K4]]&lt;BProvPrivEnrlmtUnder2233[[#This Row],[K4 H]],"Half-day",IF(AND(BProvPrivEnrlmtUnder2233[[#This Row],[K4]]&gt;0,BProvPrivEnrlmtUnder2233[[#This Row],[K4]]=BProvPrivEnrlmtUnder2233[[#This Row],[K4 H]]),"Full-day",0)))</f>
        <v>None</v>
      </c>
      <c r="AU474" s="629" t="str">
        <f>IF(BProvPrivEnrlmtUnder2233[[#This Row],[K5]]="","None",IF(BProvPrivEnrlmtUnder2233[[#This Row],[K5]]&lt;BProvPrivEnrlmtUnder2233[[#This Row],[K5 H]],"Half-day",IF(AND(BProvPrivEnrlmtUnder2233[[#This Row],[K5]]&gt;0,BProvPrivEnrlmtUnder2233[[#This Row],[K5]]=BProvPrivEnrlmtUnder2233[[#This Row],[K5 H]]),"Full-day",0)))</f>
        <v>None</v>
      </c>
      <c r="AV474" s="635">
        <f t="array" ref="AV474">IFERROR(INDEX($J$755:$J$818,MATCH(BProvPrivEnrlmtUnder2233[[#This Row],[Band No.]]&amp;BProvPrivEnrlmtUnder2233[[#This Row],[School No.]],$A$755:$A$818&amp;$E$755:$E$818,0)),0)</f>
        <v>0</v>
      </c>
      <c r="AW474" s="635">
        <f t="array" ref="AW474">IFERROR(INDEX($M$755:$M$818,MATCH(BProvPrivEnrlmtUnder2233[[#This Row],[Band No.]]&amp;BProvPrivEnrlmtUnder2233[[#This Row],[School No.]],$A$755:$A$818&amp;$E$755:$E$818,0)),0)</f>
        <v>0</v>
      </c>
      <c r="AX474" s="624">
        <f t="array" ref="AX474">IFERROR(INDEX($I$755:$I$818,MATCH(BProvPrivEnrlmtUnder2233[[#This Row],[Band No.]]&amp;BProvPrivEnrlmtUnder2233[[#This Row],[School No.]],$A$755:$A$818&amp;$E$755:$E$818,0)),0)</f>
        <v>0</v>
      </c>
      <c r="AY474" s="630">
        <f t="array" ref="AY474">IFERROR(INDEX($K$755:$K$818,MATCH(BProvPrivEnrlmtUnder2233[[#This Row],[Band No.]]&amp;BProvPrivEnrlmtUnder2233[[#This Row],[School No.]],$A$755:$A$818&amp;$E$755:$E$818,0)),0)</f>
        <v>0</v>
      </c>
      <c r="AZ474" s="637">
        <f t="array" ref="AZ474">IFERROR(INDEX($O$755:$O$818,MATCH(BProvPrivEnrlmtUnder2233[[#This Row],[Band No.]]&amp;BProvPrivEnrlmtUnder2233[[#This Row],[School No.]],$A$755:$A$818&amp;$E$755:$E$818,0)),0)</f>
        <v>1</v>
      </c>
      <c r="BA474" s="637">
        <f t="array" ref="BA474">IFERROR(INDEX($R$755:$R$818,MATCH(BProvPrivEnrlmtUnder2233[[#This Row],[Band No.]]&amp;BProvPrivEnrlmtUnder2233[[#This Row],[School No.]],$A$755:$A$818&amp;$E$755:$E$818,0)),0)</f>
        <v>0</v>
      </c>
      <c r="BB474" s="637">
        <f t="array" ref="BB474">IFERROR(INDEX($N$755:$N$818,MATCH(BProvPrivEnrlmtUnder2233[[#This Row],[Band No.]]&amp;BProvPrivEnrlmtUnder2233[[#This Row],[School No.]],$A$755:$A$818&amp;$E$755:$E$818,0)),0)</f>
        <v>0</v>
      </c>
      <c r="BC474" s="637">
        <f t="array" ref="BC474">IFERROR(INDEX($P$755:$P$818,MATCH(BProvPrivEnrlmtUnder2233[[#This Row],[Band No.]]&amp;BProvPrivEnrlmtUnder2233[[#This Row],[School No.]],$A$755:$A$818&amp;$E$755:$E$818,0)),0)</f>
        <v>0</v>
      </c>
    </row>
    <row r="475" spans="1:55" s="624" customFormat="1" hidden="1">
      <c r="A475" s="629">
        <v>267</v>
      </c>
      <c r="B475" s="629" t="s">
        <v>392</v>
      </c>
      <c r="C475" s="629" t="s">
        <v>1056</v>
      </c>
      <c r="D475" s="629" t="s">
        <v>978</v>
      </c>
      <c r="E475" s="629" t="s">
        <v>1367</v>
      </c>
      <c r="F475" s="624" t="s">
        <v>1013</v>
      </c>
      <c r="G475" s="629"/>
      <c r="H475" s="629"/>
      <c r="I475" s="629"/>
      <c r="J475" s="629"/>
      <c r="K475" s="629"/>
      <c r="L475" s="629"/>
      <c r="M475" s="629"/>
      <c r="N475" s="629"/>
      <c r="O475" s="629"/>
      <c r="P475" s="629"/>
      <c r="Q475" s="630"/>
      <c r="R475" s="631"/>
      <c r="S475" s="631"/>
      <c r="T475" s="631"/>
      <c r="U475" s="631">
        <v>1</v>
      </c>
      <c r="V475" s="629"/>
      <c r="W475" s="632">
        <f>SUM(BProvPrivEnrlmtUnder2233[[#This Row],[K4]:[Ungradable Second FTE]])</f>
        <v>1</v>
      </c>
      <c r="X475" s="629"/>
      <c r="Y475" s="629"/>
      <c r="Z475" s="629"/>
      <c r="AA475" s="629"/>
      <c r="AB475" s="629"/>
      <c r="AC475" s="629"/>
      <c r="AD475" s="629"/>
      <c r="AE475" s="629"/>
      <c r="AF475" s="629"/>
      <c r="AG475" s="629"/>
      <c r="AH475" s="630"/>
      <c r="AI475" s="631"/>
      <c r="AJ475" s="631"/>
      <c r="AK475" s="631"/>
      <c r="AL475" s="631">
        <v>1</v>
      </c>
      <c r="AM475" s="629"/>
      <c r="AN475" s="633">
        <f>SUM(BProvPrivEnrlmtUnder2233[[#This Row],[K4 H]:[Ungradable Second H]])</f>
        <v>1</v>
      </c>
      <c r="AO475" s="634">
        <v>1</v>
      </c>
      <c r="AP475" s="629" t="s">
        <v>392</v>
      </c>
      <c r="AQ475" s="629" t="str">
        <f>INDEX(TableAFNSchools[North/South of 53rd Parallel &amp; Fly-in = North],MATCH(BProvPrivEnrlmtUnder2233[[#This Row],[Band No.]],TableAFNSchools[Band No '#],0))</f>
        <v>North</v>
      </c>
      <c r="AR475" s="629" t="s">
        <v>1388</v>
      </c>
      <c r="AS475" s="629" t="s">
        <v>441</v>
      </c>
      <c r="AT475" s="629" t="str">
        <f>IF(BProvPrivEnrlmtUnder2233[[#This Row],[K4]]="","None",IF(BProvPrivEnrlmtUnder2233[[#This Row],[K4]]&lt;BProvPrivEnrlmtUnder2233[[#This Row],[K4 H]],"Half-day",IF(AND(BProvPrivEnrlmtUnder2233[[#This Row],[K4]]&gt;0,BProvPrivEnrlmtUnder2233[[#This Row],[K4]]=BProvPrivEnrlmtUnder2233[[#This Row],[K4 H]]),"Full-day",0)))</f>
        <v>None</v>
      </c>
      <c r="AU475" s="629" t="str">
        <f>IF(BProvPrivEnrlmtUnder2233[[#This Row],[K5]]="","None",IF(BProvPrivEnrlmtUnder2233[[#This Row],[K5]]&lt;BProvPrivEnrlmtUnder2233[[#This Row],[K5 H]],"Half-day",IF(AND(BProvPrivEnrlmtUnder2233[[#This Row],[K5]]&gt;0,BProvPrivEnrlmtUnder2233[[#This Row],[K5]]=BProvPrivEnrlmtUnder2233[[#This Row],[K5 H]]),"Full-day",0)))</f>
        <v>None</v>
      </c>
      <c r="AV475" s="635">
        <f t="array" ref="AV475">IFERROR(INDEX($J$755:$J$818,MATCH(BProvPrivEnrlmtUnder2233[[#This Row],[Band No.]]&amp;BProvPrivEnrlmtUnder2233[[#This Row],[School No.]],$A$755:$A$818&amp;$E$755:$E$818,0)),0)</f>
        <v>0</v>
      </c>
      <c r="AW475" s="635">
        <f t="array" ref="AW475">IFERROR(INDEX($M$755:$M$818,MATCH(BProvPrivEnrlmtUnder2233[[#This Row],[Band No.]]&amp;BProvPrivEnrlmtUnder2233[[#This Row],[School No.]],$A$755:$A$818&amp;$E$755:$E$818,0)),0)</f>
        <v>0</v>
      </c>
      <c r="AX475" s="624">
        <f t="array" ref="AX475">IFERROR(INDEX($I$755:$I$818,MATCH(BProvPrivEnrlmtUnder2233[[#This Row],[Band No.]]&amp;BProvPrivEnrlmtUnder2233[[#This Row],[School No.]],$A$755:$A$818&amp;$E$755:$E$818,0)),0)</f>
        <v>0</v>
      </c>
      <c r="AY475" s="630">
        <f t="array" ref="AY475">IFERROR(INDEX($K$755:$K$818,MATCH(BProvPrivEnrlmtUnder2233[[#This Row],[Band No.]]&amp;BProvPrivEnrlmtUnder2233[[#This Row],[School No.]],$A$755:$A$818&amp;$E$755:$E$818,0)),0)</f>
        <v>0</v>
      </c>
      <c r="AZ475" s="637">
        <f t="array" ref="AZ475">IFERROR(INDEX($O$755:$O$818,MATCH(BProvPrivEnrlmtUnder2233[[#This Row],[Band No.]]&amp;BProvPrivEnrlmtUnder2233[[#This Row],[School No.]],$A$755:$A$818&amp;$E$755:$E$818,0)),0)</f>
        <v>1</v>
      </c>
      <c r="BA475" s="637">
        <f t="array" ref="BA475">IFERROR(INDEX($R$755:$R$818,MATCH(BProvPrivEnrlmtUnder2233[[#This Row],[Band No.]]&amp;BProvPrivEnrlmtUnder2233[[#This Row],[School No.]],$A$755:$A$818&amp;$E$755:$E$818,0)),0)</f>
        <v>0</v>
      </c>
      <c r="BB475" s="637">
        <f t="array" ref="BB475">IFERROR(INDEX($N$755:$N$818,MATCH(BProvPrivEnrlmtUnder2233[[#This Row],[Band No.]]&amp;BProvPrivEnrlmtUnder2233[[#This Row],[School No.]],$A$755:$A$818&amp;$E$755:$E$818,0)),0)</f>
        <v>0</v>
      </c>
      <c r="BC475" s="637">
        <f t="array" ref="BC475">IFERROR(INDEX($P$755:$P$818,MATCH(BProvPrivEnrlmtUnder2233[[#This Row],[Band No.]]&amp;BProvPrivEnrlmtUnder2233[[#This Row],[School No.]],$A$755:$A$818&amp;$E$755:$E$818,0)),0)</f>
        <v>0</v>
      </c>
    </row>
    <row r="476" spans="1:55" s="624" customFormat="1" hidden="1">
      <c r="A476" s="629">
        <v>267</v>
      </c>
      <c r="B476" s="629" t="s">
        <v>392</v>
      </c>
      <c r="C476" s="629" t="s">
        <v>1389</v>
      </c>
      <c r="D476" s="629" t="s">
        <v>1390</v>
      </c>
      <c r="E476" s="629" t="s">
        <v>1367</v>
      </c>
      <c r="F476" s="624" t="s">
        <v>1013</v>
      </c>
      <c r="G476" s="629"/>
      <c r="H476" s="629"/>
      <c r="I476" s="629"/>
      <c r="J476" s="629"/>
      <c r="K476" s="629"/>
      <c r="L476" s="629"/>
      <c r="M476" s="629"/>
      <c r="N476" s="629"/>
      <c r="O476" s="629"/>
      <c r="P476" s="629"/>
      <c r="Q476" s="630"/>
      <c r="R476" s="631"/>
      <c r="S476" s="631"/>
      <c r="T476" s="631"/>
      <c r="U476" s="631">
        <v>1.5</v>
      </c>
      <c r="V476" s="629"/>
      <c r="W476" s="632">
        <f>SUM(BProvPrivEnrlmtUnder2233[[#This Row],[K4]:[Ungradable Second FTE]])</f>
        <v>1.5</v>
      </c>
      <c r="X476" s="629"/>
      <c r="Y476" s="629"/>
      <c r="Z476" s="629"/>
      <c r="AA476" s="629"/>
      <c r="AB476" s="629"/>
      <c r="AC476" s="629"/>
      <c r="AD476" s="629"/>
      <c r="AE476" s="629"/>
      <c r="AF476" s="629"/>
      <c r="AG476" s="629"/>
      <c r="AH476" s="630"/>
      <c r="AI476" s="631"/>
      <c r="AJ476" s="631"/>
      <c r="AK476" s="631"/>
      <c r="AL476" s="631">
        <v>2</v>
      </c>
      <c r="AM476" s="629"/>
      <c r="AN476" s="633">
        <f>SUM(BProvPrivEnrlmtUnder2233[[#This Row],[K4 H]:[Ungradable Second H]])</f>
        <v>2</v>
      </c>
      <c r="AO476" s="634">
        <v>2</v>
      </c>
      <c r="AP476" s="629" t="s">
        <v>392</v>
      </c>
      <c r="AQ476" s="629" t="str">
        <f>INDEX(TableAFNSchools[North/South of 53rd Parallel &amp; Fly-in = North],MATCH(BProvPrivEnrlmtUnder2233[[#This Row],[Band No.]],TableAFNSchools[Band No '#],0))</f>
        <v>North</v>
      </c>
      <c r="AR476" s="629" t="s">
        <v>1233</v>
      </c>
      <c r="AS476" s="629" t="s">
        <v>441</v>
      </c>
      <c r="AT476" s="629" t="str">
        <f>IF(BProvPrivEnrlmtUnder2233[[#This Row],[K4]]="","None",IF(BProvPrivEnrlmtUnder2233[[#This Row],[K4]]&lt;BProvPrivEnrlmtUnder2233[[#This Row],[K4 H]],"Half-day",IF(AND(BProvPrivEnrlmtUnder2233[[#This Row],[K4]]&gt;0,BProvPrivEnrlmtUnder2233[[#This Row],[K4]]=BProvPrivEnrlmtUnder2233[[#This Row],[K4 H]]),"Full-day",0)))</f>
        <v>None</v>
      </c>
      <c r="AU476" s="629" t="str">
        <f>IF(BProvPrivEnrlmtUnder2233[[#This Row],[K5]]="","None",IF(BProvPrivEnrlmtUnder2233[[#This Row],[K5]]&lt;BProvPrivEnrlmtUnder2233[[#This Row],[K5 H]],"Half-day",IF(AND(BProvPrivEnrlmtUnder2233[[#This Row],[K5]]&gt;0,BProvPrivEnrlmtUnder2233[[#This Row],[K5]]=BProvPrivEnrlmtUnder2233[[#This Row],[K5 H]]),"Full-day",0)))</f>
        <v>None</v>
      </c>
      <c r="AV476" s="635">
        <f t="array" ref="AV476">IFERROR(INDEX($J$755:$J$818,MATCH(BProvPrivEnrlmtUnder2233[[#This Row],[Band No.]]&amp;BProvPrivEnrlmtUnder2233[[#This Row],[School No.]],$A$755:$A$818&amp;$E$755:$E$818,0)),0)</f>
        <v>2</v>
      </c>
      <c r="AW476" s="635">
        <f t="array" ref="AW476">IFERROR(INDEX($M$755:$M$818,MATCH(BProvPrivEnrlmtUnder2233[[#This Row],[Band No.]]&amp;BProvPrivEnrlmtUnder2233[[#This Row],[School No.]],$A$755:$A$818&amp;$E$755:$E$818,0)),0)</f>
        <v>0</v>
      </c>
      <c r="AX476" s="624">
        <f t="array" ref="AX476">IFERROR(INDEX($I$755:$I$818,MATCH(BProvPrivEnrlmtUnder2233[[#This Row],[Band No.]]&amp;BProvPrivEnrlmtUnder2233[[#This Row],[School No.]],$A$755:$A$818&amp;$E$755:$E$818,0)),0)</f>
        <v>0</v>
      </c>
      <c r="AY476" s="630">
        <f t="array" ref="AY476">IFERROR(INDEX($K$755:$K$818,MATCH(BProvPrivEnrlmtUnder2233[[#This Row],[Band No.]]&amp;BProvPrivEnrlmtUnder2233[[#This Row],[School No.]],$A$755:$A$818&amp;$E$755:$E$818,0)),0)</f>
        <v>0</v>
      </c>
      <c r="AZ476" s="637">
        <f t="array" ref="AZ476">IFERROR(INDEX($O$755:$O$818,MATCH(BProvPrivEnrlmtUnder2233[[#This Row],[Band No.]]&amp;BProvPrivEnrlmtUnder2233[[#This Row],[School No.]],$A$755:$A$818&amp;$E$755:$E$818,0)),0)</f>
        <v>0</v>
      </c>
      <c r="BA476" s="637">
        <f t="array" ref="BA476">IFERROR(INDEX($R$755:$R$818,MATCH(BProvPrivEnrlmtUnder2233[[#This Row],[Band No.]]&amp;BProvPrivEnrlmtUnder2233[[#This Row],[School No.]],$A$755:$A$818&amp;$E$755:$E$818,0)),0)</f>
        <v>0</v>
      </c>
      <c r="BB476" s="637">
        <f t="array" ref="BB476">IFERROR(INDEX($N$755:$N$818,MATCH(BProvPrivEnrlmtUnder2233[[#This Row],[Band No.]]&amp;BProvPrivEnrlmtUnder2233[[#This Row],[School No.]],$A$755:$A$818&amp;$E$755:$E$818,0)),0)</f>
        <v>0</v>
      </c>
      <c r="BC476" s="637">
        <f t="array" ref="BC476">IFERROR(INDEX($P$755:$P$818,MATCH(BProvPrivEnrlmtUnder2233[[#This Row],[Band No.]]&amp;BProvPrivEnrlmtUnder2233[[#This Row],[School No.]],$A$755:$A$818&amp;$E$755:$E$818,0)),0)</f>
        <v>0</v>
      </c>
    </row>
    <row r="477" spans="1:55" s="624" customFormat="1" hidden="1">
      <c r="A477" s="629">
        <v>267</v>
      </c>
      <c r="B477" s="629" t="s">
        <v>392</v>
      </c>
      <c r="C477" s="629" t="s">
        <v>1391</v>
      </c>
      <c r="D477" s="629" t="s">
        <v>970</v>
      </c>
      <c r="E477" s="629" t="s">
        <v>1355</v>
      </c>
      <c r="F477" s="624" t="s">
        <v>1013</v>
      </c>
      <c r="G477" s="629"/>
      <c r="H477" s="629"/>
      <c r="I477" s="629"/>
      <c r="J477" s="629"/>
      <c r="K477" s="629"/>
      <c r="L477" s="629"/>
      <c r="M477" s="629"/>
      <c r="N477" s="629"/>
      <c r="O477" s="629"/>
      <c r="P477" s="629"/>
      <c r="Q477" s="630"/>
      <c r="R477" s="631"/>
      <c r="S477" s="631">
        <v>2</v>
      </c>
      <c r="T477" s="631"/>
      <c r="U477" s="631"/>
      <c r="V477" s="629"/>
      <c r="W477" s="632">
        <f>SUM(BProvPrivEnrlmtUnder2233[[#This Row],[K4]:[Ungradable Second FTE]])</f>
        <v>2</v>
      </c>
      <c r="X477" s="629"/>
      <c r="Y477" s="629"/>
      <c r="Z477" s="629"/>
      <c r="AA477" s="629"/>
      <c r="AB477" s="629"/>
      <c r="AC477" s="629"/>
      <c r="AD477" s="629"/>
      <c r="AE477" s="629"/>
      <c r="AF477" s="629"/>
      <c r="AG477" s="629"/>
      <c r="AH477" s="630"/>
      <c r="AI477" s="631"/>
      <c r="AJ477" s="631">
        <v>2</v>
      </c>
      <c r="AK477" s="631"/>
      <c r="AL477" s="631"/>
      <c r="AM477" s="629"/>
      <c r="AN477" s="633">
        <f>SUM(BProvPrivEnrlmtUnder2233[[#This Row],[K4 H]:[Ungradable Second H]])</f>
        <v>2</v>
      </c>
      <c r="AO477" s="634">
        <v>2</v>
      </c>
      <c r="AP477" s="629" t="s">
        <v>392</v>
      </c>
      <c r="AQ477" s="629" t="str">
        <f>INDEX(TableAFNSchools[North/South of 53rd Parallel &amp; Fly-in = North],MATCH(BProvPrivEnrlmtUnder2233[[#This Row],[Band No.]],TableAFNSchools[Band No '#],0))</f>
        <v>North</v>
      </c>
      <c r="AR477" s="629" t="s">
        <v>1233</v>
      </c>
      <c r="AS477" s="629" t="s">
        <v>441</v>
      </c>
      <c r="AT477" s="629" t="str">
        <f>IF(BProvPrivEnrlmtUnder2233[[#This Row],[K4]]="","None",IF(BProvPrivEnrlmtUnder2233[[#This Row],[K4]]&lt;BProvPrivEnrlmtUnder2233[[#This Row],[K4 H]],"Half-day",IF(AND(BProvPrivEnrlmtUnder2233[[#This Row],[K4]]&gt;0,BProvPrivEnrlmtUnder2233[[#This Row],[K4]]=BProvPrivEnrlmtUnder2233[[#This Row],[K4 H]]),"Full-day",0)))</f>
        <v>None</v>
      </c>
      <c r="AU477" s="629" t="str">
        <f>IF(BProvPrivEnrlmtUnder2233[[#This Row],[K5]]="","None",IF(BProvPrivEnrlmtUnder2233[[#This Row],[K5]]&lt;BProvPrivEnrlmtUnder2233[[#This Row],[K5 H]],"Half-day",IF(AND(BProvPrivEnrlmtUnder2233[[#This Row],[K5]]&gt;0,BProvPrivEnrlmtUnder2233[[#This Row],[K5]]=BProvPrivEnrlmtUnder2233[[#This Row],[K5 H]]),"Full-day",0)))</f>
        <v>None</v>
      </c>
      <c r="AV477" s="635">
        <f t="array" ref="AV477">IFERROR(INDEX($J$755:$J$818,MATCH(BProvPrivEnrlmtUnder2233[[#This Row],[Band No.]]&amp;BProvPrivEnrlmtUnder2233[[#This Row],[School No.]],$A$755:$A$818&amp;$E$755:$E$818,0)),0)</f>
        <v>2</v>
      </c>
      <c r="AW477" s="635">
        <f t="array" ref="AW477">IFERROR(INDEX($M$755:$M$818,MATCH(BProvPrivEnrlmtUnder2233[[#This Row],[Band No.]]&amp;BProvPrivEnrlmtUnder2233[[#This Row],[School No.]],$A$755:$A$818&amp;$E$755:$E$818,0)),0)</f>
        <v>0</v>
      </c>
      <c r="AX477" s="624">
        <f t="array" ref="AX477">IFERROR(INDEX($I$755:$I$818,MATCH(BProvPrivEnrlmtUnder2233[[#This Row],[Band No.]]&amp;BProvPrivEnrlmtUnder2233[[#This Row],[School No.]],$A$755:$A$818&amp;$E$755:$E$818,0)),0)</f>
        <v>0</v>
      </c>
      <c r="AY477" s="630">
        <f t="array" ref="AY477">IFERROR(INDEX($K$755:$K$818,MATCH(BProvPrivEnrlmtUnder2233[[#This Row],[Band No.]]&amp;BProvPrivEnrlmtUnder2233[[#This Row],[School No.]],$A$755:$A$818&amp;$E$755:$E$818,0)),0)</f>
        <v>0</v>
      </c>
      <c r="AZ477" s="637">
        <f t="array" ref="AZ477">IFERROR(INDEX($O$755:$O$818,MATCH(BProvPrivEnrlmtUnder2233[[#This Row],[Band No.]]&amp;BProvPrivEnrlmtUnder2233[[#This Row],[School No.]],$A$755:$A$818&amp;$E$755:$E$818,0)),0)</f>
        <v>0</v>
      </c>
      <c r="BA477" s="637">
        <f t="array" ref="BA477">IFERROR(INDEX($R$755:$R$818,MATCH(BProvPrivEnrlmtUnder2233[[#This Row],[Band No.]]&amp;BProvPrivEnrlmtUnder2233[[#This Row],[School No.]],$A$755:$A$818&amp;$E$755:$E$818,0)),0)</f>
        <v>0</v>
      </c>
      <c r="BB477" s="637">
        <f t="array" ref="BB477">IFERROR(INDEX($N$755:$N$818,MATCH(BProvPrivEnrlmtUnder2233[[#This Row],[Band No.]]&amp;BProvPrivEnrlmtUnder2233[[#This Row],[School No.]],$A$755:$A$818&amp;$E$755:$E$818,0)),0)</f>
        <v>0</v>
      </c>
      <c r="BC477" s="637">
        <f t="array" ref="BC477">IFERROR(INDEX($P$755:$P$818,MATCH(BProvPrivEnrlmtUnder2233[[#This Row],[Band No.]]&amp;BProvPrivEnrlmtUnder2233[[#This Row],[School No.]],$A$755:$A$818&amp;$E$755:$E$818,0)),0)</f>
        <v>0</v>
      </c>
    </row>
    <row r="478" spans="1:55" s="624" customFormat="1" hidden="1">
      <c r="A478" s="629">
        <v>267</v>
      </c>
      <c r="B478" s="629" t="s">
        <v>392</v>
      </c>
      <c r="C478" s="629" t="s">
        <v>1033</v>
      </c>
      <c r="D478" s="629" t="s">
        <v>1376</v>
      </c>
      <c r="E478" s="629" t="s">
        <v>1371</v>
      </c>
      <c r="F478" s="624" t="s">
        <v>1013</v>
      </c>
      <c r="G478" s="629"/>
      <c r="H478" s="629"/>
      <c r="I478" s="629"/>
      <c r="J478" s="629"/>
      <c r="K478" s="629"/>
      <c r="L478" s="629"/>
      <c r="M478" s="629"/>
      <c r="N478" s="629"/>
      <c r="O478" s="629"/>
      <c r="P478" s="629"/>
      <c r="Q478" s="630"/>
      <c r="R478" s="631"/>
      <c r="S478" s="631"/>
      <c r="T478" s="631"/>
      <c r="U478" s="631">
        <v>2.5</v>
      </c>
      <c r="V478" s="629"/>
      <c r="W478" s="632">
        <f>SUM(BProvPrivEnrlmtUnder2233[[#This Row],[K4]:[Ungradable Second FTE]])</f>
        <v>2.5</v>
      </c>
      <c r="X478" s="629"/>
      <c r="Y478" s="629"/>
      <c r="Z478" s="629"/>
      <c r="AA478" s="629"/>
      <c r="AB478" s="629"/>
      <c r="AC478" s="629"/>
      <c r="AD478" s="629"/>
      <c r="AE478" s="629"/>
      <c r="AF478" s="629"/>
      <c r="AG478" s="629"/>
      <c r="AH478" s="630"/>
      <c r="AI478" s="631"/>
      <c r="AJ478" s="631"/>
      <c r="AK478" s="631"/>
      <c r="AL478" s="631">
        <v>5</v>
      </c>
      <c r="AM478" s="629"/>
      <c r="AN478" s="633">
        <f>SUM(BProvPrivEnrlmtUnder2233[[#This Row],[K4 H]:[Ungradable Second H]])</f>
        <v>5</v>
      </c>
      <c r="AO478" s="634">
        <v>5</v>
      </c>
      <c r="AP478" s="629" t="s">
        <v>392</v>
      </c>
      <c r="AQ478" s="629" t="str">
        <f>INDEX(TableAFNSchools[North/South of 53rd Parallel &amp; Fly-in = North],MATCH(BProvPrivEnrlmtUnder2233[[#This Row],[Band No.]],TableAFNSchools[Band No '#],0))</f>
        <v>North</v>
      </c>
      <c r="AR478" s="629" t="s">
        <v>856</v>
      </c>
      <c r="AS478" s="629" t="s">
        <v>441</v>
      </c>
      <c r="AT478" s="629" t="str">
        <f>IF(BProvPrivEnrlmtUnder2233[[#This Row],[K4]]="","None",IF(BProvPrivEnrlmtUnder2233[[#This Row],[K4]]&lt;BProvPrivEnrlmtUnder2233[[#This Row],[K4 H]],"Half-day",IF(AND(BProvPrivEnrlmtUnder2233[[#This Row],[K4]]&gt;0,BProvPrivEnrlmtUnder2233[[#This Row],[K4]]=BProvPrivEnrlmtUnder2233[[#This Row],[K4 H]]),"Full-day",0)))</f>
        <v>None</v>
      </c>
      <c r="AU478" s="629" t="str">
        <f>IF(BProvPrivEnrlmtUnder2233[[#This Row],[K5]]="","None",IF(BProvPrivEnrlmtUnder2233[[#This Row],[K5]]&lt;BProvPrivEnrlmtUnder2233[[#This Row],[K5 H]],"Half-day",IF(AND(BProvPrivEnrlmtUnder2233[[#This Row],[K5]]&gt;0,BProvPrivEnrlmtUnder2233[[#This Row],[K5]]=BProvPrivEnrlmtUnder2233[[#This Row],[K5 H]]),"Full-day",0)))</f>
        <v>None</v>
      </c>
      <c r="AV478" s="635">
        <f t="array" ref="AV478">IFERROR(INDEX($J$755:$J$818,MATCH(BProvPrivEnrlmtUnder2233[[#This Row],[Band No.]]&amp;BProvPrivEnrlmtUnder2233[[#This Row],[School No.]],$A$755:$A$818&amp;$E$755:$E$818,0)),0)</f>
        <v>0</v>
      </c>
      <c r="AW478" s="635">
        <f t="array" ref="AW478">IFERROR(INDEX($M$755:$M$818,MATCH(BProvPrivEnrlmtUnder2233[[#This Row],[Band No.]]&amp;BProvPrivEnrlmtUnder2233[[#This Row],[School No.]],$A$755:$A$818&amp;$E$755:$E$818,0)),0)</f>
        <v>0</v>
      </c>
      <c r="AX478" s="624">
        <f t="array" ref="AX478">IFERROR(INDEX($I$755:$I$818,MATCH(BProvPrivEnrlmtUnder2233[[#This Row],[Band No.]]&amp;BProvPrivEnrlmtUnder2233[[#This Row],[School No.]],$A$755:$A$818&amp;$E$755:$E$818,0)),0)</f>
        <v>0</v>
      </c>
      <c r="AY478" s="630">
        <f t="array" ref="AY478">IFERROR(INDEX($K$755:$K$818,MATCH(BProvPrivEnrlmtUnder2233[[#This Row],[Band No.]]&amp;BProvPrivEnrlmtUnder2233[[#This Row],[School No.]],$A$755:$A$818&amp;$E$755:$E$818,0)),0)</f>
        <v>0</v>
      </c>
      <c r="AZ478" s="637">
        <f t="array" ref="AZ478">IFERROR(INDEX($O$755:$O$818,MATCH(BProvPrivEnrlmtUnder2233[[#This Row],[Band No.]]&amp;BProvPrivEnrlmtUnder2233[[#This Row],[School No.]],$A$755:$A$818&amp;$E$755:$E$818,0)),0)</f>
        <v>0</v>
      </c>
      <c r="BA478" s="637">
        <f t="array" ref="BA478">IFERROR(INDEX($R$755:$R$818,MATCH(BProvPrivEnrlmtUnder2233[[#This Row],[Band No.]]&amp;BProvPrivEnrlmtUnder2233[[#This Row],[School No.]],$A$755:$A$818&amp;$E$755:$E$818,0)),0)</f>
        <v>0</v>
      </c>
      <c r="BB478" s="637">
        <f t="array" ref="BB478">IFERROR(INDEX($N$755:$N$818,MATCH(BProvPrivEnrlmtUnder2233[[#This Row],[Band No.]]&amp;BProvPrivEnrlmtUnder2233[[#This Row],[School No.]],$A$755:$A$818&amp;$E$755:$E$818,0)),0)</f>
        <v>0</v>
      </c>
      <c r="BC478" s="637">
        <f t="array" ref="BC478">IFERROR(INDEX($P$755:$P$818,MATCH(BProvPrivEnrlmtUnder2233[[#This Row],[Band No.]]&amp;BProvPrivEnrlmtUnder2233[[#This Row],[School No.]],$A$755:$A$818&amp;$E$755:$E$818,0)),0)</f>
        <v>0</v>
      </c>
    </row>
    <row r="479" spans="1:55" s="624" customFormat="1" hidden="1">
      <c r="A479" s="629">
        <v>267</v>
      </c>
      <c r="B479" s="629" t="s">
        <v>392</v>
      </c>
      <c r="C479" s="629" t="s">
        <v>1392</v>
      </c>
      <c r="D479" s="629" t="s">
        <v>1393</v>
      </c>
      <c r="E479" s="629" t="s">
        <v>1394</v>
      </c>
      <c r="F479" s="624" t="s">
        <v>1013</v>
      </c>
      <c r="G479" s="629"/>
      <c r="H479" s="629"/>
      <c r="I479" s="629"/>
      <c r="J479" s="629"/>
      <c r="K479" s="629"/>
      <c r="L479" s="629"/>
      <c r="M479" s="629"/>
      <c r="N479" s="629"/>
      <c r="O479" s="629"/>
      <c r="P479" s="629"/>
      <c r="Q479" s="630"/>
      <c r="R479" s="631"/>
      <c r="S479" s="631"/>
      <c r="T479" s="631"/>
      <c r="U479" s="631">
        <v>1</v>
      </c>
      <c r="V479" s="629"/>
      <c r="W479" s="632">
        <f>SUM(BProvPrivEnrlmtUnder2233[[#This Row],[K4]:[Ungradable Second FTE]])</f>
        <v>1</v>
      </c>
      <c r="X479" s="629"/>
      <c r="Y479" s="629"/>
      <c r="Z479" s="629"/>
      <c r="AA479" s="629"/>
      <c r="AB479" s="629"/>
      <c r="AC479" s="629"/>
      <c r="AD479" s="629"/>
      <c r="AE479" s="629"/>
      <c r="AF479" s="629"/>
      <c r="AG479" s="629"/>
      <c r="AH479" s="630"/>
      <c r="AI479" s="631"/>
      <c r="AJ479" s="631"/>
      <c r="AK479" s="631"/>
      <c r="AL479" s="631">
        <v>1</v>
      </c>
      <c r="AM479" s="629"/>
      <c r="AN479" s="633">
        <f>SUM(BProvPrivEnrlmtUnder2233[[#This Row],[K4 H]:[Ungradable Second H]])</f>
        <v>1</v>
      </c>
      <c r="AO479" s="634">
        <v>1</v>
      </c>
      <c r="AP479" s="629" t="s">
        <v>392</v>
      </c>
      <c r="AQ479" s="629" t="str">
        <f>INDEX(TableAFNSchools[North/South of 53rd Parallel &amp; Fly-in = North],MATCH(BProvPrivEnrlmtUnder2233[[#This Row],[Band No.]],TableAFNSchools[Band No '#],0))</f>
        <v>North</v>
      </c>
      <c r="AR479" s="629" t="s">
        <v>442</v>
      </c>
      <c r="AS479" s="629" t="s">
        <v>441</v>
      </c>
      <c r="AT479" s="629" t="str">
        <f>IF(BProvPrivEnrlmtUnder2233[[#This Row],[K4]]="","None",IF(BProvPrivEnrlmtUnder2233[[#This Row],[K4]]&lt;BProvPrivEnrlmtUnder2233[[#This Row],[K4 H]],"Half-day",IF(AND(BProvPrivEnrlmtUnder2233[[#This Row],[K4]]&gt;0,BProvPrivEnrlmtUnder2233[[#This Row],[K4]]=BProvPrivEnrlmtUnder2233[[#This Row],[K4 H]]),"Full-day",0)))</f>
        <v>None</v>
      </c>
      <c r="AU479" s="629" t="str">
        <f>IF(BProvPrivEnrlmtUnder2233[[#This Row],[K5]]="","None",IF(BProvPrivEnrlmtUnder2233[[#This Row],[K5]]&lt;BProvPrivEnrlmtUnder2233[[#This Row],[K5 H]],"Half-day",IF(AND(BProvPrivEnrlmtUnder2233[[#This Row],[K5]]&gt;0,BProvPrivEnrlmtUnder2233[[#This Row],[K5]]=BProvPrivEnrlmtUnder2233[[#This Row],[K5 H]]),"Full-day",0)))</f>
        <v>None</v>
      </c>
      <c r="AV479" s="635">
        <f t="array" ref="AV479">IFERROR(INDEX($J$755:$J$818,MATCH(BProvPrivEnrlmtUnder2233[[#This Row],[Band No.]]&amp;BProvPrivEnrlmtUnder2233[[#This Row],[School No.]],$A$755:$A$818&amp;$E$755:$E$818,0)),0)</f>
        <v>0</v>
      </c>
      <c r="AW479" s="635">
        <f t="array" ref="AW479">IFERROR(INDEX($M$755:$M$818,MATCH(BProvPrivEnrlmtUnder2233[[#This Row],[Band No.]]&amp;BProvPrivEnrlmtUnder2233[[#This Row],[School No.]],$A$755:$A$818&amp;$E$755:$E$818,0)),0)</f>
        <v>0</v>
      </c>
      <c r="AX479" s="624">
        <f t="array" ref="AX479">IFERROR(INDEX($I$755:$I$818,MATCH(BProvPrivEnrlmtUnder2233[[#This Row],[Band No.]]&amp;BProvPrivEnrlmtUnder2233[[#This Row],[School No.]],$A$755:$A$818&amp;$E$755:$E$818,0)),0)</f>
        <v>0</v>
      </c>
      <c r="AY479" s="635">
        <f t="array" ref="AY479">IFERROR(INDEX($K$755:$K$818,MATCH(BProvPrivEnrlmtUnder2233[[#This Row],[Band No.]]&amp;BProvPrivEnrlmtUnder2233[[#This Row],[School No.]],$A$755:$A$818&amp;$E$755:$E$818,0)),0)</f>
        <v>0</v>
      </c>
      <c r="AZ479" s="637">
        <f t="array" ref="AZ479">IFERROR(INDEX($O$755:$O$818,MATCH(BProvPrivEnrlmtUnder2233[[#This Row],[Band No.]]&amp;BProvPrivEnrlmtUnder2233[[#This Row],[School No.]],$A$755:$A$818&amp;$E$755:$E$818,0)),0)</f>
        <v>1</v>
      </c>
      <c r="BA479" s="637">
        <f t="array" ref="BA479">IFERROR(INDEX($R$755:$R$818,MATCH(BProvPrivEnrlmtUnder2233[[#This Row],[Band No.]]&amp;BProvPrivEnrlmtUnder2233[[#This Row],[School No.]],$A$755:$A$818&amp;$E$755:$E$818,0)),0)</f>
        <v>0</v>
      </c>
      <c r="BB479" s="637">
        <f t="array" ref="BB479">IFERROR(INDEX($N$755:$N$818,MATCH(BProvPrivEnrlmtUnder2233[[#This Row],[Band No.]]&amp;BProvPrivEnrlmtUnder2233[[#This Row],[School No.]],$A$755:$A$818&amp;$E$755:$E$818,0)),0)</f>
        <v>0</v>
      </c>
      <c r="BC479" s="637">
        <f t="array" ref="BC479">IFERROR(INDEX($P$755:$P$818,MATCH(BProvPrivEnrlmtUnder2233[[#This Row],[Band No.]]&amp;BProvPrivEnrlmtUnder2233[[#This Row],[School No.]],$A$755:$A$818&amp;$E$755:$E$818,0)),0)</f>
        <v>0</v>
      </c>
    </row>
    <row r="480" spans="1:55" s="624" customFormat="1" hidden="1">
      <c r="A480" s="629">
        <v>267</v>
      </c>
      <c r="B480" s="629" t="s">
        <v>392</v>
      </c>
      <c r="C480" s="629" t="s">
        <v>1395</v>
      </c>
      <c r="D480" s="629" t="s">
        <v>1396</v>
      </c>
      <c r="E480" s="629" t="s">
        <v>1387</v>
      </c>
      <c r="F480" s="624" t="s">
        <v>1013</v>
      </c>
      <c r="G480" s="629"/>
      <c r="H480" s="629"/>
      <c r="I480" s="629"/>
      <c r="J480" s="629"/>
      <c r="K480" s="629"/>
      <c r="L480" s="629"/>
      <c r="M480" s="629"/>
      <c r="N480" s="629"/>
      <c r="O480" s="629"/>
      <c r="P480" s="629"/>
      <c r="Q480" s="630"/>
      <c r="R480" s="631"/>
      <c r="S480" s="631"/>
      <c r="T480" s="631">
        <v>2</v>
      </c>
      <c r="U480" s="631"/>
      <c r="V480" s="629"/>
      <c r="W480" s="632">
        <f>SUM(BProvPrivEnrlmtUnder2233[[#This Row],[K4]:[Ungradable Second FTE]])</f>
        <v>2</v>
      </c>
      <c r="X480" s="629"/>
      <c r="Y480" s="629"/>
      <c r="Z480" s="629"/>
      <c r="AA480" s="629"/>
      <c r="AB480" s="629"/>
      <c r="AC480" s="629"/>
      <c r="AD480" s="629"/>
      <c r="AE480" s="629"/>
      <c r="AF480" s="629"/>
      <c r="AG480" s="629"/>
      <c r="AH480" s="630"/>
      <c r="AI480" s="631"/>
      <c r="AJ480" s="631"/>
      <c r="AK480" s="631">
        <v>2</v>
      </c>
      <c r="AL480" s="631"/>
      <c r="AM480" s="629"/>
      <c r="AN480" s="633">
        <f>SUM(BProvPrivEnrlmtUnder2233[[#This Row],[K4 H]:[Ungradable Second H]])</f>
        <v>2</v>
      </c>
      <c r="AO480" s="634">
        <v>2</v>
      </c>
      <c r="AP480" s="629" t="s">
        <v>392</v>
      </c>
      <c r="AQ480" s="629" t="str">
        <f>INDEX(TableAFNSchools[North/South of 53rd Parallel &amp; Fly-in = North],MATCH(BProvPrivEnrlmtUnder2233[[#This Row],[Band No.]],TableAFNSchools[Band No '#],0))</f>
        <v>North</v>
      </c>
      <c r="AR480" s="629" t="s">
        <v>1233</v>
      </c>
      <c r="AS480" s="629" t="s">
        <v>441</v>
      </c>
      <c r="AT480" s="629" t="str">
        <f>IF(BProvPrivEnrlmtUnder2233[[#This Row],[K4]]="","None",IF(BProvPrivEnrlmtUnder2233[[#This Row],[K4]]&lt;BProvPrivEnrlmtUnder2233[[#This Row],[K4 H]],"Half-day",IF(AND(BProvPrivEnrlmtUnder2233[[#This Row],[K4]]&gt;0,BProvPrivEnrlmtUnder2233[[#This Row],[K4]]=BProvPrivEnrlmtUnder2233[[#This Row],[K4 H]]),"Full-day",0)))</f>
        <v>None</v>
      </c>
      <c r="AU480" s="629" t="str">
        <f>IF(BProvPrivEnrlmtUnder2233[[#This Row],[K5]]="","None",IF(BProvPrivEnrlmtUnder2233[[#This Row],[K5]]&lt;BProvPrivEnrlmtUnder2233[[#This Row],[K5 H]],"Half-day",IF(AND(BProvPrivEnrlmtUnder2233[[#This Row],[K5]]&gt;0,BProvPrivEnrlmtUnder2233[[#This Row],[K5]]=BProvPrivEnrlmtUnder2233[[#This Row],[K5 H]]),"Full-day",0)))</f>
        <v>None</v>
      </c>
      <c r="AV480" s="635">
        <f t="array" ref="AV480">IFERROR(INDEX($J$755:$J$818,MATCH(BProvPrivEnrlmtUnder2233[[#This Row],[Band No.]]&amp;BProvPrivEnrlmtUnder2233[[#This Row],[School No.]],$A$755:$A$818&amp;$E$755:$E$818,0)),0)</f>
        <v>1</v>
      </c>
      <c r="AW480" s="635">
        <f t="array" ref="AW480">IFERROR(INDEX($M$755:$M$818,MATCH(BProvPrivEnrlmtUnder2233[[#This Row],[Band No.]]&amp;BProvPrivEnrlmtUnder2233[[#This Row],[School No.]],$A$755:$A$818&amp;$E$755:$E$818,0)),0)</f>
        <v>0</v>
      </c>
      <c r="AX480" s="624">
        <f t="array" ref="AX480">IFERROR(INDEX($I$755:$I$818,MATCH(BProvPrivEnrlmtUnder2233[[#This Row],[Band No.]]&amp;BProvPrivEnrlmtUnder2233[[#This Row],[School No.]],$A$755:$A$818&amp;$E$755:$E$818,0)),0)</f>
        <v>0</v>
      </c>
      <c r="AY480" s="630">
        <f t="array" ref="AY480">IFERROR(INDEX($K$755:$K$818,MATCH(BProvPrivEnrlmtUnder2233[[#This Row],[Band No.]]&amp;BProvPrivEnrlmtUnder2233[[#This Row],[School No.]],$A$755:$A$818&amp;$E$755:$E$818,0)),0)</f>
        <v>0</v>
      </c>
      <c r="AZ480" s="637">
        <f t="array" ref="AZ480">IFERROR(INDEX($O$755:$O$818,MATCH(BProvPrivEnrlmtUnder2233[[#This Row],[Band No.]]&amp;BProvPrivEnrlmtUnder2233[[#This Row],[School No.]],$A$755:$A$818&amp;$E$755:$E$818,0)),0)</f>
        <v>1</v>
      </c>
      <c r="BA480" s="637">
        <f t="array" ref="BA480">IFERROR(INDEX($R$755:$R$818,MATCH(BProvPrivEnrlmtUnder2233[[#This Row],[Band No.]]&amp;BProvPrivEnrlmtUnder2233[[#This Row],[School No.]],$A$755:$A$818&amp;$E$755:$E$818,0)),0)</f>
        <v>0</v>
      </c>
      <c r="BB480" s="637">
        <f t="array" ref="BB480">IFERROR(INDEX($N$755:$N$818,MATCH(BProvPrivEnrlmtUnder2233[[#This Row],[Band No.]]&amp;BProvPrivEnrlmtUnder2233[[#This Row],[School No.]],$A$755:$A$818&amp;$E$755:$E$818,0)),0)</f>
        <v>0</v>
      </c>
      <c r="BC480" s="637">
        <f t="array" ref="BC480">IFERROR(INDEX($P$755:$P$818,MATCH(BProvPrivEnrlmtUnder2233[[#This Row],[Band No.]]&amp;BProvPrivEnrlmtUnder2233[[#This Row],[School No.]],$A$755:$A$818&amp;$E$755:$E$818,0)),0)</f>
        <v>0</v>
      </c>
    </row>
    <row r="481" spans="1:55" s="624" customFormat="1" hidden="1">
      <c r="A481" s="629">
        <v>267</v>
      </c>
      <c r="B481" s="629" t="s">
        <v>392</v>
      </c>
      <c r="C481" s="629" t="s">
        <v>1025</v>
      </c>
      <c r="D481" s="629" t="s">
        <v>972</v>
      </c>
      <c r="E481" s="629" t="s">
        <v>972</v>
      </c>
      <c r="F481" s="624" t="s">
        <v>1027</v>
      </c>
      <c r="G481" s="629"/>
      <c r="H481" s="629"/>
      <c r="I481" s="629"/>
      <c r="J481" s="629"/>
      <c r="K481" s="629"/>
      <c r="L481" s="629"/>
      <c r="M481" s="629"/>
      <c r="N481" s="629"/>
      <c r="O481" s="629"/>
      <c r="P481" s="629"/>
      <c r="Q481" s="630"/>
      <c r="R481" s="631"/>
      <c r="S481" s="631">
        <v>6</v>
      </c>
      <c r="T481" s="631">
        <v>1</v>
      </c>
      <c r="U481" s="631"/>
      <c r="V481" s="629"/>
      <c r="W481" s="632">
        <f>SUM(BProvPrivEnrlmtUnder2233[[#This Row],[K4]:[Ungradable Second FTE]])</f>
        <v>7</v>
      </c>
      <c r="X481" s="629"/>
      <c r="Y481" s="629"/>
      <c r="Z481" s="629"/>
      <c r="AA481" s="629"/>
      <c r="AB481" s="629"/>
      <c r="AC481" s="629"/>
      <c r="AD481" s="629"/>
      <c r="AE481" s="629"/>
      <c r="AF481" s="629"/>
      <c r="AG481" s="629"/>
      <c r="AH481" s="630"/>
      <c r="AI481" s="631"/>
      <c r="AJ481" s="631">
        <v>6</v>
      </c>
      <c r="AK481" s="631">
        <v>1</v>
      </c>
      <c r="AL481" s="631"/>
      <c r="AM481" s="629"/>
      <c r="AN481" s="633">
        <f>SUM(BProvPrivEnrlmtUnder2233[[#This Row],[K4 H]:[Ungradable Second H]])</f>
        <v>7</v>
      </c>
      <c r="AO481" s="634">
        <v>7</v>
      </c>
      <c r="AP481" s="629" t="s">
        <v>392</v>
      </c>
      <c r="AQ481" s="629" t="str">
        <f>INDEX(TableAFNSchools[North/South of 53rd Parallel &amp; Fly-in = North],MATCH(BProvPrivEnrlmtUnder2233[[#This Row],[Band No.]],TableAFNSchools[Band No '#],0))</f>
        <v>North</v>
      </c>
      <c r="AR481" s="629" t="s">
        <v>1397</v>
      </c>
      <c r="AS481" s="629" t="s">
        <v>441</v>
      </c>
      <c r="AT481" s="629" t="str">
        <f>IF(BProvPrivEnrlmtUnder2233[[#This Row],[K4]]="","None",IF(BProvPrivEnrlmtUnder2233[[#This Row],[K4]]&lt;BProvPrivEnrlmtUnder2233[[#This Row],[K4 H]],"Half-day",IF(AND(BProvPrivEnrlmtUnder2233[[#This Row],[K4]]&gt;0,BProvPrivEnrlmtUnder2233[[#This Row],[K4]]=BProvPrivEnrlmtUnder2233[[#This Row],[K4 H]]),"Full-day",0)))</f>
        <v>None</v>
      </c>
      <c r="AU481" s="629" t="str">
        <f>IF(BProvPrivEnrlmtUnder2233[[#This Row],[K5]]="","None",IF(BProvPrivEnrlmtUnder2233[[#This Row],[K5]]&lt;BProvPrivEnrlmtUnder2233[[#This Row],[K5 H]],"Half-day",IF(AND(BProvPrivEnrlmtUnder2233[[#This Row],[K5]]&gt;0,BProvPrivEnrlmtUnder2233[[#This Row],[K5]]=BProvPrivEnrlmtUnder2233[[#This Row],[K5 H]]),"Full-day",0)))</f>
        <v>None</v>
      </c>
      <c r="AV481" s="635">
        <f t="array" ref="AV481">IFERROR(INDEX($J$755:$J$818,MATCH(BProvPrivEnrlmtUnder2233[[#This Row],[Band No.]]&amp;BProvPrivEnrlmtUnder2233[[#This Row],[School No.]],$A$755:$A$818&amp;$E$755:$E$818,0)),0)</f>
        <v>0</v>
      </c>
      <c r="AW481" s="635">
        <f t="array" ref="AW481">IFERROR(INDEX($M$755:$M$818,MATCH(BProvPrivEnrlmtUnder2233[[#This Row],[Band No.]]&amp;BProvPrivEnrlmtUnder2233[[#This Row],[School No.]],$A$755:$A$818&amp;$E$755:$E$818,0)),0)</f>
        <v>6</v>
      </c>
      <c r="AX481" s="624">
        <f t="array" ref="AX481">IFERROR(INDEX($I$755:$I$818,MATCH(BProvPrivEnrlmtUnder2233[[#This Row],[Band No.]]&amp;BProvPrivEnrlmtUnder2233[[#This Row],[School No.]],$A$755:$A$818&amp;$E$755:$E$818,0)),0)</f>
        <v>0</v>
      </c>
      <c r="AY481" s="630">
        <f t="array" ref="AY481">IFERROR(INDEX($K$755:$K$818,MATCH(BProvPrivEnrlmtUnder2233[[#This Row],[Band No.]]&amp;BProvPrivEnrlmtUnder2233[[#This Row],[School No.]],$A$755:$A$818&amp;$E$755:$E$818,0)),0)</f>
        <v>0</v>
      </c>
      <c r="AZ481" s="637">
        <f t="array" ref="AZ481">IFERROR(INDEX($O$755:$O$818,MATCH(BProvPrivEnrlmtUnder2233[[#This Row],[Band No.]]&amp;BProvPrivEnrlmtUnder2233[[#This Row],[School No.]],$A$755:$A$818&amp;$E$755:$E$818,0)),0)</f>
        <v>0</v>
      </c>
      <c r="BA481" s="637">
        <f t="array" ref="BA481">IFERROR(INDEX($R$755:$R$818,MATCH(BProvPrivEnrlmtUnder2233[[#This Row],[Band No.]]&amp;BProvPrivEnrlmtUnder2233[[#This Row],[School No.]],$A$755:$A$818&amp;$E$755:$E$818,0)),0)</f>
        <v>1</v>
      </c>
      <c r="BB481" s="637">
        <f t="array" ref="BB481">IFERROR(INDEX($N$755:$N$818,MATCH(BProvPrivEnrlmtUnder2233[[#This Row],[Band No.]]&amp;BProvPrivEnrlmtUnder2233[[#This Row],[School No.]],$A$755:$A$818&amp;$E$755:$E$818,0)),0)</f>
        <v>0</v>
      </c>
      <c r="BC481" s="637">
        <f t="array" ref="BC481">IFERROR(INDEX($P$755:$P$818,MATCH(BProvPrivEnrlmtUnder2233[[#This Row],[Band No.]]&amp;BProvPrivEnrlmtUnder2233[[#This Row],[School No.]],$A$755:$A$818&amp;$E$755:$E$818,0)),0)</f>
        <v>0</v>
      </c>
    </row>
    <row r="482" spans="1:55" s="624" customFormat="1" hidden="1">
      <c r="A482" s="629">
        <v>267</v>
      </c>
      <c r="B482" s="629" t="s">
        <v>392</v>
      </c>
      <c r="C482" s="629" t="s">
        <v>1398</v>
      </c>
      <c r="D482" s="629" t="s">
        <v>1399</v>
      </c>
      <c r="E482" s="629" t="s">
        <v>1399</v>
      </c>
      <c r="F482" s="624" t="s">
        <v>1027</v>
      </c>
      <c r="G482" s="629"/>
      <c r="H482" s="629"/>
      <c r="I482" s="629"/>
      <c r="J482" s="629"/>
      <c r="K482" s="629"/>
      <c r="L482" s="629"/>
      <c r="M482" s="629"/>
      <c r="N482" s="629"/>
      <c r="O482" s="629"/>
      <c r="P482" s="629"/>
      <c r="Q482" s="630"/>
      <c r="R482" s="631"/>
      <c r="S482" s="631"/>
      <c r="T482" s="631"/>
      <c r="U482" s="631"/>
      <c r="V482" s="629"/>
      <c r="W482" s="632">
        <f>SUM(BProvPrivEnrlmtUnder2233[[#This Row],[K4]:[Ungradable Second FTE]])</f>
        <v>0</v>
      </c>
      <c r="X482" s="629"/>
      <c r="Y482" s="629"/>
      <c r="Z482" s="629"/>
      <c r="AA482" s="629"/>
      <c r="AB482" s="629"/>
      <c r="AC482" s="629"/>
      <c r="AD482" s="629"/>
      <c r="AE482" s="629"/>
      <c r="AF482" s="629"/>
      <c r="AG482" s="629"/>
      <c r="AH482" s="630"/>
      <c r="AI482" s="631"/>
      <c r="AJ482" s="631"/>
      <c r="AK482" s="631"/>
      <c r="AL482" s="631"/>
      <c r="AM482" s="629"/>
      <c r="AN482" s="633">
        <f>SUM(BProvPrivEnrlmtUnder2233[[#This Row],[K4 H]:[Ungradable Second H]])</f>
        <v>0</v>
      </c>
      <c r="AO482" s="634">
        <v>1</v>
      </c>
      <c r="AP482" s="629" t="s">
        <v>392</v>
      </c>
      <c r="AQ482" s="629" t="str">
        <f>INDEX(TableAFNSchools[North/South of 53rd Parallel &amp; Fly-in = North],MATCH(BProvPrivEnrlmtUnder2233[[#This Row],[Band No.]],TableAFNSchools[Band No '#],0))</f>
        <v>North</v>
      </c>
      <c r="AR482" s="629" t="s">
        <v>1233</v>
      </c>
      <c r="AS482" s="629" t="s">
        <v>441</v>
      </c>
      <c r="AT482" s="629" t="str">
        <f>IF(BProvPrivEnrlmtUnder2233[[#This Row],[K4]]="","None",IF(BProvPrivEnrlmtUnder2233[[#This Row],[K4]]&lt;BProvPrivEnrlmtUnder2233[[#This Row],[K4 H]],"Half-day",IF(AND(BProvPrivEnrlmtUnder2233[[#This Row],[K4]]&gt;0,BProvPrivEnrlmtUnder2233[[#This Row],[K4]]=BProvPrivEnrlmtUnder2233[[#This Row],[K4 H]]),"Full-day",0)))</f>
        <v>None</v>
      </c>
      <c r="AU482" s="629" t="str">
        <f>IF(BProvPrivEnrlmtUnder2233[[#This Row],[K5]]="","None",IF(BProvPrivEnrlmtUnder2233[[#This Row],[K5]]&lt;BProvPrivEnrlmtUnder2233[[#This Row],[K5 H]],"Half-day",IF(AND(BProvPrivEnrlmtUnder2233[[#This Row],[K5]]&gt;0,BProvPrivEnrlmtUnder2233[[#This Row],[K5]]=BProvPrivEnrlmtUnder2233[[#This Row],[K5 H]]),"Full-day",0)))</f>
        <v>None</v>
      </c>
      <c r="AV482" s="635">
        <f t="array" ref="AV482">IFERROR(INDEX($J$755:$J$818,MATCH(BProvPrivEnrlmtUnder2233[[#This Row],[Band No.]]&amp;BProvPrivEnrlmtUnder2233[[#This Row],[School No.]],$A$755:$A$818&amp;$E$755:$E$818,0)),0)</f>
        <v>0</v>
      </c>
      <c r="AW482" s="635">
        <f t="array" ref="AW482">IFERROR(INDEX($M$755:$M$818,MATCH(BProvPrivEnrlmtUnder2233[[#This Row],[Band No.]]&amp;BProvPrivEnrlmtUnder2233[[#This Row],[School No.]],$A$755:$A$818&amp;$E$755:$E$818,0)),0)</f>
        <v>0</v>
      </c>
      <c r="AX482" s="624">
        <f t="array" ref="AX482">IFERROR(INDEX($I$755:$I$818,MATCH(BProvPrivEnrlmtUnder2233[[#This Row],[Band No.]]&amp;BProvPrivEnrlmtUnder2233[[#This Row],[School No.]],$A$755:$A$818&amp;$E$755:$E$818,0)),0)</f>
        <v>0</v>
      </c>
      <c r="AY482" s="630">
        <f t="array" ref="AY482">IFERROR(INDEX($K$755:$K$818,MATCH(BProvPrivEnrlmtUnder2233[[#This Row],[Band No.]]&amp;BProvPrivEnrlmtUnder2233[[#This Row],[School No.]],$A$755:$A$818&amp;$E$755:$E$818,0)),0)</f>
        <v>0</v>
      </c>
      <c r="AZ482" s="637">
        <f>IFERROR(INDEX($O$755:$O$818,MATCH(BProvPrivEnrlmtUnder2233[[#This Row],[Band No.]]&amp;BProvPrivEnrlmtUnder2233[[#This Row],[School No.]],$A$755:$A$818&amp;$E$755:$E$818,0)),0)</f>
        <v>0</v>
      </c>
      <c r="BA482" s="637">
        <f t="array" ref="BA482">IFERROR(INDEX($R$755:$R$818,MATCH(BProvPrivEnrlmtUnder2233[[#This Row],[Band No.]]&amp;BProvPrivEnrlmtUnder2233[[#This Row],[School No.]],$A$755:$A$818&amp;$E$755:$E$818,0)),0)</f>
        <v>0</v>
      </c>
      <c r="BB482" s="637">
        <f t="array" ref="BB482">IFERROR(INDEX($N$755:$N$818,MATCH(BProvPrivEnrlmtUnder2233[[#This Row],[Band No.]]&amp;BProvPrivEnrlmtUnder2233[[#This Row],[School No.]],$A$755:$A$818&amp;$E$755:$E$818,0)),0)</f>
        <v>0</v>
      </c>
      <c r="BC482" s="637">
        <f t="array" ref="BC482">IFERROR(INDEX($P$755:$P$818,MATCH(BProvPrivEnrlmtUnder2233[[#This Row],[Band No.]]&amp;BProvPrivEnrlmtUnder2233[[#This Row],[School No.]],$A$755:$A$818&amp;$E$755:$E$818,0)),0)</f>
        <v>0</v>
      </c>
    </row>
    <row r="483" spans="1:55" s="624" customFormat="1" hidden="1">
      <c r="A483" s="629">
        <v>267</v>
      </c>
      <c r="B483" s="629" t="s">
        <v>392</v>
      </c>
      <c r="C483" s="629" t="s">
        <v>1039</v>
      </c>
      <c r="D483" s="629" t="s">
        <v>1400</v>
      </c>
      <c r="E483" s="629" t="s">
        <v>1355</v>
      </c>
      <c r="F483" s="624" t="s">
        <v>1013</v>
      </c>
      <c r="G483" s="629"/>
      <c r="H483" s="629"/>
      <c r="I483" s="629"/>
      <c r="J483" s="629"/>
      <c r="K483" s="629"/>
      <c r="L483" s="629"/>
      <c r="M483" s="629"/>
      <c r="N483" s="629"/>
      <c r="O483" s="629"/>
      <c r="P483" s="629"/>
      <c r="Q483" s="630"/>
      <c r="R483" s="631"/>
      <c r="S483" s="631"/>
      <c r="T483" s="631"/>
      <c r="U483" s="631">
        <v>0.5</v>
      </c>
      <c r="V483" s="629"/>
      <c r="W483" s="632">
        <f>SUM(BProvPrivEnrlmtUnder2233[[#This Row],[K4]:[Ungradable Second FTE]])</f>
        <v>0.5</v>
      </c>
      <c r="X483" s="629"/>
      <c r="Y483" s="629"/>
      <c r="Z483" s="629"/>
      <c r="AA483" s="629"/>
      <c r="AB483" s="629"/>
      <c r="AC483" s="629"/>
      <c r="AD483" s="629"/>
      <c r="AE483" s="629"/>
      <c r="AF483" s="629"/>
      <c r="AG483" s="629"/>
      <c r="AH483" s="630"/>
      <c r="AI483" s="631"/>
      <c r="AJ483" s="631"/>
      <c r="AK483" s="631"/>
      <c r="AL483" s="631">
        <v>1</v>
      </c>
      <c r="AM483" s="629"/>
      <c r="AN483" s="633">
        <f>SUM(BProvPrivEnrlmtUnder2233[[#This Row],[K4 H]:[Ungradable Second H]])</f>
        <v>1</v>
      </c>
      <c r="AO483" s="634">
        <v>1</v>
      </c>
      <c r="AP483" s="629" t="s">
        <v>392</v>
      </c>
      <c r="AQ483" s="629" t="str">
        <f>INDEX(TableAFNSchools[North/South of 53rd Parallel &amp; Fly-in = North],MATCH(BProvPrivEnrlmtUnder2233[[#This Row],[Band No.]],TableAFNSchools[Band No '#],0))</f>
        <v>North</v>
      </c>
      <c r="AR483" s="629" t="s">
        <v>1401</v>
      </c>
      <c r="AS483" s="629" t="s">
        <v>441</v>
      </c>
      <c r="AT483" s="629" t="str">
        <f>IF(BProvPrivEnrlmtUnder2233[[#This Row],[K4]]="","None",IF(BProvPrivEnrlmtUnder2233[[#This Row],[K4]]&lt;BProvPrivEnrlmtUnder2233[[#This Row],[K4 H]],"Half-day",IF(AND(BProvPrivEnrlmtUnder2233[[#This Row],[K4]]&gt;0,BProvPrivEnrlmtUnder2233[[#This Row],[K4]]=BProvPrivEnrlmtUnder2233[[#This Row],[K4 H]]),"Full-day",0)))</f>
        <v>None</v>
      </c>
      <c r="AU483" s="629" t="str">
        <f>IF(BProvPrivEnrlmtUnder2233[[#This Row],[K5]]="","None",IF(BProvPrivEnrlmtUnder2233[[#This Row],[K5]]&lt;BProvPrivEnrlmtUnder2233[[#This Row],[K5 H]],"Half-day",IF(AND(BProvPrivEnrlmtUnder2233[[#This Row],[K5]]&gt;0,BProvPrivEnrlmtUnder2233[[#This Row],[K5]]=BProvPrivEnrlmtUnder2233[[#This Row],[K5 H]]),"Full-day",0)))</f>
        <v>None</v>
      </c>
      <c r="AV483" s="635">
        <f t="array" ref="AV483">IFERROR(INDEX($J$755:$J$818,MATCH(BProvPrivEnrlmtUnder2233[[#This Row],[Band No.]]&amp;BProvPrivEnrlmtUnder2233[[#This Row],[School No.]],$A$755:$A$818&amp;$E$755:$E$818,0)),0)</f>
        <v>0</v>
      </c>
      <c r="AW483" s="635">
        <f t="array" ref="AW483">IFERROR(INDEX($M$755:$M$818,MATCH(BProvPrivEnrlmtUnder2233[[#This Row],[Band No.]]&amp;BProvPrivEnrlmtUnder2233[[#This Row],[School No.]],$A$755:$A$818&amp;$E$755:$E$818,0)),0)</f>
        <v>0</v>
      </c>
      <c r="AX483" s="624">
        <f t="array" ref="AX483">IFERROR(INDEX($I$755:$I$818,MATCH(BProvPrivEnrlmtUnder2233[[#This Row],[Band No.]]&amp;BProvPrivEnrlmtUnder2233[[#This Row],[School No.]],$A$755:$A$818&amp;$E$755:$E$818,0)),0)</f>
        <v>0</v>
      </c>
      <c r="AY483" s="630">
        <f t="array" ref="AY483">IFERROR(INDEX($K$755:$K$818,MATCH(BProvPrivEnrlmtUnder2233[[#This Row],[Band No.]]&amp;BProvPrivEnrlmtUnder2233[[#This Row],[School No.]],$A$755:$A$818&amp;$E$755:$E$818,0)),0)</f>
        <v>0</v>
      </c>
      <c r="AZ483" s="637">
        <f t="array" ref="AZ483">IFERROR(INDEX($O$755:$O$818,MATCH(BProvPrivEnrlmtUnder2233[[#This Row],[Band No.]]&amp;BProvPrivEnrlmtUnder2233[[#This Row],[School No.]],$A$755:$A$818&amp;$E$755:$E$818,0)),0)</f>
        <v>1</v>
      </c>
      <c r="BA483" s="637">
        <f t="array" ref="BA483">IFERROR(INDEX($R$755:$R$818,MATCH(BProvPrivEnrlmtUnder2233[[#This Row],[Band No.]]&amp;BProvPrivEnrlmtUnder2233[[#This Row],[School No.]],$A$755:$A$818&amp;$E$755:$E$818,0)),0)</f>
        <v>0</v>
      </c>
      <c r="BB483" s="637">
        <f t="array" ref="BB483">IFERROR(INDEX($N$755:$N$818,MATCH(BProvPrivEnrlmtUnder2233[[#This Row],[Band No.]]&amp;BProvPrivEnrlmtUnder2233[[#This Row],[School No.]],$A$755:$A$818&amp;$E$755:$E$818,0)),0)</f>
        <v>0</v>
      </c>
      <c r="BC483" s="637">
        <f t="array" ref="BC483">IFERROR(INDEX($P$755:$P$818,MATCH(BProvPrivEnrlmtUnder2233[[#This Row],[Band No.]]&amp;BProvPrivEnrlmtUnder2233[[#This Row],[School No.]],$A$755:$A$818&amp;$E$755:$E$818,0)),0)</f>
        <v>0</v>
      </c>
    </row>
    <row r="484" spans="1:55" s="624" customFormat="1" hidden="1">
      <c r="A484" s="629">
        <v>267</v>
      </c>
      <c r="B484" s="629" t="s">
        <v>392</v>
      </c>
      <c r="C484" s="629" t="s">
        <v>1402</v>
      </c>
      <c r="D484" s="629" t="s">
        <v>1403</v>
      </c>
      <c r="E484" s="629" t="s">
        <v>1404</v>
      </c>
      <c r="F484" s="624" t="s">
        <v>1027</v>
      </c>
      <c r="G484" s="629"/>
      <c r="H484" s="629"/>
      <c r="I484" s="629"/>
      <c r="J484" s="629"/>
      <c r="K484" s="629"/>
      <c r="L484" s="629"/>
      <c r="M484" s="629"/>
      <c r="N484" s="629"/>
      <c r="O484" s="629"/>
      <c r="P484" s="629"/>
      <c r="Q484" s="630"/>
      <c r="R484" s="631"/>
      <c r="S484" s="631"/>
      <c r="T484" s="631"/>
      <c r="U484" s="631">
        <v>0.5</v>
      </c>
      <c r="V484" s="629"/>
      <c r="W484" s="632">
        <f>SUM(BProvPrivEnrlmtUnder2233[[#This Row],[K4]:[Ungradable Second FTE]])</f>
        <v>0.5</v>
      </c>
      <c r="X484" s="629"/>
      <c r="Y484" s="629"/>
      <c r="Z484" s="629"/>
      <c r="AA484" s="629"/>
      <c r="AB484" s="629"/>
      <c r="AC484" s="629"/>
      <c r="AD484" s="629"/>
      <c r="AE484" s="629"/>
      <c r="AF484" s="629"/>
      <c r="AG484" s="629"/>
      <c r="AH484" s="630"/>
      <c r="AI484" s="631"/>
      <c r="AJ484" s="631"/>
      <c r="AK484" s="631"/>
      <c r="AL484" s="631">
        <v>1</v>
      </c>
      <c r="AM484" s="629"/>
      <c r="AN484" s="633">
        <f>SUM(BProvPrivEnrlmtUnder2233[[#This Row],[K4 H]:[Ungradable Second H]])</f>
        <v>1</v>
      </c>
      <c r="AO484" s="634">
        <v>1</v>
      </c>
      <c r="AP484" s="629" t="s">
        <v>392</v>
      </c>
      <c r="AQ484" s="629" t="str">
        <f>INDEX(TableAFNSchools[North/South of 53rd Parallel &amp; Fly-in = North],MATCH(BProvPrivEnrlmtUnder2233[[#This Row],[Band No.]],TableAFNSchools[Band No '#],0))</f>
        <v>North</v>
      </c>
      <c r="AR484" s="629" t="s">
        <v>1405</v>
      </c>
      <c r="AS484" s="629" t="s">
        <v>441</v>
      </c>
      <c r="AT484" s="629" t="str">
        <f>IF(BProvPrivEnrlmtUnder2233[[#This Row],[K4]]="","None",IF(BProvPrivEnrlmtUnder2233[[#This Row],[K4]]&lt;BProvPrivEnrlmtUnder2233[[#This Row],[K4 H]],"Half-day",IF(AND(BProvPrivEnrlmtUnder2233[[#This Row],[K4]]&gt;0,BProvPrivEnrlmtUnder2233[[#This Row],[K4]]=BProvPrivEnrlmtUnder2233[[#This Row],[K4 H]]),"Full-day",0)))</f>
        <v>None</v>
      </c>
      <c r="AU484" s="629" t="str">
        <f>IF(BProvPrivEnrlmtUnder2233[[#This Row],[K5]]="","None",IF(BProvPrivEnrlmtUnder2233[[#This Row],[K5]]&lt;BProvPrivEnrlmtUnder2233[[#This Row],[K5 H]],"Half-day",IF(AND(BProvPrivEnrlmtUnder2233[[#This Row],[K5]]&gt;0,BProvPrivEnrlmtUnder2233[[#This Row],[K5]]=BProvPrivEnrlmtUnder2233[[#This Row],[K5 H]]),"Full-day",0)))</f>
        <v>None</v>
      </c>
      <c r="AV484" s="635">
        <f t="array" ref="AV484">IFERROR(INDEX($J$755:$J$818,MATCH(BProvPrivEnrlmtUnder2233[[#This Row],[Band No.]]&amp;BProvPrivEnrlmtUnder2233[[#This Row],[School No.]],$A$755:$A$818&amp;$E$755:$E$818,0)),0)</f>
        <v>0</v>
      </c>
      <c r="AW484" s="635">
        <f t="array" ref="AW484">IFERROR(INDEX($M$755:$M$818,MATCH(BProvPrivEnrlmtUnder2233[[#This Row],[Band No.]]&amp;BProvPrivEnrlmtUnder2233[[#This Row],[School No.]],$A$755:$A$818&amp;$E$755:$E$818,0)),0)</f>
        <v>0</v>
      </c>
      <c r="AX484" s="624">
        <f t="array" ref="AX484">IFERROR(INDEX($I$755:$I$818,MATCH(BProvPrivEnrlmtUnder2233[[#This Row],[Band No.]]&amp;BProvPrivEnrlmtUnder2233[[#This Row],[School No.]],$A$755:$A$818&amp;$E$755:$E$818,0)),0)</f>
        <v>0</v>
      </c>
      <c r="AY484" s="630">
        <f t="array" ref="AY484">IFERROR(INDEX($K$755:$K$818,MATCH(BProvPrivEnrlmtUnder2233[[#This Row],[Band No.]]&amp;BProvPrivEnrlmtUnder2233[[#This Row],[School No.]],$A$755:$A$818&amp;$E$755:$E$818,0)),0)</f>
        <v>0</v>
      </c>
      <c r="AZ484" s="637">
        <f t="array" ref="AZ484">IFERROR(INDEX($O$755:$O$818,MATCH(BProvPrivEnrlmtUnder2233[[#This Row],[Band No.]]&amp;BProvPrivEnrlmtUnder2233[[#This Row],[School No.]],$A$755:$A$818&amp;$E$755:$E$818,0)),0)</f>
        <v>1</v>
      </c>
      <c r="BA484" s="637">
        <f t="array" ref="BA484">IFERROR(INDEX($R$755:$R$818,MATCH(BProvPrivEnrlmtUnder2233[[#This Row],[Band No.]]&amp;BProvPrivEnrlmtUnder2233[[#This Row],[School No.]],$A$755:$A$818&amp;$E$755:$E$818,0)),0)</f>
        <v>0</v>
      </c>
      <c r="BB484" s="637">
        <f t="array" ref="BB484">IFERROR(INDEX($N$755:$N$818,MATCH(BProvPrivEnrlmtUnder2233[[#This Row],[Band No.]]&amp;BProvPrivEnrlmtUnder2233[[#This Row],[School No.]],$A$755:$A$818&amp;$E$755:$E$818,0)),0)</f>
        <v>0</v>
      </c>
      <c r="BC484" s="637">
        <f t="array" ref="BC484">IFERROR(INDEX($P$755:$P$818,MATCH(BProvPrivEnrlmtUnder2233[[#This Row],[Band No.]]&amp;BProvPrivEnrlmtUnder2233[[#This Row],[School No.]],$A$755:$A$818&amp;$E$755:$E$818,0)),0)</f>
        <v>0</v>
      </c>
    </row>
    <row r="485" spans="1:55" s="624" customFormat="1" hidden="1">
      <c r="A485" s="629">
        <v>271</v>
      </c>
      <c r="B485" s="629" t="s">
        <v>396</v>
      </c>
      <c r="C485" s="629" t="s">
        <v>1406</v>
      </c>
      <c r="D485" s="629" t="s">
        <v>1407</v>
      </c>
      <c r="E485" s="629" t="s">
        <v>1408</v>
      </c>
      <c r="F485" s="624" t="s">
        <v>1013</v>
      </c>
      <c r="G485" s="629"/>
      <c r="H485" s="629"/>
      <c r="I485" s="629"/>
      <c r="J485" s="629"/>
      <c r="K485" s="629"/>
      <c r="L485" s="629"/>
      <c r="M485" s="629"/>
      <c r="N485" s="629"/>
      <c r="O485" s="629"/>
      <c r="P485" s="629"/>
      <c r="Q485" s="630"/>
      <c r="R485" s="631"/>
      <c r="S485" s="631"/>
      <c r="T485" s="631"/>
      <c r="U485" s="631"/>
      <c r="V485" s="629"/>
      <c r="W485" s="632">
        <f>SUM(BProvPrivEnrlmtUnder2233[[#This Row],[K4]:[Ungradable Second FTE]])</f>
        <v>0</v>
      </c>
      <c r="X485" s="629"/>
      <c r="Y485" s="629"/>
      <c r="Z485" s="629"/>
      <c r="AA485" s="629"/>
      <c r="AB485" s="629"/>
      <c r="AC485" s="629"/>
      <c r="AD485" s="629"/>
      <c r="AE485" s="629"/>
      <c r="AF485" s="629"/>
      <c r="AG485" s="629"/>
      <c r="AH485" s="630"/>
      <c r="AI485" s="631"/>
      <c r="AJ485" s="631"/>
      <c r="AK485" s="631"/>
      <c r="AL485" s="631"/>
      <c r="AM485" s="629"/>
      <c r="AN485" s="633">
        <f>SUM(BProvPrivEnrlmtUnder2233[[#This Row],[K4 H]:[Ungradable Second H]])</f>
        <v>0</v>
      </c>
      <c r="AO485" s="634">
        <v>1</v>
      </c>
      <c r="AP485" s="629" t="s">
        <v>396</v>
      </c>
      <c r="AQ485" s="629" t="str">
        <f>INDEX(TableAFNSchools[North/South of 53rd Parallel &amp; Fly-in = North],MATCH(BProvPrivEnrlmtUnder2233[[#This Row],[Band No.]],TableAFNSchools[Band No '#],0))</f>
        <v>South</v>
      </c>
      <c r="AR485" s="629" t="s">
        <v>442</v>
      </c>
      <c r="AS485" s="629" t="s">
        <v>442</v>
      </c>
      <c r="AT485" s="629" t="str">
        <f>IF(BProvPrivEnrlmtUnder2233[[#This Row],[K4]]="","None",IF(BProvPrivEnrlmtUnder2233[[#This Row],[K4]]&lt;BProvPrivEnrlmtUnder2233[[#This Row],[K4 H]],"Half-day",IF(AND(BProvPrivEnrlmtUnder2233[[#This Row],[K4]]&gt;0,BProvPrivEnrlmtUnder2233[[#This Row],[K4]]=BProvPrivEnrlmtUnder2233[[#This Row],[K4 H]]),"Full-day",0)))</f>
        <v>None</v>
      </c>
      <c r="AU485" s="629" t="str">
        <f>IF(BProvPrivEnrlmtUnder2233[[#This Row],[K5]]="","None",IF(BProvPrivEnrlmtUnder2233[[#This Row],[K5]]&lt;BProvPrivEnrlmtUnder2233[[#This Row],[K5 H]],"Half-day",IF(AND(BProvPrivEnrlmtUnder2233[[#This Row],[K5]]&gt;0,BProvPrivEnrlmtUnder2233[[#This Row],[K5]]=BProvPrivEnrlmtUnder2233[[#This Row],[K5 H]]),"Full-day",0)))</f>
        <v>None</v>
      </c>
      <c r="AV485" s="635">
        <f t="array" ref="AV485">IFERROR(INDEX($J$755:$J$818,MATCH(BProvPrivEnrlmtUnder2233[[#This Row],[Band No.]]&amp;BProvPrivEnrlmtUnder2233[[#This Row],[School No.]],$A$755:$A$818&amp;$E$755:$E$818,0)),0)</f>
        <v>0</v>
      </c>
      <c r="AW485" s="635">
        <f t="array" ref="AW485">IFERROR(INDEX($M$755:$M$818,MATCH(BProvPrivEnrlmtUnder2233[[#This Row],[Band No.]]&amp;BProvPrivEnrlmtUnder2233[[#This Row],[School No.]],$A$755:$A$818&amp;$E$755:$E$818,0)),0)</f>
        <v>0</v>
      </c>
      <c r="AX485" s="624">
        <f t="array" ref="AX485">IFERROR(INDEX($I$755:$I$818,MATCH(BProvPrivEnrlmtUnder2233[[#This Row],[Band No.]]&amp;BProvPrivEnrlmtUnder2233[[#This Row],[School No.]],$A$755:$A$818&amp;$E$755:$E$818,0)),0)</f>
        <v>0</v>
      </c>
      <c r="AY485" s="630">
        <f t="array" ref="AY485">IFERROR(INDEX($K$755:$K$818,MATCH(BProvPrivEnrlmtUnder2233[[#This Row],[Band No.]]&amp;BProvPrivEnrlmtUnder2233[[#This Row],[School No.]],$A$755:$A$818&amp;$E$755:$E$818,0)),0)</f>
        <v>0</v>
      </c>
      <c r="AZ485" s="637">
        <f t="array" ref="AZ485">IFERROR(INDEX($O$755:$O$818,MATCH(BProvPrivEnrlmtUnder2233[[#This Row],[Band No.]]&amp;BProvPrivEnrlmtUnder2233[[#This Row],[School No.]],$A$755:$A$818&amp;$E$755:$E$818,0)),0)</f>
        <v>0</v>
      </c>
      <c r="BA485" s="637">
        <f t="array" ref="BA485">IFERROR(INDEX($R$755:$R$818,MATCH(BProvPrivEnrlmtUnder2233[[#This Row],[Band No.]]&amp;BProvPrivEnrlmtUnder2233[[#This Row],[School No.]],$A$755:$A$818&amp;$E$755:$E$818,0)),0)</f>
        <v>0</v>
      </c>
      <c r="BB485" s="637">
        <f t="array" ref="BB485">IFERROR(INDEX($N$755:$N$818,MATCH(BProvPrivEnrlmtUnder2233[[#This Row],[Band No.]]&amp;BProvPrivEnrlmtUnder2233[[#This Row],[School No.]],$A$755:$A$818&amp;$E$755:$E$818,0)),0)</f>
        <v>0</v>
      </c>
      <c r="BC485" s="637">
        <f t="array" ref="BC485">IFERROR(INDEX($P$755:$P$818,MATCH(BProvPrivEnrlmtUnder2233[[#This Row],[Band No.]]&amp;BProvPrivEnrlmtUnder2233[[#This Row],[School No.]],$A$755:$A$818&amp;$E$755:$E$818,0)),0)</f>
        <v>0</v>
      </c>
    </row>
    <row r="486" spans="1:55" s="624" customFormat="1" hidden="1">
      <c r="A486" s="629">
        <v>271</v>
      </c>
      <c r="B486" s="629" t="s">
        <v>396</v>
      </c>
      <c r="C486" s="629" t="s">
        <v>1031</v>
      </c>
      <c r="D486" s="629" t="s">
        <v>1409</v>
      </c>
      <c r="E486" s="629" t="s">
        <v>1363</v>
      </c>
      <c r="F486" s="624" t="s">
        <v>1013</v>
      </c>
      <c r="G486" s="629"/>
      <c r="H486" s="629"/>
      <c r="I486" s="629"/>
      <c r="J486" s="629"/>
      <c r="K486" s="629"/>
      <c r="L486" s="629"/>
      <c r="M486" s="629"/>
      <c r="N486" s="629"/>
      <c r="O486" s="629"/>
      <c r="P486" s="629"/>
      <c r="Q486" s="630"/>
      <c r="R486" s="631"/>
      <c r="S486" s="631">
        <v>1</v>
      </c>
      <c r="T486" s="631"/>
      <c r="U486" s="631"/>
      <c r="V486" s="629"/>
      <c r="W486" s="632">
        <f>SUM(BProvPrivEnrlmtUnder2233[[#This Row],[K4]:[Ungradable Second FTE]])</f>
        <v>1</v>
      </c>
      <c r="X486" s="629"/>
      <c r="Y486" s="629"/>
      <c r="Z486" s="629"/>
      <c r="AA486" s="629"/>
      <c r="AB486" s="629"/>
      <c r="AC486" s="629"/>
      <c r="AD486" s="629"/>
      <c r="AE486" s="629"/>
      <c r="AF486" s="629"/>
      <c r="AG486" s="629"/>
      <c r="AH486" s="630"/>
      <c r="AI486" s="631"/>
      <c r="AJ486" s="631">
        <v>1</v>
      </c>
      <c r="AK486" s="631"/>
      <c r="AL486" s="631"/>
      <c r="AM486" s="629"/>
      <c r="AN486" s="633">
        <f>SUM(BProvPrivEnrlmtUnder2233[[#This Row],[K4 H]:[Ungradable Second H]])</f>
        <v>1</v>
      </c>
      <c r="AO486" s="634">
        <v>2</v>
      </c>
      <c r="AP486" s="629" t="s">
        <v>396</v>
      </c>
      <c r="AQ486" s="629" t="str">
        <f>INDEX(TableAFNSchools[North/South of 53rd Parallel &amp; Fly-in = North],MATCH(BProvPrivEnrlmtUnder2233[[#This Row],[Band No.]],TableAFNSchools[Band No '#],0))</f>
        <v>South</v>
      </c>
      <c r="AR486" s="629" t="s">
        <v>1233</v>
      </c>
      <c r="AS486" s="629" t="s">
        <v>442</v>
      </c>
      <c r="AT486" s="629" t="str">
        <f>IF(BProvPrivEnrlmtUnder2233[[#This Row],[K4]]="","None",IF(BProvPrivEnrlmtUnder2233[[#This Row],[K4]]&lt;BProvPrivEnrlmtUnder2233[[#This Row],[K4 H]],"Half-day",IF(AND(BProvPrivEnrlmtUnder2233[[#This Row],[K4]]&gt;0,BProvPrivEnrlmtUnder2233[[#This Row],[K4]]=BProvPrivEnrlmtUnder2233[[#This Row],[K4 H]]),"Full-day",0)))</f>
        <v>None</v>
      </c>
      <c r="AU486" s="629" t="str">
        <f>IF(BProvPrivEnrlmtUnder2233[[#This Row],[K5]]="","None",IF(BProvPrivEnrlmtUnder2233[[#This Row],[K5]]&lt;BProvPrivEnrlmtUnder2233[[#This Row],[K5 H]],"Half-day",IF(AND(BProvPrivEnrlmtUnder2233[[#This Row],[K5]]&gt;0,BProvPrivEnrlmtUnder2233[[#This Row],[K5]]=BProvPrivEnrlmtUnder2233[[#This Row],[K5 H]]),"Full-day",0)))</f>
        <v>None</v>
      </c>
      <c r="AV486" s="635">
        <f t="array" ref="AV486">IFERROR(INDEX($J$755:$J$818,MATCH(BProvPrivEnrlmtUnder2233[[#This Row],[Band No.]]&amp;BProvPrivEnrlmtUnder2233[[#This Row],[School No.]],$A$755:$A$818&amp;$E$755:$E$818,0)),0)</f>
        <v>0</v>
      </c>
      <c r="AW486" s="635">
        <f t="array" ref="AW486">IFERROR(INDEX($M$755:$M$818,MATCH(BProvPrivEnrlmtUnder2233[[#This Row],[Band No.]]&amp;BProvPrivEnrlmtUnder2233[[#This Row],[School No.]],$A$755:$A$818&amp;$E$755:$E$818,0)),0)</f>
        <v>0</v>
      </c>
      <c r="AX486" s="624">
        <f t="array" ref="AX486">IFERROR(INDEX($I$755:$I$818,MATCH(BProvPrivEnrlmtUnder2233[[#This Row],[Band No.]]&amp;BProvPrivEnrlmtUnder2233[[#This Row],[School No.]],$A$755:$A$818&amp;$E$755:$E$818,0)),0)</f>
        <v>0</v>
      </c>
      <c r="AY486" s="630">
        <f t="array" ref="AY486">IFERROR(INDEX($K$755:$K$818,MATCH(BProvPrivEnrlmtUnder2233[[#This Row],[Band No.]]&amp;BProvPrivEnrlmtUnder2233[[#This Row],[School No.]],$A$755:$A$818&amp;$E$755:$E$818,0)),0)</f>
        <v>0</v>
      </c>
      <c r="AZ486" s="637">
        <f t="array" ref="AZ486">IFERROR(INDEX($O$755:$O$818,MATCH(BProvPrivEnrlmtUnder2233[[#This Row],[Band No.]]&amp;BProvPrivEnrlmtUnder2233[[#This Row],[School No.]],$A$755:$A$818&amp;$E$755:$E$818,0)),0)</f>
        <v>1</v>
      </c>
      <c r="BA486" s="637">
        <f t="array" ref="BA486">IFERROR(INDEX($R$755:$R$818,MATCH(BProvPrivEnrlmtUnder2233[[#This Row],[Band No.]]&amp;BProvPrivEnrlmtUnder2233[[#This Row],[School No.]],$A$755:$A$818&amp;$E$755:$E$818,0)),0)</f>
        <v>0</v>
      </c>
      <c r="BB486" s="637">
        <f t="array" ref="BB486">IFERROR(INDEX($N$755:$N$818,MATCH(BProvPrivEnrlmtUnder2233[[#This Row],[Band No.]]&amp;BProvPrivEnrlmtUnder2233[[#This Row],[School No.]],$A$755:$A$818&amp;$E$755:$E$818,0)),0)</f>
        <v>0</v>
      </c>
      <c r="BC486" s="637">
        <f t="array" ref="BC486">IFERROR(INDEX($P$755:$P$818,MATCH(BProvPrivEnrlmtUnder2233[[#This Row],[Band No.]]&amp;BProvPrivEnrlmtUnder2233[[#This Row],[School No.]],$A$755:$A$818&amp;$E$755:$E$818,0)),0)</f>
        <v>0</v>
      </c>
    </row>
    <row r="487" spans="1:55" s="624" customFormat="1" hidden="1">
      <c r="A487" s="629">
        <v>271</v>
      </c>
      <c r="B487" s="629" t="s">
        <v>396</v>
      </c>
      <c r="C487" s="629" t="s">
        <v>1410</v>
      </c>
      <c r="D487" s="629" t="s">
        <v>1361</v>
      </c>
      <c r="E487" s="629" t="s">
        <v>1362</v>
      </c>
      <c r="F487" s="624" t="s">
        <v>1013</v>
      </c>
      <c r="G487" s="629"/>
      <c r="H487" s="629"/>
      <c r="I487" s="629"/>
      <c r="J487" s="629"/>
      <c r="K487" s="629"/>
      <c r="L487" s="629"/>
      <c r="M487" s="629"/>
      <c r="N487" s="629"/>
      <c r="O487" s="629"/>
      <c r="P487" s="629"/>
      <c r="Q487" s="630"/>
      <c r="R487" s="631">
        <v>1</v>
      </c>
      <c r="S487" s="631"/>
      <c r="T487" s="631"/>
      <c r="U487" s="631"/>
      <c r="V487" s="629"/>
      <c r="W487" s="632">
        <f>SUM(BProvPrivEnrlmtUnder2233[[#This Row],[K4]:[Ungradable Second FTE]])</f>
        <v>1</v>
      </c>
      <c r="X487" s="629"/>
      <c r="Y487" s="629"/>
      <c r="Z487" s="629"/>
      <c r="AA487" s="629"/>
      <c r="AB487" s="629"/>
      <c r="AC487" s="629"/>
      <c r="AD487" s="629"/>
      <c r="AE487" s="629"/>
      <c r="AF487" s="629"/>
      <c r="AG487" s="629"/>
      <c r="AH487" s="630"/>
      <c r="AI487" s="631">
        <v>1</v>
      </c>
      <c r="AJ487" s="631"/>
      <c r="AK487" s="631"/>
      <c r="AL487" s="631"/>
      <c r="AM487" s="629"/>
      <c r="AN487" s="633">
        <f>SUM(BProvPrivEnrlmtUnder2233[[#This Row],[K4 H]:[Ungradable Second H]])</f>
        <v>1</v>
      </c>
      <c r="AO487" s="634">
        <v>1</v>
      </c>
      <c r="AP487" s="629" t="s">
        <v>396</v>
      </c>
      <c r="AQ487" s="629" t="str">
        <f>INDEX(TableAFNSchools[North/South of 53rd Parallel &amp; Fly-in = North],MATCH(BProvPrivEnrlmtUnder2233[[#This Row],[Band No.]],TableAFNSchools[Band No '#],0))</f>
        <v>South</v>
      </c>
      <c r="AR487" s="629" t="s">
        <v>1233</v>
      </c>
      <c r="AS487" s="629" t="s">
        <v>442</v>
      </c>
      <c r="AT487" s="629" t="str">
        <f>IF(BProvPrivEnrlmtUnder2233[[#This Row],[K4]]="","None",IF(BProvPrivEnrlmtUnder2233[[#This Row],[K4]]&lt;BProvPrivEnrlmtUnder2233[[#This Row],[K4 H]],"Half-day",IF(AND(BProvPrivEnrlmtUnder2233[[#This Row],[K4]]&gt;0,BProvPrivEnrlmtUnder2233[[#This Row],[K4]]=BProvPrivEnrlmtUnder2233[[#This Row],[K4 H]]),"Full-day",0)))</f>
        <v>None</v>
      </c>
      <c r="AU487" s="629" t="str">
        <f>IF(BProvPrivEnrlmtUnder2233[[#This Row],[K5]]="","None",IF(BProvPrivEnrlmtUnder2233[[#This Row],[K5]]&lt;BProvPrivEnrlmtUnder2233[[#This Row],[K5 H]],"Half-day",IF(AND(BProvPrivEnrlmtUnder2233[[#This Row],[K5]]&gt;0,BProvPrivEnrlmtUnder2233[[#This Row],[K5]]=BProvPrivEnrlmtUnder2233[[#This Row],[K5 H]]),"Full-day",0)))</f>
        <v>None</v>
      </c>
      <c r="AV487" s="635">
        <f t="array" ref="AV487">IFERROR(INDEX($J$755:$J$818,MATCH(BProvPrivEnrlmtUnder2233[[#This Row],[Band No.]]&amp;BProvPrivEnrlmtUnder2233[[#This Row],[School No.]],$A$755:$A$818&amp;$E$755:$E$818,0)),0)</f>
        <v>0</v>
      </c>
      <c r="AW487" s="635">
        <f t="array" ref="AW487">IFERROR(INDEX($M$755:$M$818,MATCH(BProvPrivEnrlmtUnder2233[[#This Row],[Band No.]]&amp;BProvPrivEnrlmtUnder2233[[#This Row],[School No.]],$A$755:$A$818&amp;$E$755:$E$818,0)),0)</f>
        <v>1</v>
      </c>
      <c r="AX487" s="624">
        <f t="array" ref="AX487">IFERROR(INDEX($I$755:$I$818,MATCH(BProvPrivEnrlmtUnder2233[[#This Row],[Band No.]]&amp;BProvPrivEnrlmtUnder2233[[#This Row],[School No.]],$A$755:$A$818&amp;$E$755:$E$818,0)),0)</f>
        <v>0</v>
      </c>
      <c r="AY487" s="630">
        <f t="array" ref="AY487">IFERROR(INDEX($K$755:$K$818,MATCH(BProvPrivEnrlmtUnder2233[[#This Row],[Band No.]]&amp;BProvPrivEnrlmtUnder2233[[#This Row],[School No.]],$A$755:$A$818&amp;$E$755:$E$818,0)),0)</f>
        <v>0</v>
      </c>
      <c r="AZ487" s="637">
        <f t="array" ref="AZ487">IFERROR(INDEX($O$755:$O$818,MATCH(BProvPrivEnrlmtUnder2233[[#This Row],[Band No.]]&amp;BProvPrivEnrlmtUnder2233[[#This Row],[School No.]],$A$755:$A$818&amp;$E$755:$E$818,0)),0)</f>
        <v>0</v>
      </c>
      <c r="BA487" s="637">
        <f t="array" ref="BA487">IFERROR(INDEX($R$755:$R$818,MATCH(BProvPrivEnrlmtUnder2233[[#This Row],[Band No.]]&amp;BProvPrivEnrlmtUnder2233[[#This Row],[School No.]],$A$755:$A$818&amp;$E$755:$E$818,0)),0)</f>
        <v>0</v>
      </c>
      <c r="BB487" s="637">
        <f t="array" ref="BB487">IFERROR(INDEX($N$755:$N$818,MATCH(BProvPrivEnrlmtUnder2233[[#This Row],[Band No.]]&amp;BProvPrivEnrlmtUnder2233[[#This Row],[School No.]],$A$755:$A$818&amp;$E$755:$E$818,0)),0)</f>
        <v>0</v>
      </c>
      <c r="BC487" s="637">
        <f t="array" ref="BC487">IFERROR(INDEX($P$755:$P$818,MATCH(BProvPrivEnrlmtUnder2233[[#This Row],[Band No.]]&amp;BProvPrivEnrlmtUnder2233[[#This Row],[School No.]],$A$755:$A$818&amp;$E$755:$E$818,0)),0)</f>
        <v>0</v>
      </c>
    </row>
    <row r="488" spans="1:55" s="624" customFormat="1" hidden="1">
      <c r="A488" s="629">
        <v>271</v>
      </c>
      <c r="B488" s="629" t="s">
        <v>396</v>
      </c>
      <c r="C488" s="629" t="s">
        <v>1023</v>
      </c>
      <c r="D488" s="629" t="s">
        <v>1411</v>
      </c>
      <c r="E488" s="629" t="s">
        <v>1355</v>
      </c>
      <c r="F488" s="624" t="s">
        <v>1013</v>
      </c>
      <c r="G488" s="629"/>
      <c r="H488" s="629"/>
      <c r="I488" s="629"/>
      <c r="J488" s="629"/>
      <c r="K488" s="629"/>
      <c r="L488" s="629"/>
      <c r="M488" s="629"/>
      <c r="N488" s="629"/>
      <c r="O488" s="629"/>
      <c r="P488" s="629"/>
      <c r="Q488" s="630"/>
      <c r="R488" s="631">
        <v>1</v>
      </c>
      <c r="S488" s="631">
        <v>1</v>
      </c>
      <c r="T488" s="631"/>
      <c r="U488" s="631"/>
      <c r="V488" s="629"/>
      <c r="W488" s="632">
        <f>SUM(BProvPrivEnrlmtUnder2233[[#This Row],[K4]:[Ungradable Second FTE]])</f>
        <v>2</v>
      </c>
      <c r="X488" s="629"/>
      <c r="Y488" s="629"/>
      <c r="Z488" s="629"/>
      <c r="AA488" s="629"/>
      <c r="AB488" s="629"/>
      <c r="AC488" s="629"/>
      <c r="AD488" s="629"/>
      <c r="AE488" s="629"/>
      <c r="AF488" s="629"/>
      <c r="AG488" s="629"/>
      <c r="AH488" s="630"/>
      <c r="AI488" s="631">
        <v>1</v>
      </c>
      <c r="AJ488" s="631">
        <v>1</v>
      </c>
      <c r="AK488" s="631"/>
      <c r="AL488" s="631"/>
      <c r="AM488" s="629"/>
      <c r="AN488" s="633">
        <f>SUM(BProvPrivEnrlmtUnder2233[[#This Row],[K4 H]:[Ungradable Second H]])</f>
        <v>2</v>
      </c>
      <c r="AO488" s="634">
        <v>1</v>
      </c>
      <c r="AP488" s="629" t="s">
        <v>396</v>
      </c>
      <c r="AQ488" s="629" t="str">
        <f>INDEX(TableAFNSchools[North/South of 53rd Parallel &amp; Fly-in = North],MATCH(BProvPrivEnrlmtUnder2233[[#This Row],[Band No.]],TableAFNSchools[Band No '#],0))</f>
        <v>South</v>
      </c>
      <c r="AR488" s="629" t="s">
        <v>442</v>
      </c>
      <c r="AS488" s="629" t="s">
        <v>442</v>
      </c>
      <c r="AT488" s="629" t="str">
        <f>IF(BProvPrivEnrlmtUnder2233[[#This Row],[K4]]="","None",IF(BProvPrivEnrlmtUnder2233[[#This Row],[K4]]&lt;BProvPrivEnrlmtUnder2233[[#This Row],[K4 H]],"Half-day",IF(AND(BProvPrivEnrlmtUnder2233[[#This Row],[K4]]&gt;0,BProvPrivEnrlmtUnder2233[[#This Row],[K4]]=BProvPrivEnrlmtUnder2233[[#This Row],[K4 H]]),"Full-day",0)))</f>
        <v>None</v>
      </c>
      <c r="AU488" s="629" t="str">
        <f>IF(BProvPrivEnrlmtUnder2233[[#This Row],[K5]]="","None",IF(BProvPrivEnrlmtUnder2233[[#This Row],[K5]]&lt;BProvPrivEnrlmtUnder2233[[#This Row],[K5 H]],"Half-day",IF(AND(BProvPrivEnrlmtUnder2233[[#This Row],[K5]]&gt;0,BProvPrivEnrlmtUnder2233[[#This Row],[K5]]=BProvPrivEnrlmtUnder2233[[#This Row],[K5 H]]),"Full-day",0)))</f>
        <v>None</v>
      </c>
      <c r="AV488" s="635">
        <f t="array" ref="AV488">IFERROR(INDEX($J$755:$J$818,MATCH(BProvPrivEnrlmtUnder2233[[#This Row],[Band No.]]&amp;BProvPrivEnrlmtUnder2233[[#This Row],[School No.]],$A$755:$A$818&amp;$E$755:$E$818,0)),0)</f>
        <v>2</v>
      </c>
      <c r="AW488" s="635">
        <f t="array" ref="AW488">IFERROR(INDEX($M$755:$M$818,MATCH(BProvPrivEnrlmtUnder2233[[#This Row],[Band No.]]&amp;BProvPrivEnrlmtUnder2233[[#This Row],[School No.]],$A$755:$A$818&amp;$E$755:$E$818,0)),0)</f>
        <v>0</v>
      </c>
      <c r="AX488" s="624">
        <f t="array" ref="AX488">IFERROR(INDEX($I$755:$I$818,MATCH(BProvPrivEnrlmtUnder2233[[#This Row],[Band No.]]&amp;BProvPrivEnrlmtUnder2233[[#This Row],[School No.]],$A$755:$A$818&amp;$E$755:$E$818,0)),0)</f>
        <v>0</v>
      </c>
      <c r="AY488" s="630">
        <f t="array" ref="AY488">IFERROR(INDEX($K$755:$K$818,MATCH(BProvPrivEnrlmtUnder2233[[#This Row],[Band No.]]&amp;BProvPrivEnrlmtUnder2233[[#This Row],[School No.]],$A$755:$A$818&amp;$E$755:$E$818,0)),0)</f>
        <v>0</v>
      </c>
      <c r="AZ488" s="637">
        <f t="array" ref="AZ488">IFERROR(INDEX($O$755:$O$818,MATCH(BProvPrivEnrlmtUnder2233[[#This Row],[Band No.]]&amp;BProvPrivEnrlmtUnder2233[[#This Row],[School No.]],$A$755:$A$818&amp;$E$755:$E$818,0)),0)</f>
        <v>0</v>
      </c>
      <c r="BA488" s="637">
        <f t="array" ref="BA488">IFERROR(INDEX($R$755:$R$818,MATCH(BProvPrivEnrlmtUnder2233[[#This Row],[Band No.]]&amp;BProvPrivEnrlmtUnder2233[[#This Row],[School No.]],$A$755:$A$818&amp;$E$755:$E$818,0)),0)</f>
        <v>0</v>
      </c>
      <c r="BB488" s="637">
        <f t="array" ref="BB488">IFERROR(INDEX($N$755:$N$818,MATCH(BProvPrivEnrlmtUnder2233[[#This Row],[Band No.]]&amp;BProvPrivEnrlmtUnder2233[[#This Row],[School No.]],$A$755:$A$818&amp;$E$755:$E$818,0)),0)</f>
        <v>0</v>
      </c>
      <c r="BC488" s="637">
        <f t="array" ref="BC488">IFERROR(INDEX($P$755:$P$818,MATCH(BProvPrivEnrlmtUnder2233[[#This Row],[Band No.]]&amp;BProvPrivEnrlmtUnder2233[[#This Row],[School No.]],$A$755:$A$818&amp;$E$755:$E$818,0)),0)</f>
        <v>0</v>
      </c>
    </row>
    <row r="489" spans="1:55" s="624" customFormat="1" hidden="1">
      <c r="A489" s="629">
        <v>271</v>
      </c>
      <c r="B489" s="629" t="s">
        <v>396</v>
      </c>
      <c r="C489" s="629" t="s">
        <v>1046</v>
      </c>
      <c r="D489" s="629" t="s">
        <v>1412</v>
      </c>
      <c r="E489" s="629" t="s">
        <v>1355</v>
      </c>
      <c r="F489" s="624" t="s">
        <v>1013</v>
      </c>
      <c r="G489" s="629"/>
      <c r="H489" s="629"/>
      <c r="I489" s="629"/>
      <c r="J489" s="629"/>
      <c r="K489" s="629"/>
      <c r="L489" s="629"/>
      <c r="M489" s="629"/>
      <c r="N489" s="629"/>
      <c r="O489" s="629"/>
      <c r="P489" s="629"/>
      <c r="Q489" s="630"/>
      <c r="R489" s="631"/>
      <c r="S489" s="631"/>
      <c r="T489" s="631">
        <v>1</v>
      </c>
      <c r="U489" s="631"/>
      <c r="V489" s="629"/>
      <c r="W489" s="632">
        <f>SUM(BProvPrivEnrlmtUnder2233[[#This Row],[K4]:[Ungradable Second FTE]])</f>
        <v>1</v>
      </c>
      <c r="X489" s="629"/>
      <c r="Y489" s="629"/>
      <c r="Z489" s="629"/>
      <c r="AA489" s="629"/>
      <c r="AB489" s="629"/>
      <c r="AC489" s="629"/>
      <c r="AD489" s="629"/>
      <c r="AE489" s="629"/>
      <c r="AF489" s="629"/>
      <c r="AG489" s="629"/>
      <c r="AH489" s="630"/>
      <c r="AI489" s="631"/>
      <c r="AJ489" s="631"/>
      <c r="AK489" s="631">
        <v>1</v>
      </c>
      <c r="AL489" s="631"/>
      <c r="AM489" s="629"/>
      <c r="AN489" s="633">
        <f>SUM(BProvPrivEnrlmtUnder2233[[#This Row],[K4 H]:[Ungradable Second H]])</f>
        <v>1</v>
      </c>
      <c r="AO489" s="634">
        <v>2</v>
      </c>
      <c r="AP489" s="629" t="s">
        <v>396</v>
      </c>
      <c r="AQ489" s="629" t="str">
        <f>INDEX(TableAFNSchools[North/South of 53rd Parallel &amp; Fly-in = North],MATCH(BProvPrivEnrlmtUnder2233[[#This Row],[Band No.]],TableAFNSchools[Band No '#],0))</f>
        <v>South</v>
      </c>
      <c r="AR489" s="629" t="s">
        <v>1405</v>
      </c>
      <c r="AS489" s="629" t="s">
        <v>442</v>
      </c>
      <c r="AT489" s="629" t="str">
        <f>IF(BProvPrivEnrlmtUnder2233[[#This Row],[K4]]="","None",IF(BProvPrivEnrlmtUnder2233[[#This Row],[K4]]&lt;BProvPrivEnrlmtUnder2233[[#This Row],[K4 H]],"Half-day",IF(AND(BProvPrivEnrlmtUnder2233[[#This Row],[K4]]&gt;0,BProvPrivEnrlmtUnder2233[[#This Row],[K4]]=BProvPrivEnrlmtUnder2233[[#This Row],[K4 H]]),"Full-day",0)))</f>
        <v>None</v>
      </c>
      <c r="AU489" s="629" t="str">
        <f>IF(BProvPrivEnrlmtUnder2233[[#This Row],[K5]]="","None",IF(BProvPrivEnrlmtUnder2233[[#This Row],[K5]]&lt;BProvPrivEnrlmtUnder2233[[#This Row],[K5 H]],"Half-day",IF(AND(BProvPrivEnrlmtUnder2233[[#This Row],[K5]]&gt;0,BProvPrivEnrlmtUnder2233[[#This Row],[K5]]=BProvPrivEnrlmtUnder2233[[#This Row],[K5 H]]),"Full-day",0)))</f>
        <v>None</v>
      </c>
      <c r="AV489" s="635">
        <f t="array" ref="AV489">IFERROR(INDEX($J$755:$J$818,MATCH(BProvPrivEnrlmtUnder2233[[#This Row],[Band No.]]&amp;BProvPrivEnrlmtUnder2233[[#This Row],[School No.]],$A$755:$A$818&amp;$E$755:$E$818,0)),0)</f>
        <v>0</v>
      </c>
      <c r="AW489" s="635">
        <f t="array" ref="AW489">IFERROR(INDEX($M$755:$M$818,MATCH(BProvPrivEnrlmtUnder2233[[#This Row],[Band No.]]&amp;BProvPrivEnrlmtUnder2233[[#This Row],[School No.]],$A$755:$A$818&amp;$E$755:$E$818,0)),0)</f>
        <v>0</v>
      </c>
      <c r="AX489" s="624">
        <f t="array" ref="AX489">IFERROR(INDEX($I$755:$I$818,MATCH(BProvPrivEnrlmtUnder2233[[#This Row],[Band No.]]&amp;BProvPrivEnrlmtUnder2233[[#This Row],[School No.]],$A$755:$A$818&amp;$E$755:$E$818,0)),0)</f>
        <v>0</v>
      </c>
      <c r="AY489" s="630">
        <f t="array" ref="AY489">IFERROR(INDEX($K$755:$K$818,MATCH(BProvPrivEnrlmtUnder2233[[#This Row],[Band No.]]&amp;BProvPrivEnrlmtUnder2233[[#This Row],[School No.]],$A$755:$A$818&amp;$E$755:$E$818,0)),0)</f>
        <v>0</v>
      </c>
      <c r="AZ489" s="637">
        <f t="array" ref="AZ489">IFERROR(INDEX($O$755:$O$818,MATCH(BProvPrivEnrlmtUnder2233[[#This Row],[Band No.]]&amp;BProvPrivEnrlmtUnder2233[[#This Row],[School No.]],$A$755:$A$818&amp;$E$755:$E$818,0)),0)</f>
        <v>1</v>
      </c>
      <c r="BA489" s="637">
        <f t="array" ref="BA489">IFERROR(INDEX($R$755:$R$818,MATCH(BProvPrivEnrlmtUnder2233[[#This Row],[Band No.]]&amp;BProvPrivEnrlmtUnder2233[[#This Row],[School No.]],$A$755:$A$818&amp;$E$755:$E$818,0)),0)</f>
        <v>0</v>
      </c>
      <c r="BB489" s="637">
        <f t="array" ref="BB489">IFERROR(INDEX($N$755:$N$818,MATCH(BProvPrivEnrlmtUnder2233[[#This Row],[Band No.]]&amp;BProvPrivEnrlmtUnder2233[[#This Row],[School No.]],$A$755:$A$818&amp;$E$755:$E$818,0)),0)</f>
        <v>0</v>
      </c>
      <c r="BC489" s="637">
        <f t="array" ref="BC489">IFERROR(INDEX($P$755:$P$818,MATCH(BProvPrivEnrlmtUnder2233[[#This Row],[Band No.]]&amp;BProvPrivEnrlmtUnder2233[[#This Row],[School No.]],$A$755:$A$818&amp;$E$755:$E$818,0)),0)</f>
        <v>0</v>
      </c>
    </row>
    <row r="490" spans="1:55" s="624" customFormat="1" hidden="1">
      <c r="A490" s="629">
        <v>271</v>
      </c>
      <c r="B490" s="629" t="s">
        <v>396</v>
      </c>
      <c r="C490" s="629" t="s">
        <v>1413</v>
      </c>
      <c r="D490" s="629" t="s">
        <v>1414</v>
      </c>
      <c r="E490" s="629" t="s">
        <v>1377</v>
      </c>
      <c r="F490" s="624" t="s">
        <v>1013</v>
      </c>
      <c r="G490" s="629"/>
      <c r="H490" s="629"/>
      <c r="I490" s="629"/>
      <c r="J490" s="629"/>
      <c r="K490" s="629"/>
      <c r="L490" s="629"/>
      <c r="M490" s="629"/>
      <c r="N490" s="629"/>
      <c r="O490" s="629"/>
      <c r="P490" s="629"/>
      <c r="Q490" s="630"/>
      <c r="R490" s="631"/>
      <c r="S490" s="631">
        <v>1</v>
      </c>
      <c r="T490" s="631"/>
      <c r="U490" s="631"/>
      <c r="V490" s="629"/>
      <c r="W490" s="632">
        <f>SUM(BProvPrivEnrlmtUnder2233[[#This Row],[K4]:[Ungradable Second FTE]])</f>
        <v>1</v>
      </c>
      <c r="X490" s="629"/>
      <c r="Y490" s="629"/>
      <c r="Z490" s="629"/>
      <c r="AA490" s="629"/>
      <c r="AB490" s="629"/>
      <c r="AC490" s="629"/>
      <c r="AD490" s="629"/>
      <c r="AE490" s="629"/>
      <c r="AF490" s="629"/>
      <c r="AG490" s="629"/>
      <c r="AH490" s="630"/>
      <c r="AI490" s="631"/>
      <c r="AJ490" s="631">
        <v>1</v>
      </c>
      <c r="AK490" s="631"/>
      <c r="AL490" s="631"/>
      <c r="AM490" s="629"/>
      <c r="AN490" s="633">
        <f>SUM(BProvPrivEnrlmtUnder2233[[#This Row],[K4 H]:[Ungradable Second H]])</f>
        <v>1</v>
      </c>
      <c r="AO490" s="634">
        <v>1</v>
      </c>
      <c r="AP490" s="629" t="s">
        <v>396</v>
      </c>
      <c r="AQ490" s="629" t="str">
        <f>INDEX(TableAFNSchools[North/South of 53rd Parallel &amp; Fly-in = North],MATCH(BProvPrivEnrlmtUnder2233[[#This Row],[Band No.]],TableAFNSchools[Band No '#],0))</f>
        <v>South</v>
      </c>
      <c r="AR490" s="629" t="s">
        <v>1388</v>
      </c>
      <c r="AS490" s="629" t="s">
        <v>442</v>
      </c>
      <c r="AT490" s="629" t="str">
        <f>IF(BProvPrivEnrlmtUnder2233[[#This Row],[K4]]="","None",IF(BProvPrivEnrlmtUnder2233[[#This Row],[K4]]&lt;BProvPrivEnrlmtUnder2233[[#This Row],[K4 H]],"Half-day",IF(AND(BProvPrivEnrlmtUnder2233[[#This Row],[K4]]&gt;0,BProvPrivEnrlmtUnder2233[[#This Row],[K4]]=BProvPrivEnrlmtUnder2233[[#This Row],[K4 H]]),"Full-day",0)))</f>
        <v>None</v>
      </c>
      <c r="AU490" s="629" t="str">
        <f>IF(BProvPrivEnrlmtUnder2233[[#This Row],[K5]]="","None",IF(BProvPrivEnrlmtUnder2233[[#This Row],[K5]]&lt;BProvPrivEnrlmtUnder2233[[#This Row],[K5 H]],"Half-day",IF(AND(BProvPrivEnrlmtUnder2233[[#This Row],[K5]]&gt;0,BProvPrivEnrlmtUnder2233[[#This Row],[K5]]=BProvPrivEnrlmtUnder2233[[#This Row],[K5 H]]),"Full-day",0)))</f>
        <v>None</v>
      </c>
      <c r="AV490" s="635">
        <f t="array" ref="AV490">IFERROR(INDEX($J$755:$J$818,MATCH(BProvPrivEnrlmtUnder2233[[#This Row],[Band No.]]&amp;BProvPrivEnrlmtUnder2233[[#This Row],[School No.]],$A$755:$A$818&amp;$E$755:$E$818,0)),0)</f>
        <v>0</v>
      </c>
      <c r="AW490" s="635">
        <f t="array" ref="AW490">IFERROR(INDEX($M$755:$M$818,MATCH(BProvPrivEnrlmtUnder2233[[#This Row],[Band No.]]&amp;BProvPrivEnrlmtUnder2233[[#This Row],[School No.]],$A$755:$A$818&amp;$E$755:$E$818,0)),0)</f>
        <v>1</v>
      </c>
      <c r="AX490" s="624">
        <f t="array" ref="AX490">IFERROR(INDEX($I$755:$I$818,MATCH(BProvPrivEnrlmtUnder2233[[#This Row],[Band No.]]&amp;BProvPrivEnrlmtUnder2233[[#This Row],[School No.]],$A$755:$A$818&amp;$E$755:$E$818,0)),0)</f>
        <v>0</v>
      </c>
      <c r="AY490" s="630">
        <f t="array" ref="AY490">IFERROR(INDEX($K$755:$K$818,MATCH(BProvPrivEnrlmtUnder2233[[#This Row],[Band No.]]&amp;BProvPrivEnrlmtUnder2233[[#This Row],[School No.]],$A$755:$A$818&amp;$E$755:$E$818,0)),0)</f>
        <v>0</v>
      </c>
      <c r="AZ490" s="637">
        <f t="array" ref="AZ490">IFERROR(INDEX($O$755:$O$818,MATCH(BProvPrivEnrlmtUnder2233[[#This Row],[Band No.]]&amp;BProvPrivEnrlmtUnder2233[[#This Row],[School No.]],$A$755:$A$818&amp;$E$755:$E$818,0)),0)</f>
        <v>0</v>
      </c>
      <c r="BA490" s="637">
        <f t="array" ref="BA490">IFERROR(INDEX($R$755:$R$818,MATCH(BProvPrivEnrlmtUnder2233[[#This Row],[Band No.]]&amp;BProvPrivEnrlmtUnder2233[[#This Row],[School No.]],$A$755:$A$818&amp;$E$755:$E$818,0)),0)</f>
        <v>0</v>
      </c>
      <c r="BB490" s="637">
        <f t="array" ref="BB490">IFERROR(INDEX($N$755:$N$818,MATCH(BProvPrivEnrlmtUnder2233[[#This Row],[Band No.]]&amp;BProvPrivEnrlmtUnder2233[[#This Row],[School No.]],$A$755:$A$818&amp;$E$755:$E$818,0)),0)</f>
        <v>0</v>
      </c>
      <c r="BC490" s="637">
        <f t="array" ref="BC490">IFERROR(INDEX($P$755:$P$818,MATCH(BProvPrivEnrlmtUnder2233[[#This Row],[Band No.]]&amp;BProvPrivEnrlmtUnder2233[[#This Row],[School No.]],$A$755:$A$818&amp;$E$755:$E$818,0)),0)</f>
        <v>0</v>
      </c>
    </row>
    <row r="491" spans="1:55" s="624" customFormat="1" hidden="1">
      <c r="A491" s="629">
        <v>271</v>
      </c>
      <c r="B491" s="629" t="s">
        <v>396</v>
      </c>
      <c r="C491" s="629" t="s">
        <v>1011</v>
      </c>
      <c r="D491" s="629" t="s">
        <v>1415</v>
      </c>
      <c r="E491" s="629" t="s">
        <v>1363</v>
      </c>
      <c r="F491" s="624" t="s">
        <v>1013</v>
      </c>
      <c r="G491" s="629"/>
      <c r="H491" s="629"/>
      <c r="I491" s="629"/>
      <c r="J491" s="629"/>
      <c r="K491" s="629"/>
      <c r="L491" s="629"/>
      <c r="M491" s="629"/>
      <c r="N491" s="629"/>
      <c r="O491" s="629"/>
      <c r="P491" s="629"/>
      <c r="Q491" s="630"/>
      <c r="R491" s="631">
        <v>1</v>
      </c>
      <c r="S491" s="631"/>
      <c r="T491" s="631">
        <v>1</v>
      </c>
      <c r="U491" s="631"/>
      <c r="V491" s="629"/>
      <c r="W491" s="632">
        <f>SUM(BProvPrivEnrlmtUnder2233[[#This Row],[K4]:[Ungradable Second FTE]])</f>
        <v>2</v>
      </c>
      <c r="X491" s="629"/>
      <c r="Y491" s="629"/>
      <c r="Z491" s="629"/>
      <c r="AA491" s="629"/>
      <c r="AB491" s="629"/>
      <c r="AC491" s="629"/>
      <c r="AD491" s="629"/>
      <c r="AE491" s="629"/>
      <c r="AF491" s="629"/>
      <c r="AG491" s="629"/>
      <c r="AH491" s="630"/>
      <c r="AI491" s="631">
        <v>1</v>
      </c>
      <c r="AJ491" s="631"/>
      <c r="AK491" s="631">
        <v>1</v>
      </c>
      <c r="AL491" s="631"/>
      <c r="AM491" s="629"/>
      <c r="AN491" s="633">
        <f>SUM(BProvPrivEnrlmtUnder2233[[#This Row],[K4 H]:[Ungradable Second H]])</f>
        <v>2</v>
      </c>
      <c r="AO491" s="634">
        <v>1</v>
      </c>
      <c r="AP491" s="629" t="s">
        <v>396</v>
      </c>
      <c r="AQ491" s="629" t="str">
        <f>INDEX(TableAFNSchools[North/South of 53rd Parallel &amp; Fly-in = North],MATCH(BProvPrivEnrlmtUnder2233[[#This Row],[Band No.]],TableAFNSchools[Band No '#],0))</f>
        <v>South</v>
      </c>
      <c r="AR491" s="629" t="s">
        <v>1405</v>
      </c>
      <c r="AS491" s="629" t="s">
        <v>442</v>
      </c>
      <c r="AT491" s="629" t="str">
        <f>IF(BProvPrivEnrlmtUnder2233[[#This Row],[K4]]="","None",IF(BProvPrivEnrlmtUnder2233[[#This Row],[K4]]&lt;BProvPrivEnrlmtUnder2233[[#This Row],[K4 H]],"Half-day",IF(AND(BProvPrivEnrlmtUnder2233[[#This Row],[K4]]&gt;0,BProvPrivEnrlmtUnder2233[[#This Row],[K4]]=BProvPrivEnrlmtUnder2233[[#This Row],[K4 H]]),"Full-day",0)))</f>
        <v>None</v>
      </c>
      <c r="AU491" s="629" t="str">
        <f>IF(BProvPrivEnrlmtUnder2233[[#This Row],[K5]]="","None",IF(BProvPrivEnrlmtUnder2233[[#This Row],[K5]]&lt;BProvPrivEnrlmtUnder2233[[#This Row],[K5 H]],"Half-day",IF(AND(BProvPrivEnrlmtUnder2233[[#This Row],[K5]]&gt;0,BProvPrivEnrlmtUnder2233[[#This Row],[K5]]=BProvPrivEnrlmtUnder2233[[#This Row],[K5 H]]),"Full-day",0)))</f>
        <v>None</v>
      </c>
      <c r="AV491" s="635">
        <f t="array" ref="AV491">IFERROR(INDEX($J$755:$J$818,MATCH(BProvPrivEnrlmtUnder2233[[#This Row],[Band No.]]&amp;BProvPrivEnrlmtUnder2233[[#This Row],[School No.]],$A$755:$A$818&amp;$E$755:$E$818,0)),0)</f>
        <v>2</v>
      </c>
      <c r="AW491" s="635">
        <f t="array" ref="AW491">IFERROR(INDEX($M$755:$M$818,MATCH(BProvPrivEnrlmtUnder2233[[#This Row],[Band No.]]&amp;BProvPrivEnrlmtUnder2233[[#This Row],[School No.]],$A$755:$A$818&amp;$E$755:$E$818,0)),0)</f>
        <v>0</v>
      </c>
      <c r="AX491" s="624">
        <f t="array" ref="AX491">IFERROR(INDEX($I$755:$I$818,MATCH(BProvPrivEnrlmtUnder2233[[#This Row],[Band No.]]&amp;BProvPrivEnrlmtUnder2233[[#This Row],[School No.]],$A$755:$A$818&amp;$E$755:$E$818,0)),0)</f>
        <v>0</v>
      </c>
      <c r="AY491" s="630">
        <f t="array" ref="AY491">IFERROR(INDEX($K$755:$K$818,MATCH(BProvPrivEnrlmtUnder2233[[#This Row],[Band No.]]&amp;BProvPrivEnrlmtUnder2233[[#This Row],[School No.]],$A$755:$A$818&amp;$E$755:$E$818,0)),0)</f>
        <v>0</v>
      </c>
      <c r="AZ491" s="637">
        <f t="array" ref="AZ491">IFERROR(INDEX($O$755:$O$818,MATCH(BProvPrivEnrlmtUnder2233[[#This Row],[Band No.]]&amp;BProvPrivEnrlmtUnder2233[[#This Row],[School No.]],$A$755:$A$818&amp;$E$755:$E$818,0)),0)</f>
        <v>0</v>
      </c>
      <c r="BA491" s="637">
        <f t="array" ref="BA491">IFERROR(INDEX($R$755:$R$818,MATCH(BProvPrivEnrlmtUnder2233[[#This Row],[Band No.]]&amp;BProvPrivEnrlmtUnder2233[[#This Row],[School No.]],$A$755:$A$818&amp;$E$755:$E$818,0)),0)</f>
        <v>0</v>
      </c>
      <c r="BB491" s="637">
        <f t="array" ref="BB491">IFERROR(INDEX($N$755:$N$818,MATCH(BProvPrivEnrlmtUnder2233[[#This Row],[Band No.]]&amp;BProvPrivEnrlmtUnder2233[[#This Row],[School No.]],$A$755:$A$818&amp;$E$755:$E$818,0)),0)</f>
        <v>0</v>
      </c>
      <c r="BC491" s="637">
        <f t="array" ref="BC491">IFERROR(INDEX($P$755:$P$818,MATCH(BProvPrivEnrlmtUnder2233[[#This Row],[Band No.]]&amp;BProvPrivEnrlmtUnder2233[[#This Row],[School No.]],$A$755:$A$818&amp;$E$755:$E$818,0)),0)</f>
        <v>0</v>
      </c>
    </row>
    <row r="492" spans="1:55" s="624" customFormat="1" hidden="1">
      <c r="A492" s="629">
        <v>271</v>
      </c>
      <c r="B492" s="629" t="s">
        <v>396</v>
      </c>
      <c r="C492" s="629" t="s">
        <v>1416</v>
      </c>
      <c r="D492" s="629" t="s">
        <v>1417</v>
      </c>
      <c r="E492" s="629" t="s">
        <v>1367</v>
      </c>
      <c r="F492" s="624" t="s">
        <v>1013</v>
      </c>
      <c r="G492" s="629"/>
      <c r="H492" s="629"/>
      <c r="I492" s="629"/>
      <c r="J492" s="629"/>
      <c r="K492" s="629"/>
      <c r="L492" s="629"/>
      <c r="M492" s="629"/>
      <c r="N492" s="629"/>
      <c r="O492" s="629"/>
      <c r="P492" s="629"/>
      <c r="Q492" s="630"/>
      <c r="R492" s="631"/>
      <c r="S492" s="631"/>
      <c r="T492" s="631">
        <v>1</v>
      </c>
      <c r="U492" s="631"/>
      <c r="V492" s="629"/>
      <c r="W492" s="632">
        <f>SUM(BProvPrivEnrlmtUnder2233[[#This Row],[K4]:[Ungradable Second FTE]])</f>
        <v>1</v>
      </c>
      <c r="X492" s="629"/>
      <c r="Y492" s="629"/>
      <c r="Z492" s="629"/>
      <c r="AA492" s="629"/>
      <c r="AB492" s="629"/>
      <c r="AC492" s="629"/>
      <c r="AD492" s="629"/>
      <c r="AE492" s="629"/>
      <c r="AF492" s="629"/>
      <c r="AG492" s="629"/>
      <c r="AH492" s="630"/>
      <c r="AI492" s="631"/>
      <c r="AJ492" s="631"/>
      <c r="AK492" s="631">
        <v>1</v>
      </c>
      <c r="AL492" s="631"/>
      <c r="AM492" s="629"/>
      <c r="AN492" s="633">
        <f>SUM(BProvPrivEnrlmtUnder2233[[#This Row],[K4 H]:[Ungradable Second H]])</f>
        <v>1</v>
      </c>
      <c r="AO492" s="634">
        <v>3</v>
      </c>
      <c r="AP492" s="629" t="s">
        <v>396</v>
      </c>
      <c r="AQ492" s="629" t="str">
        <f>INDEX(TableAFNSchools[North/South of 53rd Parallel &amp; Fly-in = North],MATCH(BProvPrivEnrlmtUnder2233[[#This Row],[Band No.]],TableAFNSchools[Band No '#],0))</f>
        <v>South</v>
      </c>
      <c r="AR492" s="629" t="s">
        <v>1233</v>
      </c>
      <c r="AS492" s="629" t="s">
        <v>442</v>
      </c>
      <c r="AT492" s="629" t="str">
        <f>IF(BProvPrivEnrlmtUnder2233[[#This Row],[K4]]="","None",IF(BProvPrivEnrlmtUnder2233[[#This Row],[K4]]&lt;BProvPrivEnrlmtUnder2233[[#This Row],[K4 H]],"Half-day",IF(AND(BProvPrivEnrlmtUnder2233[[#This Row],[K4]]&gt;0,BProvPrivEnrlmtUnder2233[[#This Row],[K4]]=BProvPrivEnrlmtUnder2233[[#This Row],[K4 H]]),"Full-day",0)))</f>
        <v>None</v>
      </c>
      <c r="AU492" s="629" t="str">
        <f>IF(BProvPrivEnrlmtUnder2233[[#This Row],[K5]]="","None",IF(BProvPrivEnrlmtUnder2233[[#This Row],[K5]]&lt;BProvPrivEnrlmtUnder2233[[#This Row],[K5 H]],"Half-day",IF(AND(BProvPrivEnrlmtUnder2233[[#This Row],[K5]]&gt;0,BProvPrivEnrlmtUnder2233[[#This Row],[K5]]=BProvPrivEnrlmtUnder2233[[#This Row],[K5 H]]),"Full-day",0)))</f>
        <v>None</v>
      </c>
      <c r="AV492" s="635">
        <f t="array" ref="AV492">IFERROR(INDEX($J$755:$J$818,MATCH(BProvPrivEnrlmtUnder2233[[#This Row],[Band No.]]&amp;BProvPrivEnrlmtUnder2233[[#This Row],[School No.]],$A$755:$A$818&amp;$E$755:$E$818,0)),0)</f>
        <v>1</v>
      </c>
      <c r="AW492" s="635">
        <f t="array" ref="AW492">IFERROR(INDEX($M$755:$M$818,MATCH(BProvPrivEnrlmtUnder2233[[#This Row],[Band No.]]&amp;BProvPrivEnrlmtUnder2233[[#This Row],[School No.]],$A$755:$A$818&amp;$E$755:$E$818,0)),0)</f>
        <v>0</v>
      </c>
      <c r="AX492" s="624">
        <f t="array" ref="AX492">IFERROR(INDEX($I$755:$I$818,MATCH(BProvPrivEnrlmtUnder2233[[#This Row],[Band No.]]&amp;BProvPrivEnrlmtUnder2233[[#This Row],[School No.]],$A$755:$A$818&amp;$E$755:$E$818,0)),0)</f>
        <v>0</v>
      </c>
      <c r="AY492" s="630">
        <f t="array" ref="AY492">IFERROR(INDEX($K$755:$K$818,MATCH(BProvPrivEnrlmtUnder2233[[#This Row],[Band No.]]&amp;BProvPrivEnrlmtUnder2233[[#This Row],[School No.]],$A$755:$A$818&amp;$E$755:$E$818,0)),0)</f>
        <v>0</v>
      </c>
      <c r="AZ492" s="637">
        <f t="array" ref="AZ492">IFERROR(INDEX($O$755:$O$818,MATCH(BProvPrivEnrlmtUnder2233[[#This Row],[Band No.]]&amp;BProvPrivEnrlmtUnder2233[[#This Row],[School No.]],$A$755:$A$818&amp;$E$755:$E$818,0)),0)</f>
        <v>0</v>
      </c>
      <c r="BA492" s="637">
        <f t="array" ref="BA492">IFERROR(INDEX($R$755:$R$818,MATCH(BProvPrivEnrlmtUnder2233[[#This Row],[Band No.]]&amp;BProvPrivEnrlmtUnder2233[[#This Row],[School No.]],$A$755:$A$818&amp;$E$755:$E$818,0)),0)</f>
        <v>0</v>
      </c>
      <c r="BB492" s="637">
        <f t="array" ref="BB492">IFERROR(INDEX($N$755:$N$818,MATCH(BProvPrivEnrlmtUnder2233[[#This Row],[Band No.]]&amp;BProvPrivEnrlmtUnder2233[[#This Row],[School No.]],$A$755:$A$818&amp;$E$755:$E$818,0)),0)</f>
        <v>0</v>
      </c>
      <c r="BC492" s="637">
        <f t="array" ref="BC492">IFERROR(INDEX($P$755:$P$818,MATCH(BProvPrivEnrlmtUnder2233[[#This Row],[Band No.]]&amp;BProvPrivEnrlmtUnder2233[[#This Row],[School No.]],$A$755:$A$818&amp;$E$755:$E$818,0)),0)</f>
        <v>0</v>
      </c>
    </row>
    <row r="493" spans="1:55" s="624" customFormat="1" hidden="1">
      <c r="A493" s="629">
        <v>271</v>
      </c>
      <c r="B493" s="629" t="s">
        <v>396</v>
      </c>
      <c r="C493" s="629" t="s">
        <v>1062</v>
      </c>
      <c r="D493" s="629" t="s">
        <v>976</v>
      </c>
      <c r="E493" s="629" t="s">
        <v>1363</v>
      </c>
      <c r="F493" s="624" t="s">
        <v>1013</v>
      </c>
      <c r="G493" s="629"/>
      <c r="H493" s="629"/>
      <c r="I493" s="629"/>
      <c r="J493" s="629"/>
      <c r="K493" s="629"/>
      <c r="L493" s="629"/>
      <c r="M493" s="629"/>
      <c r="N493" s="629"/>
      <c r="O493" s="629"/>
      <c r="P493" s="629"/>
      <c r="Q493" s="630"/>
      <c r="R493" s="631"/>
      <c r="S493" s="631"/>
      <c r="T493" s="631"/>
      <c r="U493" s="631">
        <v>1</v>
      </c>
      <c r="V493" s="629"/>
      <c r="W493" s="632">
        <f>SUM(BProvPrivEnrlmtUnder2233[[#This Row],[K4]:[Ungradable Second FTE]])</f>
        <v>1</v>
      </c>
      <c r="X493" s="629"/>
      <c r="Y493" s="629"/>
      <c r="Z493" s="629"/>
      <c r="AA493" s="629"/>
      <c r="AB493" s="629"/>
      <c r="AC493" s="629"/>
      <c r="AD493" s="629"/>
      <c r="AE493" s="629"/>
      <c r="AF493" s="629"/>
      <c r="AG493" s="629"/>
      <c r="AH493" s="630"/>
      <c r="AI493" s="631"/>
      <c r="AJ493" s="631"/>
      <c r="AK493" s="631"/>
      <c r="AL493" s="631">
        <v>1</v>
      </c>
      <c r="AM493" s="629"/>
      <c r="AN493" s="633">
        <f>SUM(BProvPrivEnrlmtUnder2233[[#This Row],[K4 H]:[Ungradable Second H]])</f>
        <v>1</v>
      </c>
      <c r="AO493" s="634">
        <v>3</v>
      </c>
      <c r="AP493" s="629" t="s">
        <v>396</v>
      </c>
      <c r="AQ493" s="629" t="str">
        <f>INDEX(TableAFNSchools[North/South of 53rd Parallel &amp; Fly-in = North],MATCH(BProvPrivEnrlmtUnder2233[[#This Row],[Band No.]],TableAFNSchools[Band No '#],0))</f>
        <v>South</v>
      </c>
      <c r="AR493" s="629" t="s">
        <v>1233</v>
      </c>
      <c r="AS493" s="629" t="s">
        <v>442</v>
      </c>
      <c r="AT493" s="629" t="str">
        <f>IF(BProvPrivEnrlmtUnder2233[[#This Row],[K4]]="","None",IF(BProvPrivEnrlmtUnder2233[[#This Row],[K4]]&lt;BProvPrivEnrlmtUnder2233[[#This Row],[K4 H]],"Half-day",IF(AND(BProvPrivEnrlmtUnder2233[[#This Row],[K4]]&gt;0,BProvPrivEnrlmtUnder2233[[#This Row],[K4]]=BProvPrivEnrlmtUnder2233[[#This Row],[K4 H]]),"Full-day",0)))</f>
        <v>None</v>
      </c>
      <c r="AU493" s="629" t="str">
        <f>IF(BProvPrivEnrlmtUnder2233[[#This Row],[K5]]="","None",IF(BProvPrivEnrlmtUnder2233[[#This Row],[K5]]&lt;BProvPrivEnrlmtUnder2233[[#This Row],[K5 H]],"Half-day",IF(AND(BProvPrivEnrlmtUnder2233[[#This Row],[K5]]&gt;0,BProvPrivEnrlmtUnder2233[[#This Row],[K5]]=BProvPrivEnrlmtUnder2233[[#This Row],[K5 H]]),"Full-day",0)))</f>
        <v>None</v>
      </c>
      <c r="AV493" s="635">
        <f t="array" ref="AV493">IFERROR(INDEX($J$755:$J$818,MATCH(BProvPrivEnrlmtUnder2233[[#This Row],[Band No.]]&amp;BProvPrivEnrlmtUnder2233[[#This Row],[School No.]],$A$755:$A$818&amp;$E$755:$E$818,0)),0)</f>
        <v>0</v>
      </c>
      <c r="AW493" s="635">
        <f t="array" ref="AW493">IFERROR(INDEX($M$755:$M$818,MATCH(BProvPrivEnrlmtUnder2233[[#This Row],[Band No.]]&amp;BProvPrivEnrlmtUnder2233[[#This Row],[School No.]],$A$755:$A$818&amp;$E$755:$E$818,0)),0)</f>
        <v>0</v>
      </c>
      <c r="AX493" s="624">
        <f t="array" ref="AX493">IFERROR(INDEX($I$755:$I$818,MATCH(BProvPrivEnrlmtUnder2233[[#This Row],[Band No.]]&amp;BProvPrivEnrlmtUnder2233[[#This Row],[School No.]],$A$755:$A$818&amp;$E$755:$E$818,0)),0)</f>
        <v>0</v>
      </c>
      <c r="AY493" s="630">
        <f t="array" ref="AY493">IFERROR(INDEX($K$755:$K$818,MATCH(BProvPrivEnrlmtUnder2233[[#This Row],[Band No.]]&amp;BProvPrivEnrlmtUnder2233[[#This Row],[School No.]],$A$755:$A$818&amp;$E$755:$E$818,0)),0)</f>
        <v>0</v>
      </c>
      <c r="AZ493" s="637">
        <f t="array" ref="AZ493">IFERROR(INDEX($O$755:$O$818,MATCH(BProvPrivEnrlmtUnder2233[[#This Row],[Band No.]]&amp;BProvPrivEnrlmtUnder2233[[#This Row],[School No.]],$A$755:$A$818&amp;$E$755:$E$818,0)),0)</f>
        <v>1</v>
      </c>
      <c r="BA493" s="637">
        <f t="array" ref="BA493">IFERROR(INDEX($R$755:$R$818,MATCH(BProvPrivEnrlmtUnder2233[[#This Row],[Band No.]]&amp;BProvPrivEnrlmtUnder2233[[#This Row],[School No.]],$A$755:$A$818&amp;$E$755:$E$818,0)),0)</f>
        <v>0</v>
      </c>
      <c r="BB493" s="637">
        <f t="array" ref="BB493">IFERROR(INDEX($N$755:$N$818,MATCH(BProvPrivEnrlmtUnder2233[[#This Row],[Band No.]]&amp;BProvPrivEnrlmtUnder2233[[#This Row],[School No.]],$A$755:$A$818&amp;$E$755:$E$818,0)),0)</f>
        <v>0</v>
      </c>
      <c r="BC493" s="637">
        <f t="array" ref="BC493">IFERROR(INDEX($P$755:$P$818,MATCH(BProvPrivEnrlmtUnder2233[[#This Row],[Band No.]]&amp;BProvPrivEnrlmtUnder2233[[#This Row],[School No.]],$A$755:$A$818&amp;$E$755:$E$818,0)),0)</f>
        <v>0</v>
      </c>
    </row>
    <row r="494" spans="1:55" s="624" customFormat="1" hidden="1">
      <c r="A494" s="629">
        <v>271</v>
      </c>
      <c r="B494" s="629" t="s">
        <v>396</v>
      </c>
      <c r="C494" s="629" t="s">
        <v>1050</v>
      </c>
      <c r="D494" s="629" t="s">
        <v>1418</v>
      </c>
      <c r="E494" s="629" t="s">
        <v>1355</v>
      </c>
      <c r="F494" s="624" t="s">
        <v>1013</v>
      </c>
      <c r="G494" s="629"/>
      <c r="H494" s="629"/>
      <c r="I494" s="629"/>
      <c r="J494" s="629"/>
      <c r="K494" s="629"/>
      <c r="L494" s="629"/>
      <c r="M494" s="629"/>
      <c r="N494" s="629"/>
      <c r="O494" s="629"/>
      <c r="P494" s="629"/>
      <c r="Q494" s="630"/>
      <c r="R494" s="631">
        <v>1</v>
      </c>
      <c r="S494" s="631">
        <v>1</v>
      </c>
      <c r="T494" s="631"/>
      <c r="U494" s="631">
        <v>1</v>
      </c>
      <c r="V494" s="629"/>
      <c r="W494" s="632">
        <f>SUM(BProvPrivEnrlmtUnder2233[[#This Row],[K4]:[Ungradable Second FTE]])</f>
        <v>3</v>
      </c>
      <c r="X494" s="629"/>
      <c r="Y494" s="629"/>
      <c r="Z494" s="629"/>
      <c r="AA494" s="629"/>
      <c r="AB494" s="629"/>
      <c r="AC494" s="629"/>
      <c r="AD494" s="629"/>
      <c r="AE494" s="629"/>
      <c r="AF494" s="629"/>
      <c r="AG494" s="629"/>
      <c r="AH494" s="630"/>
      <c r="AI494" s="631">
        <v>1</v>
      </c>
      <c r="AJ494" s="631">
        <v>1</v>
      </c>
      <c r="AK494" s="631"/>
      <c r="AL494" s="631">
        <v>1</v>
      </c>
      <c r="AM494" s="629"/>
      <c r="AN494" s="633">
        <f>SUM(BProvPrivEnrlmtUnder2233[[#This Row],[K4 H]:[Ungradable Second H]])</f>
        <v>3</v>
      </c>
      <c r="AO494" s="634">
        <v>1</v>
      </c>
      <c r="AP494" s="629" t="s">
        <v>396</v>
      </c>
      <c r="AQ494" s="629" t="str">
        <f>INDEX(TableAFNSchools[North/South of 53rd Parallel &amp; Fly-in = North],MATCH(BProvPrivEnrlmtUnder2233[[#This Row],[Band No.]],TableAFNSchools[Band No '#],0))</f>
        <v>South</v>
      </c>
      <c r="AR494" s="629" t="s">
        <v>1388</v>
      </c>
      <c r="AS494" s="629" t="s">
        <v>442</v>
      </c>
      <c r="AT494" s="629" t="str">
        <f>IF(BProvPrivEnrlmtUnder2233[[#This Row],[K4]]="","None",IF(BProvPrivEnrlmtUnder2233[[#This Row],[K4]]&lt;BProvPrivEnrlmtUnder2233[[#This Row],[K4 H]],"Half-day",IF(AND(BProvPrivEnrlmtUnder2233[[#This Row],[K4]]&gt;0,BProvPrivEnrlmtUnder2233[[#This Row],[K4]]=BProvPrivEnrlmtUnder2233[[#This Row],[K4 H]]),"Full-day",0)))</f>
        <v>None</v>
      </c>
      <c r="AU494" s="629" t="str">
        <f>IF(BProvPrivEnrlmtUnder2233[[#This Row],[K5]]="","None",IF(BProvPrivEnrlmtUnder2233[[#This Row],[K5]]&lt;BProvPrivEnrlmtUnder2233[[#This Row],[K5 H]],"Half-day",IF(AND(BProvPrivEnrlmtUnder2233[[#This Row],[K5]]&gt;0,BProvPrivEnrlmtUnder2233[[#This Row],[K5]]=BProvPrivEnrlmtUnder2233[[#This Row],[K5 H]]),"Full-day",0)))</f>
        <v>None</v>
      </c>
      <c r="AV494" s="635">
        <f t="array" ref="AV494">IFERROR(INDEX($J$755:$J$818,MATCH(BProvPrivEnrlmtUnder2233[[#This Row],[Band No.]]&amp;BProvPrivEnrlmtUnder2233[[#This Row],[School No.]],$A$755:$A$818&amp;$E$755:$E$818,0)),0)</f>
        <v>3</v>
      </c>
      <c r="AW494" s="635">
        <f t="array" ref="AW494">IFERROR(INDEX($M$755:$M$818,MATCH(BProvPrivEnrlmtUnder2233[[#This Row],[Band No.]]&amp;BProvPrivEnrlmtUnder2233[[#This Row],[School No.]],$A$755:$A$818&amp;$E$755:$E$818,0)),0)</f>
        <v>0</v>
      </c>
      <c r="AX494" s="624">
        <f t="array" ref="AX494">IFERROR(INDEX($I$755:$I$818,MATCH(BProvPrivEnrlmtUnder2233[[#This Row],[Band No.]]&amp;BProvPrivEnrlmtUnder2233[[#This Row],[School No.]],$A$755:$A$818&amp;$E$755:$E$818,0)),0)</f>
        <v>0</v>
      </c>
      <c r="AY494" s="630">
        <f>IFERROR(INDEX($K$755:$K$818,MATCH(BProvPrivEnrlmtUnder2233[[#This Row],[Band No.]]&amp;BProvPrivEnrlmtUnder2233[[#This Row],[School No.]],$A$755:$A$818&amp;$E$755:$E$818,0)),0)</f>
        <v>0</v>
      </c>
      <c r="AZ494" s="637">
        <f t="array" ref="AZ494">IFERROR(INDEX($O$755:$O$818,MATCH(BProvPrivEnrlmtUnder2233[[#This Row],[Band No.]]&amp;BProvPrivEnrlmtUnder2233[[#This Row],[School No.]],$A$755:$A$818&amp;$E$755:$E$818,0)),0)</f>
        <v>0</v>
      </c>
      <c r="BA494" s="637">
        <f t="array" ref="BA494">IFERROR(INDEX($R$755:$R$818,MATCH(BProvPrivEnrlmtUnder2233[[#This Row],[Band No.]]&amp;BProvPrivEnrlmtUnder2233[[#This Row],[School No.]],$A$755:$A$818&amp;$E$755:$E$818,0)),0)</f>
        <v>0</v>
      </c>
      <c r="BB494" s="637">
        <f t="array" ref="BB494">IFERROR(INDEX($N$755:$N$818,MATCH(BProvPrivEnrlmtUnder2233[[#This Row],[Band No.]]&amp;BProvPrivEnrlmtUnder2233[[#This Row],[School No.]],$A$755:$A$818&amp;$E$755:$E$818,0)),0)</f>
        <v>0</v>
      </c>
      <c r="BC494" s="637">
        <f t="array" ref="BC494">IFERROR(INDEX($P$755:$P$818,MATCH(BProvPrivEnrlmtUnder2233[[#This Row],[Band No.]]&amp;BProvPrivEnrlmtUnder2233[[#This Row],[School No.]],$A$755:$A$818&amp;$E$755:$E$818,0)),0)</f>
        <v>0</v>
      </c>
    </row>
    <row r="495" spans="1:55" s="624" customFormat="1" hidden="1">
      <c r="A495" s="629">
        <v>271</v>
      </c>
      <c r="B495" s="629" t="s">
        <v>396</v>
      </c>
      <c r="C495" s="629" t="s">
        <v>1391</v>
      </c>
      <c r="D495" s="629" t="s">
        <v>970</v>
      </c>
      <c r="E495" s="629" t="s">
        <v>1355</v>
      </c>
      <c r="F495" s="624" t="s">
        <v>1013</v>
      </c>
      <c r="G495" s="629"/>
      <c r="H495" s="629"/>
      <c r="I495" s="629"/>
      <c r="J495" s="629"/>
      <c r="K495" s="629"/>
      <c r="L495" s="629"/>
      <c r="M495" s="629"/>
      <c r="N495" s="629"/>
      <c r="O495" s="629"/>
      <c r="P495" s="629"/>
      <c r="Q495" s="630"/>
      <c r="R495" s="631"/>
      <c r="S495" s="631"/>
      <c r="T495" s="631">
        <v>2</v>
      </c>
      <c r="U495" s="631">
        <v>1</v>
      </c>
      <c r="V495" s="629"/>
      <c r="W495" s="632">
        <f>SUM(BProvPrivEnrlmtUnder2233[[#This Row],[K4]:[Ungradable Second FTE]])</f>
        <v>3</v>
      </c>
      <c r="X495" s="629"/>
      <c r="Y495" s="629"/>
      <c r="Z495" s="629"/>
      <c r="AA495" s="629"/>
      <c r="AB495" s="629"/>
      <c r="AC495" s="629"/>
      <c r="AD495" s="629"/>
      <c r="AE495" s="629"/>
      <c r="AF495" s="629"/>
      <c r="AG495" s="629"/>
      <c r="AH495" s="630"/>
      <c r="AI495" s="631"/>
      <c r="AJ495" s="631"/>
      <c r="AK495" s="631">
        <v>2</v>
      </c>
      <c r="AL495" s="631">
        <v>1</v>
      </c>
      <c r="AM495" s="629"/>
      <c r="AN495" s="633">
        <f>SUM(BProvPrivEnrlmtUnder2233[[#This Row],[K4 H]:[Ungradable Second H]])</f>
        <v>3</v>
      </c>
      <c r="AO495" s="634">
        <v>3</v>
      </c>
      <c r="AP495" s="629" t="s">
        <v>396</v>
      </c>
      <c r="AQ495" s="629" t="str">
        <f>INDEX(TableAFNSchools[North/South of 53rd Parallel &amp; Fly-in = North],MATCH(BProvPrivEnrlmtUnder2233[[#This Row],[Band No.]],TableAFNSchools[Band No '#],0))</f>
        <v>South</v>
      </c>
      <c r="AR495" s="630" t="s">
        <v>844</v>
      </c>
      <c r="AS495" s="629" t="s">
        <v>442</v>
      </c>
      <c r="AT495" s="629" t="str">
        <f>IF(BProvPrivEnrlmtUnder2233[[#This Row],[K4]]="","None",IF(BProvPrivEnrlmtUnder2233[[#This Row],[K4]]&lt;BProvPrivEnrlmtUnder2233[[#This Row],[K4 H]],"Half-day",IF(AND(BProvPrivEnrlmtUnder2233[[#This Row],[K4]]&gt;0,BProvPrivEnrlmtUnder2233[[#This Row],[K4]]=BProvPrivEnrlmtUnder2233[[#This Row],[K4 H]]),"Full-day",0)))</f>
        <v>None</v>
      </c>
      <c r="AU495" s="629" t="str">
        <f>IF(BProvPrivEnrlmtUnder2233[[#This Row],[K5]]="","None",IF(BProvPrivEnrlmtUnder2233[[#This Row],[K5]]&lt;BProvPrivEnrlmtUnder2233[[#This Row],[K5 H]],"Half-day",IF(AND(BProvPrivEnrlmtUnder2233[[#This Row],[K5]]&gt;0,BProvPrivEnrlmtUnder2233[[#This Row],[K5]]=BProvPrivEnrlmtUnder2233[[#This Row],[K5 H]]),"Full-day",0)))</f>
        <v>None</v>
      </c>
      <c r="AV495" s="635">
        <f t="array" ref="AV495">IFERROR(INDEX($J$755:$J$818,MATCH(BProvPrivEnrlmtUnder2233[[#This Row],[Band No.]]&amp;BProvPrivEnrlmtUnder2233[[#This Row],[School No.]],$A$755:$A$818&amp;$E$755:$E$818,0)),0)</f>
        <v>3</v>
      </c>
      <c r="AW495" s="635">
        <f t="array" ref="AW495">IFERROR(INDEX($M$755:$M$818,MATCH(BProvPrivEnrlmtUnder2233[[#This Row],[Band No.]]&amp;BProvPrivEnrlmtUnder2233[[#This Row],[School No.]],$A$755:$A$818&amp;$E$755:$E$818,0)),0)</f>
        <v>0</v>
      </c>
      <c r="AX495" s="624">
        <f t="array" ref="AX495">IFERROR(INDEX($I$755:$I$818,MATCH(BProvPrivEnrlmtUnder2233[[#This Row],[Band No.]]&amp;BProvPrivEnrlmtUnder2233[[#This Row],[School No.]],$A$755:$A$818&amp;$E$755:$E$818,0)),0)</f>
        <v>0</v>
      </c>
      <c r="AY495" s="630">
        <f t="array" ref="AY495">IFERROR(INDEX($K$755:$K$818,MATCH(BProvPrivEnrlmtUnder2233[[#This Row],[Band No.]]&amp;BProvPrivEnrlmtUnder2233[[#This Row],[School No.]],$A$755:$A$818&amp;$E$755:$E$818,0)),0)</f>
        <v>0</v>
      </c>
      <c r="AZ495" s="637">
        <f t="array" ref="AZ495">IFERROR(INDEX($O$755:$O$818,MATCH(BProvPrivEnrlmtUnder2233[[#This Row],[Band No.]]&amp;BProvPrivEnrlmtUnder2233[[#This Row],[School No.]],$A$755:$A$818&amp;$E$755:$E$818,0)),0)</f>
        <v>0</v>
      </c>
      <c r="BA495" s="637">
        <f t="array" ref="BA495">IFERROR(INDEX($R$755:$R$818,MATCH(BProvPrivEnrlmtUnder2233[[#This Row],[Band No.]]&amp;BProvPrivEnrlmtUnder2233[[#This Row],[School No.]],$A$755:$A$818&amp;$E$755:$E$818,0)),0)</f>
        <v>0</v>
      </c>
      <c r="BB495" s="637">
        <f t="array" ref="BB495">IFERROR(INDEX($N$755:$N$818,MATCH(BProvPrivEnrlmtUnder2233[[#This Row],[Band No.]]&amp;BProvPrivEnrlmtUnder2233[[#This Row],[School No.]],$A$755:$A$818&amp;$E$755:$E$818,0)),0)</f>
        <v>0</v>
      </c>
      <c r="BC495" s="637">
        <f t="array" ref="BC495">IFERROR(INDEX($P$755:$P$818,MATCH(BProvPrivEnrlmtUnder2233[[#This Row],[Band No.]]&amp;BProvPrivEnrlmtUnder2233[[#This Row],[School No.]],$A$755:$A$818&amp;$E$755:$E$818,0)),0)</f>
        <v>0</v>
      </c>
    </row>
    <row r="496" spans="1:55" s="624" customFormat="1" hidden="1">
      <c r="A496" s="629">
        <v>271</v>
      </c>
      <c r="B496" s="629" t="s">
        <v>396</v>
      </c>
      <c r="C496" s="629" t="s">
        <v>1063</v>
      </c>
      <c r="D496" s="629" t="s">
        <v>979</v>
      </c>
      <c r="E496" s="629" t="s">
        <v>1367</v>
      </c>
      <c r="F496" s="624" t="s">
        <v>1013</v>
      </c>
      <c r="G496" s="629"/>
      <c r="H496" s="629"/>
      <c r="I496" s="629"/>
      <c r="J496" s="629"/>
      <c r="K496" s="629"/>
      <c r="L496" s="629"/>
      <c r="M496" s="629"/>
      <c r="N496" s="629"/>
      <c r="O496" s="629"/>
      <c r="P496" s="629"/>
      <c r="Q496" s="630"/>
      <c r="R496" s="631">
        <v>1</v>
      </c>
      <c r="S496" s="631"/>
      <c r="T496" s="631"/>
      <c r="U496" s="631"/>
      <c r="V496" s="629"/>
      <c r="W496" s="632">
        <f>SUM(BProvPrivEnrlmtUnder2233[[#This Row],[K4]:[Ungradable Second FTE]])</f>
        <v>1</v>
      </c>
      <c r="X496" s="629"/>
      <c r="Y496" s="629"/>
      <c r="Z496" s="629"/>
      <c r="AA496" s="629"/>
      <c r="AB496" s="629"/>
      <c r="AC496" s="629"/>
      <c r="AD496" s="629"/>
      <c r="AE496" s="629"/>
      <c r="AF496" s="629"/>
      <c r="AG496" s="629"/>
      <c r="AH496" s="630"/>
      <c r="AI496" s="631">
        <v>1</v>
      </c>
      <c r="AJ496" s="631"/>
      <c r="AK496" s="631"/>
      <c r="AL496" s="631"/>
      <c r="AM496" s="629"/>
      <c r="AN496" s="633">
        <f>SUM(BProvPrivEnrlmtUnder2233[[#This Row],[K4 H]:[Ungradable Second H]])</f>
        <v>1</v>
      </c>
      <c r="AO496" s="634">
        <v>1</v>
      </c>
      <c r="AP496" s="629" t="s">
        <v>396</v>
      </c>
      <c r="AQ496" s="629" t="str">
        <f>INDEX(TableAFNSchools[North/South of 53rd Parallel &amp; Fly-in = North],MATCH(BProvPrivEnrlmtUnder2233[[#This Row],[Band No.]],TableAFNSchools[Band No '#],0))</f>
        <v>South</v>
      </c>
      <c r="AR496" s="629" t="s">
        <v>862</v>
      </c>
      <c r="AS496" s="629" t="s">
        <v>442</v>
      </c>
      <c r="AT496" s="629" t="str">
        <f>IF(BProvPrivEnrlmtUnder2233[[#This Row],[K4]]="","None",IF(BProvPrivEnrlmtUnder2233[[#This Row],[K4]]&lt;BProvPrivEnrlmtUnder2233[[#This Row],[K4 H]],"Half-day",IF(AND(BProvPrivEnrlmtUnder2233[[#This Row],[K4]]&gt;0,BProvPrivEnrlmtUnder2233[[#This Row],[K4]]=BProvPrivEnrlmtUnder2233[[#This Row],[K4 H]]),"Full-day",0)))</f>
        <v>None</v>
      </c>
      <c r="AU496" s="629" t="str">
        <f>IF(BProvPrivEnrlmtUnder2233[[#This Row],[K5]]="","None",IF(BProvPrivEnrlmtUnder2233[[#This Row],[K5]]&lt;BProvPrivEnrlmtUnder2233[[#This Row],[K5 H]],"Half-day",IF(AND(BProvPrivEnrlmtUnder2233[[#This Row],[K5]]&gt;0,BProvPrivEnrlmtUnder2233[[#This Row],[K5]]=BProvPrivEnrlmtUnder2233[[#This Row],[K5 H]]),"Full-day",0)))</f>
        <v>None</v>
      </c>
      <c r="AV496" s="635">
        <f t="array" ref="AV496">IFERROR(INDEX($J$755:$J$818,MATCH(BProvPrivEnrlmtUnder2233[[#This Row],[Band No.]]&amp;BProvPrivEnrlmtUnder2233[[#This Row],[School No.]],$A$755:$A$818&amp;$E$755:$E$818,0)),0)</f>
        <v>1</v>
      </c>
      <c r="AW496" s="635">
        <f t="array" ref="AW496">IFERROR(INDEX($M$755:$M$818,MATCH(BProvPrivEnrlmtUnder2233[[#This Row],[Band No.]]&amp;BProvPrivEnrlmtUnder2233[[#This Row],[School No.]],$A$755:$A$818&amp;$E$755:$E$818,0)),0)</f>
        <v>0</v>
      </c>
      <c r="AX496" s="624">
        <f t="array" ref="AX496">IFERROR(INDEX($I$755:$I$818,MATCH(BProvPrivEnrlmtUnder2233[[#This Row],[Band No.]]&amp;BProvPrivEnrlmtUnder2233[[#This Row],[School No.]],$A$755:$A$818&amp;$E$755:$E$818,0)),0)</f>
        <v>0</v>
      </c>
      <c r="AY496" s="630">
        <f t="array" ref="AY496">IFERROR(INDEX($K$755:$K$818,MATCH(BProvPrivEnrlmtUnder2233[[#This Row],[Band No.]]&amp;BProvPrivEnrlmtUnder2233[[#This Row],[School No.]],$A$755:$A$818&amp;$E$755:$E$818,0)),0)</f>
        <v>0</v>
      </c>
      <c r="AZ496" s="637">
        <f t="array" ref="AZ496">IFERROR(INDEX($O$755:$O$818,MATCH(BProvPrivEnrlmtUnder2233[[#This Row],[Band No.]]&amp;BProvPrivEnrlmtUnder2233[[#This Row],[School No.]],$A$755:$A$818&amp;$E$755:$E$818,0)),0)</f>
        <v>0</v>
      </c>
      <c r="BA496" s="637">
        <f t="array" ref="BA496">IFERROR(INDEX($R$755:$R$818,MATCH(BProvPrivEnrlmtUnder2233[[#This Row],[Band No.]]&amp;BProvPrivEnrlmtUnder2233[[#This Row],[School No.]],$A$755:$A$818&amp;$E$755:$E$818,0)),0)</f>
        <v>0</v>
      </c>
      <c r="BB496" s="637">
        <f t="array" ref="BB496">IFERROR(INDEX($N$755:$N$818,MATCH(BProvPrivEnrlmtUnder2233[[#This Row],[Band No.]]&amp;BProvPrivEnrlmtUnder2233[[#This Row],[School No.]],$A$755:$A$818&amp;$E$755:$E$818,0)),0)</f>
        <v>0</v>
      </c>
      <c r="BC496" s="637">
        <f t="array" ref="BC496">IFERROR(INDEX($P$755:$P$818,MATCH(BProvPrivEnrlmtUnder2233[[#This Row],[Band No.]]&amp;BProvPrivEnrlmtUnder2233[[#This Row],[School No.]],$A$755:$A$818&amp;$E$755:$E$818,0)),0)</f>
        <v>0</v>
      </c>
    </row>
    <row r="497" spans="1:55" s="624" customFormat="1" hidden="1">
      <c r="A497" s="629">
        <v>271</v>
      </c>
      <c r="B497" s="629" t="s">
        <v>396</v>
      </c>
      <c r="C497" s="629" t="s">
        <v>1419</v>
      </c>
      <c r="D497" s="629" t="s">
        <v>1420</v>
      </c>
      <c r="E497" s="629" t="s">
        <v>1365</v>
      </c>
      <c r="F497" s="624" t="s">
        <v>1013</v>
      </c>
      <c r="G497" s="629"/>
      <c r="H497" s="629"/>
      <c r="I497" s="629"/>
      <c r="J497" s="629"/>
      <c r="K497" s="629"/>
      <c r="L497" s="629"/>
      <c r="M497" s="629"/>
      <c r="N497" s="629"/>
      <c r="O497" s="629"/>
      <c r="P497" s="629"/>
      <c r="Q497" s="630"/>
      <c r="R497" s="631">
        <v>1</v>
      </c>
      <c r="S497" s="631"/>
      <c r="T497" s="631">
        <v>1</v>
      </c>
      <c r="U497" s="631">
        <v>1</v>
      </c>
      <c r="V497" s="629"/>
      <c r="W497" s="632">
        <f>SUM(BProvPrivEnrlmtUnder2233[[#This Row],[K4]:[Ungradable Second FTE]])</f>
        <v>3</v>
      </c>
      <c r="X497" s="629"/>
      <c r="Y497" s="629"/>
      <c r="Z497" s="629"/>
      <c r="AA497" s="629"/>
      <c r="AB497" s="629"/>
      <c r="AC497" s="629"/>
      <c r="AD497" s="629"/>
      <c r="AE497" s="629"/>
      <c r="AF497" s="629"/>
      <c r="AG497" s="629"/>
      <c r="AH497" s="630"/>
      <c r="AI497" s="631">
        <v>1</v>
      </c>
      <c r="AJ497" s="631"/>
      <c r="AK497" s="631">
        <v>1</v>
      </c>
      <c r="AL497" s="631">
        <v>1</v>
      </c>
      <c r="AM497" s="629"/>
      <c r="AN497" s="633">
        <f>SUM(BProvPrivEnrlmtUnder2233[[#This Row],[K4 H]:[Ungradable Second H]])</f>
        <v>3</v>
      </c>
      <c r="AO497" s="634">
        <v>1</v>
      </c>
      <c r="AP497" s="629" t="s">
        <v>396</v>
      </c>
      <c r="AQ497" s="629" t="str">
        <f>INDEX(TableAFNSchools[North/South of 53rd Parallel &amp; Fly-in = North],MATCH(BProvPrivEnrlmtUnder2233[[#This Row],[Band No.]],TableAFNSchools[Band No '#],0))</f>
        <v>South</v>
      </c>
      <c r="AR497" s="629" t="s">
        <v>1233</v>
      </c>
      <c r="AS497" s="629" t="s">
        <v>442</v>
      </c>
      <c r="AT497" s="629" t="str">
        <f>IF(BProvPrivEnrlmtUnder2233[[#This Row],[K4]]="","None",IF(BProvPrivEnrlmtUnder2233[[#This Row],[K4]]&lt;BProvPrivEnrlmtUnder2233[[#This Row],[K4 H]],"Half-day",IF(AND(BProvPrivEnrlmtUnder2233[[#This Row],[K4]]&gt;0,BProvPrivEnrlmtUnder2233[[#This Row],[K4]]=BProvPrivEnrlmtUnder2233[[#This Row],[K4 H]]),"Full-day",0)))</f>
        <v>None</v>
      </c>
      <c r="AU497" s="629" t="str">
        <f>IF(BProvPrivEnrlmtUnder2233[[#This Row],[K5]]="","None",IF(BProvPrivEnrlmtUnder2233[[#This Row],[K5]]&lt;BProvPrivEnrlmtUnder2233[[#This Row],[K5 H]],"Half-day",IF(AND(BProvPrivEnrlmtUnder2233[[#This Row],[K5]]&gt;0,BProvPrivEnrlmtUnder2233[[#This Row],[K5]]=BProvPrivEnrlmtUnder2233[[#This Row],[K5 H]]),"Full-day",0)))</f>
        <v>None</v>
      </c>
      <c r="AV497" s="635">
        <f t="array" ref="AV497">IFERROR(INDEX($J$755:$J$818,MATCH(BProvPrivEnrlmtUnder2233[[#This Row],[Band No.]]&amp;BProvPrivEnrlmtUnder2233[[#This Row],[School No.]],$A$755:$A$818&amp;$E$755:$E$818,0)),0)</f>
        <v>0</v>
      </c>
      <c r="AW497" s="635">
        <f t="array" ref="AW497">IFERROR(INDEX($M$755:$M$818,MATCH(BProvPrivEnrlmtUnder2233[[#This Row],[Band No.]]&amp;BProvPrivEnrlmtUnder2233[[#This Row],[School No.]],$A$755:$A$818&amp;$E$755:$E$818,0)),0)</f>
        <v>0</v>
      </c>
      <c r="AX497" s="624">
        <f t="array" ref="AX497">IFERROR(INDEX($I$755:$I$818,MATCH(BProvPrivEnrlmtUnder2233[[#This Row],[Band No.]]&amp;BProvPrivEnrlmtUnder2233[[#This Row],[School No.]],$A$755:$A$818&amp;$E$755:$E$818,0)),0)</f>
        <v>0</v>
      </c>
      <c r="AY497" s="630">
        <f t="array" ref="AY497">IFERROR(INDEX($K$755:$K$818,MATCH(BProvPrivEnrlmtUnder2233[[#This Row],[Band No.]]&amp;BProvPrivEnrlmtUnder2233[[#This Row],[School No.]],$A$755:$A$818&amp;$E$755:$E$818,0)),0)</f>
        <v>0</v>
      </c>
      <c r="AZ497" s="637">
        <f t="array" ref="AZ497">IFERROR(INDEX($O$755:$O$818,MATCH(BProvPrivEnrlmtUnder2233[[#This Row],[Band No.]]&amp;BProvPrivEnrlmtUnder2233[[#This Row],[School No.]],$A$755:$A$818&amp;$E$755:$E$818,0)),0)</f>
        <v>0</v>
      </c>
      <c r="BA497" s="637">
        <f t="array" ref="BA497">IFERROR(INDEX($R$755:$R$818,MATCH(BProvPrivEnrlmtUnder2233[[#This Row],[Band No.]]&amp;BProvPrivEnrlmtUnder2233[[#This Row],[School No.]],$A$755:$A$818&amp;$E$755:$E$818,0)),0)</f>
        <v>0</v>
      </c>
      <c r="BB497" s="637">
        <f t="array" ref="BB497">IFERROR(INDEX($N$755:$N$818,MATCH(BProvPrivEnrlmtUnder2233[[#This Row],[Band No.]]&amp;BProvPrivEnrlmtUnder2233[[#This Row],[School No.]],$A$755:$A$818&amp;$E$755:$E$818,0)),0)</f>
        <v>0</v>
      </c>
      <c r="BC497" s="637">
        <f t="array" ref="BC497">IFERROR(INDEX($P$755:$P$818,MATCH(BProvPrivEnrlmtUnder2233[[#This Row],[Band No.]]&amp;BProvPrivEnrlmtUnder2233[[#This Row],[School No.]],$A$755:$A$818&amp;$E$755:$E$818,0)),0)</f>
        <v>0</v>
      </c>
    </row>
    <row r="498" spans="1:55" s="624" customFormat="1" hidden="1">
      <c r="A498" s="629">
        <v>271</v>
      </c>
      <c r="B498" s="629" t="s">
        <v>396</v>
      </c>
      <c r="C498" s="629" t="s">
        <v>1037</v>
      </c>
      <c r="D498" s="629" t="s">
        <v>971</v>
      </c>
      <c r="E498" s="629" t="s">
        <v>1359</v>
      </c>
      <c r="F498" s="624" t="s">
        <v>1013</v>
      </c>
      <c r="G498" s="629"/>
      <c r="H498" s="629"/>
      <c r="I498" s="629"/>
      <c r="J498" s="629"/>
      <c r="K498" s="629"/>
      <c r="L498" s="629"/>
      <c r="M498" s="629"/>
      <c r="N498" s="629"/>
      <c r="O498" s="629"/>
      <c r="P498" s="629"/>
      <c r="Q498" s="630"/>
      <c r="R498" s="631"/>
      <c r="S498" s="631"/>
      <c r="T498" s="631"/>
      <c r="U498" s="631">
        <v>1</v>
      </c>
      <c r="V498" s="629"/>
      <c r="W498" s="632">
        <f>SUM(BProvPrivEnrlmtUnder2233[[#This Row],[K4]:[Ungradable Second FTE]])</f>
        <v>1</v>
      </c>
      <c r="X498" s="629"/>
      <c r="Y498" s="629"/>
      <c r="Z498" s="629"/>
      <c r="AA498" s="629"/>
      <c r="AB498" s="629"/>
      <c r="AC498" s="629"/>
      <c r="AD498" s="629"/>
      <c r="AE498" s="629"/>
      <c r="AF498" s="629"/>
      <c r="AG498" s="629"/>
      <c r="AH498" s="630"/>
      <c r="AI498" s="631"/>
      <c r="AJ498" s="631"/>
      <c r="AK498" s="631"/>
      <c r="AL498" s="631">
        <v>1</v>
      </c>
      <c r="AM498" s="629"/>
      <c r="AN498" s="633">
        <f>SUM(BProvPrivEnrlmtUnder2233[[#This Row],[K4 H]:[Ungradable Second H]])</f>
        <v>1</v>
      </c>
      <c r="AO498" s="634">
        <v>1</v>
      </c>
      <c r="AP498" s="629" t="s">
        <v>396</v>
      </c>
      <c r="AQ498" s="629" t="str">
        <f>INDEX(TableAFNSchools[North/South of 53rd Parallel &amp; Fly-in = North],MATCH(BProvPrivEnrlmtUnder2233[[#This Row],[Band No.]],TableAFNSchools[Band No '#],0))</f>
        <v>South</v>
      </c>
      <c r="AR498" s="629" t="s">
        <v>442</v>
      </c>
      <c r="AS498" s="629" t="s">
        <v>442</v>
      </c>
      <c r="AT498" s="629" t="str">
        <f>IF(BProvPrivEnrlmtUnder2233[[#This Row],[K4]]="","None",IF(BProvPrivEnrlmtUnder2233[[#This Row],[K4]]&lt;BProvPrivEnrlmtUnder2233[[#This Row],[K4 H]],"Half-day",IF(AND(BProvPrivEnrlmtUnder2233[[#This Row],[K4]]&gt;0,BProvPrivEnrlmtUnder2233[[#This Row],[K4]]=BProvPrivEnrlmtUnder2233[[#This Row],[K4 H]]),"Full-day",0)))</f>
        <v>None</v>
      </c>
      <c r="AU498" s="629" t="str">
        <f>IF(BProvPrivEnrlmtUnder2233[[#This Row],[K5]]="","None",IF(BProvPrivEnrlmtUnder2233[[#This Row],[K5]]&lt;BProvPrivEnrlmtUnder2233[[#This Row],[K5 H]],"Half-day",IF(AND(BProvPrivEnrlmtUnder2233[[#This Row],[K5]]&gt;0,BProvPrivEnrlmtUnder2233[[#This Row],[K5]]=BProvPrivEnrlmtUnder2233[[#This Row],[K5 H]]),"Full-day",0)))</f>
        <v>None</v>
      </c>
      <c r="AV498" s="635">
        <f t="array" ref="AV498">IFERROR(INDEX($J$755:$J$818,MATCH(BProvPrivEnrlmtUnder2233[[#This Row],[Band No.]]&amp;BProvPrivEnrlmtUnder2233[[#This Row],[School No.]],$A$755:$A$818&amp;$E$755:$E$818,0)),0)</f>
        <v>1</v>
      </c>
      <c r="AW498" s="635">
        <f t="array" ref="AW498">IFERROR(INDEX($M$755:$M$818,MATCH(BProvPrivEnrlmtUnder2233[[#This Row],[Band No.]]&amp;BProvPrivEnrlmtUnder2233[[#This Row],[School No.]],$A$755:$A$818&amp;$E$755:$E$818,0)),0)</f>
        <v>0</v>
      </c>
      <c r="AX498" s="624">
        <f t="array" ref="AX498">IFERROR(INDEX($I$755:$I$818,MATCH(BProvPrivEnrlmtUnder2233[[#This Row],[Band No.]]&amp;BProvPrivEnrlmtUnder2233[[#This Row],[School No.]],$A$755:$A$818&amp;$E$755:$E$818,0)),0)</f>
        <v>0</v>
      </c>
      <c r="AY498" s="630">
        <f t="array" ref="AY498">IFERROR(INDEX($K$755:$K$818,MATCH(BProvPrivEnrlmtUnder2233[[#This Row],[Band No.]]&amp;BProvPrivEnrlmtUnder2233[[#This Row],[School No.]],$A$755:$A$818&amp;$E$755:$E$818,0)),0)</f>
        <v>0</v>
      </c>
      <c r="AZ498" s="637">
        <f t="array" ref="AZ498">IFERROR(INDEX($O$755:$O$818,MATCH(BProvPrivEnrlmtUnder2233[[#This Row],[Band No.]]&amp;BProvPrivEnrlmtUnder2233[[#This Row],[School No.]],$A$755:$A$818&amp;$E$755:$E$818,0)),0)</f>
        <v>0</v>
      </c>
      <c r="BA498" s="637">
        <f t="array" ref="BA498">IFERROR(INDEX($R$755:$R$818,MATCH(BProvPrivEnrlmtUnder2233[[#This Row],[Band No.]]&amp;BProvPrivEnrlmtUnder2233[[#This Row],[School No.]],$A$755:$A$818&amp;$E$755:$E$818,0)),0)</f>
        <v>0</v>
      </c>
      <c r="BB498" s="637">
        <f t="array" ref="BB498">IFERROR(INDEX($N$755:$N$818,MATCH(BProvPrivEnrlmtUnder2233[[#This Row],[Band No.]]&amp;BProvPrivEnrlmtUnder2233[[#This Row],[School No.]],$A$755:$A$818&amp;$E$755:$E$818,0)),0)</f>
        <v>0</v>
      </c>
      <c r="BC498" s="637">
        <f t="array" ref="BC498">IFERROR(INDEX($P$755:$P$818,MATCH(BProvPrivEnrlmtUnder2233[[#This Row],[Band No.]]&amp;BProvPrivEnrlmtUnder2233[[#This Row],[School No.]],$A$755:$A$818&amp;$E$755:$E$818,0)),0)</f>
        <v>0</v>
      </c>
    </row>
    <row r="499" spans="1:55" s="624" customFormat="1" hidden="1">
      <c r="A499" s="629">
        <v>271</v>
      </c>
      <c r="B499" s="629" t="s">
        <v>396</v>
      </c>
      <c r="C499" s="629" t="s">
        <v>1395</v>
      </c>
      <c r="D499" s="629" t="s">
        <v>1396</v>
      </c>
      <c r="E499" s="629" t="s">
        <v>1387</v>
      </c>
      <c r="F499" s="624" t="s">
        <v>1013</v>
      </c>
      <c r="G499" s="629"/>
      <c r="H499" s="629"/>
      <c r="I499" s="629"/>
      <c r="J499" s="629"/>
      <c r="K499" s="629"/>
      <c r="L499" s="629"/>
      <c r="M499" s="629"/>
      <c r="N499" s="629"/>
      <c r="O499" s="629"/>
      <c r="P499" s="629"/>
      <c r="Q499" s="630"/>
      <c r="R499" s="631"/>
      <c r="S499" s="631"/>
      <c r="T499" s="631"/>
      <c r="U499" s="631">
        <v>1</v>
      </c>
      <c r="V499" s="629"/>
      <c r="W499" s="632">
        <f>SUM(BProvPrivEnrlmtUnder2233[[#This Row],[K4]:[Ungradable Second FTE]])</f>
        <v>1</v>
      </c>
      <c r="X499" s="629"/>
      <c r="Y499" s="629"/>
      <c r="Z499" s="629"/>
      <c r="AA499" s="629"/>
      <c r="AB499" s="629"/>
      <c r="AC499" s="629"/>
      <c r="AD499" s="629"/>
      <c r="AE499" s="629"/>
      <c r="AF499" s="629"/>
      <c r="AG499" s="629"/>
      <c r="AH499" s="630"/>
      <c r="AI499" s="631"/>
      <c r="AJ499" s="631"/>
      <c r="AK499" s="631"/>
      <c r="AL499" s="631">
        <v>1</v>
      </c>
      <c r="AM499" s="629"/>
      <c r="AN499" s="633">
        <f>SUM(BProvPrivEnrlmtUnder2233[[#This Row],[K4 H]:[Ungradable Second H]])</f>
        <v>1</v>
      </c>
      <c r="AO499" s="634">
        <v>1</v>
      </c>
      <c r="AP499" s="629" t="s">
        <v>396</v>
      </c>
      <c r="AQ499" s="629" t="str">
        <f>INDEX(TableAFNSchools[North/South of 53rd Parallel &amp; Fly-in = North],MATCH(BProvPrivEnrlmtUnder2233[[#This Row],[Band No.]],TableAFNSchools[Band No '#],0))</f>
        <v>South</v>
      </c>
      <c r="AR499" s="629" t="s">
        <v>1233</v>
      </c>
      <c r="AS499" s="629" t="s">
        <v>442</v>
      </c>
      <c r="AT499" s="629" t="str">
        <f>IF(BProvPrivEnrlmtUnder2233[[#This Row],[K4]]="","None",IF(BProvPrivEnrlmtUnder2233[[#This Row],[K4]]&lt;BProvPrivEnrlmtUnder2233[[#This Row],[K4 H]],"Half-day",IF(AND(BProvPrivEnrlmtUnder2233[[#This Row],[K4]]&gt;0,BProvPrivEnrlmtUnder2233[[#This Row],[K4]]=BProvPrivEnrlmtUnder2233[[#This Row],[K4 H]]),"Full-day",0)))</f>
        <v>None</v>
      </c>
      <c r="AU499" s="629" t="str">
        <f>IF(BProvPrivEnrlmtUnder2233[[#This Row],[K5]]="","None",IF(BProvPrivEnrlmtUnder2233[[#This Row],[K5]]&lt;BProvPrivEnrlmtUnder2233[[#This Row],[K5 H]],"Half-day",IF(AND(BProvPrivEnrlmtUnder2233[[#This Row],[K5]]&gt;0,BProvPrivEnrlmtUnder2233[[#This Row],[K5]]=BProvPrivEnrlmtUnder2233[[#This Row],[K5 H]]),"Full-day",0)))</f>
        <v>None</v>
      </c>
      <c r="AV499" s="635">
        <f t="array" ref="AV499">IFERROR(INDEX($J$755:$J$818,MATCH(BProvPrivEnrlmtUnder2233[[#This Row],[Band No.]]&amp;BProvPrivEnrlmtUnder2233[[#This Row],[School No.]],$A$755:$A$818&amp;$E$755:$E$818,0)),0)</f>
        <v>0</v>
      </c>
      <c r="AW499" s="635">
        <f t="array" ref="AW499">IFERROR(INDEX($M$755:$M$818,MATCH(BProvPrivEnrlmtUnder2233[[#This Row],[Band No.]]&amp;BProvPrivEnrlmtUnder2233[[#This Row],[School No.]],$A$755:$A$818&amp;$E$755:$E$818,0)),0)</f>
        <v>0</v>
      </c>
      <c r="AX499" s="624">
        <f t="array" ref="AX499">IFERROR(INDEX($I$755:$I$818,MATCH(BProvPrivEnrlmtUnder2233[[#This Row],[Band No.]]&amp;BProvPrivEnrlmtUnder2233[[#This Row],[School No.]],$A$755:$A$818&amp;$E$755:$E$818,0)),0)</f>
        <v>0</v>
      </c>
      <c r="AY499" s="630">
        <f t="array" ref="AY499">IFERROR(INDEX($K$755:$K$818,MATCH(BProvPrivEnrlmtUnder2233[[#This Row],[Band No.]]&amp;BProvPrivEnrlmtUnder2233[[#This Row],[School No.]],$A$755:$A$818&amp;$E$755:$E$818,0)),0)</f>
        <v>0</v>
      </c>
      <c r="AZ499" s="637">
        <f t="array" ref="AZ499">IFERROR(INDEX($O$755:$O$818,MATCH(BProvPrivEnrlmtUnder2233[[#This Row],[Band No.]]&amp;BProvPrivEnrlmtUnder2233[[#This Row],[School No.]],$A$755:$A$818&amp;$E$755:$E$818,0)),0)</f>
        <v>1</v>
      </c>
      <c r="BA499" s="637">
        <f t="array" ref="BA499">IFERROR(INDEX($R$755:$R$818,MATCH(BProvPrivEnrlmtUnder2233[[#This Row],[Band No.]]&amp;BProvPrivEnrlmtUnder2233[[#This Row],[School No.]],$A$755:$A$818&amp;$E$755:$E$818,0)),0)</f>
        <v>0</v>
      </c>
      <c r="BB499" s="637">
        <f t="array" ref="BB499">IFERROR(INDEX($N$755:$N$818,MATCH(BProvPrivEnrlmtUnder2233[[#This Row],[Band No.]]&amp;BProvPrivEnrlmtUnder2233[[#This Row],[School No.]],$A$755:$A$818&amp;$E$755:$E$818,0)),0)</f>
        <v>0</v>
      </c>
      <c r="BC499" s="637">
        <f t="array" ref="BC499">IFERROR(INDEX($P$755:$P$818,MATCH(BProvPrivEnrlmtUnder2233[[#This Row],[Band No.]]&amp;BProvPrivEnrlmtUnder2233[[#This Row],[School No.]],$A$755:$A$818&amp;$E$755:$E$818,0)),0)</f>
        <v>0</v>
      </c>
    </row>
    <row r="500" spans="1:55" s="624" customFormat="1" hidden="1">
      <c r="A500" s="629">
        <v>272</v>
      </c>
      <c r="B500" s="629" t="s">
        <v>734</v>
      </c>
      <c r="C500" s="629" t="s">
        <v>1421</v>
      </c>
      <c r="D500" s="629" t="s">
        <v>1422</v>
      </c>
      <c r="E500" s="629" t="s">
        <v>1423</v>
      </c>
      <c r="F500" s="624" t="s">
        <v>1013</v>
      </c>
      <c r="G500" s="629"/>
      <c r="H500" s="629"/>
      <c r="I500" s="629"/>
      <c r="J500" s="629"/>
      <c r="K500" s="629"/>
      <c r="L500" s="629"/>
      <c r="M500" s="629"/>
      <c r="N500" s="629"/>
      <c r="O500" s="629"/>
      <c r="P500" s="629"/>
      <c r="Q500" s="630"/>
      <c r="R500" s="631"/>
      <c r="S500" s="631"/>
      <c r="T500" s="631"/>
      <c r="U500" s="631">
        <v>0.5</v>
      </c>
      <c r="V500" s="629"/>
      <c r="W500" s="632">
        <f>SUM(BProvPrivEnrlmtUnder2233[[#This Row],[K4]:[Ungradable Second FTE]])</f>
        <v>0.5</v>
      </c>
      <c r="X500" s="629"/>
      <c r="Y500" s="629"/>
      <c r="Z500" s="629"/>
      <c r="AA500" s="629"/>
      <c r="AB500" s="629"/>
      <c r="AC500" s="629"/>
      <c r="AD500" s="629"/>
      <c r="AE500" s="629"/>
      <c r="AF500" s="629"/>
      <c r="AG500" s="629"/>
      <c r="AH500" s="630"/>
      <c r="AI500" s="631"/>
      <c r="AJ500" s="631"/>
      <c r="AK500" s="631"/>
      <c r="AL500" s="631">
        <v>1</v>
      </c>
      <c r="AM500" s="629"/>
      <c r="AN500" s="633">
        <f>SUM(BProvPrivEnrlmtUnder2233[[#This Row],[K4 H]:[Ungradable Second H]])</f>
        <v>1</v>
      </c>
      <c r="AO500" s="634">
        <v>6</v>
      </c>
      <c r="AP500" s="629" t="s">
        <v>388</v>
      </c>
      <c r="AQ500" s="629" t="str">
        <f>INDEX(TableAFNSchools[North/South of 53rd Parallel &amp; Fly-in = North],MATCH(BProvPrivEnrlmtUnder2233[[#This Row],[Band No.]],TableAFNSchools[Band No '#],0))</f>
        <v>South</v>
      </c>
      <c r="AR500" s="629" t="s">
        <v>442</v>
      </c>
      <c r="AS500" s="629" t="s">
        <v>442</v>
      </c>
      <c r="AT500" s="629" t="str">
        <f>IF(BProvPrivEnrlmtUnder2233[[#This Row],[K4]]="","None",IF(BProvPrivEnrlmtUnder2233[[#This Row],[K4]]&lt;BProvPrivEnrlmtUnder2233[[#This Row],[K4 H]],"Half-day",IF(AND(BProvPrivEnrlmtUnder2233[[#This Row],[K4]]&gt;0,BProvPrivEnrlmtUnder2233[[#This Row],[K4]]=BProvPrivEnrlmtUnder2233[[#This Row],[K4 H]]),"Full-day",0)))</f>
        <v>None</v>
      </c>
      <c r="AU500" s="629" t="str">
        <f>IF(BProvPrivEnrlmtUnder2233[[#This Row],[K5]]="","None",IF(BProvPrivEnrlmtUnder2233[[#This Row],[K5]]&lt;BProvPrivEnrlmtUnder2233[[#This Row],[K5 H]],"Half-day",IF(AND(BProvPrivEnrlmtUnder2233[[#This Row],[K5]]&gt;0,BProvPrivEnrlmtUnder2233[[#This Row],[K5]]=BProvPrivEnrlmtUnder2233[[#This Row],[K5 H]]),"Full-day",0)))</f>
        <v>None</v>
      </c>
      <c r="AV500" s="635">
        <f t="array" ref="AV500">IFERROR(INDEX($J$755:$J$818,MATCH(BProvPrivEnrlmtUnder2233[[#This Row],[Band No.]]&amp;BProvPrivEnrlmtUnder2233[[#This Row],[School No.]],$A$755:$A$818&amp;$E$755:$E$818,0)),0)</f>
        <v>0</v>
      </c>
      <c r="AW500" s="635">
        <f t="array" ref="AW500">IFERROR(INDEX($M$755:$M$818,MATCH(BProvPrivEnrlmtUnder2233[[#This Row],[Band No.]]&amp;BProvPrivEnrlmtUnder2233[[#This Row],[School No.]],$A$755:$A$818&amp;$E$755:$E$818,0)),0)</f>
        <v>0</v>
      </c>
      <c r="AX500" s="624">
        <f t="array" ref="AX500">IFERROR(INDEX($I$755:$I$818,MATCH(BProvPrivEnrlmtUnder2233[[#This Row],[Band No.]]&amp;BProvPrivEnrlmtUnder2233[[#This Row],[School No.]],$A$755:$A$818&amp;$E$755:$E$818,0)),0)</f>
        <v>0</v>
      </c>
      <c r="AY500" s="635">
        <f t="array" ref="AY500">IFERROR(INDEX($K$755:$K$818,MATCH(BProvPrivEnrlmtUnder2233[[#This Row],[Band No.]]&amp;BProvPrivEnrlmtUnder2233[[#This Row],[School No.]],$A$755:$A$818&amp;$E$755:$E$818,0)),0)</f>
        <v>0</v>
      </c>
      <c r="AZ500" s="637">
        <f t="array" ref="AZ500">IFERROR(INDEX($O$755:$O$818,MATCH(BProvPrivEnrlmtUnder2233[[#This Row],[Band No.]]&amp;BProvPrivEnrlmtUnder2233[[#This Row],[School No.]],$A$755:$A$818&amp;$E$755:$E$818,0)),0)</f>
        <v>1</v>
      </c>
      <c r="BA500" s="637">
        <f t="array" ref="BA500">IFERROR(INDEX($R$755:$R$818,MATCH(BProvPrivEnrlmtUnder2233[[#This Row],[Band No.]]&amp;BProvPrivEnrlmtUnder2233[[#This Row],[School No.]],$A$755:$A$818&amp;$E$755:$E$818,0)),0)</f>
        <v>0</v>
      </c>
      <c r="BB500" s="637">
        <f t="array" ref="BB500">IFERROR(INDEX($N$755:$N$818,MATCH(BProvPrivEnrlmtUnder2233[[#This Row],[Band No.]]&amp;BProvPrivEnrlmtUnder2233[[#This Row],[School No.]],$A$755:$A$818&amp;$E$755:$E$818,0)),0)</f>
        <v>0</v>
      </c>
      <c r="BC500" s="637">
        <f t="array" ref="BC500">IFERROR(INDEX($P$755:$P$818,MATCH(BProvPrivEnrlmtUnder2233[[#This Row],[Band No.]]&amp;BProvPrivEnrlmtUnder2233[[#This Row],[School No.]],$A$755:$A$818&amp;$E$755:$E$818,0)),0)</f>
        <v>0</v>
      </c>
    </row>
    <row r="501" spans="1:55" s="624" customFormat="1" hidden="1">
      <c r="A501" s="629">
        <v>272</v>
      </c>
      <c r="B501" s="629" t="s">
        <v>734</v>
      </c>
      <c r="C501" s="629" t="s">
        <v>1406</v>
      </c>
      <c r="D501" s="629" t="s">
        <v>1407</v>
      </c>
      <c r="E501" s="629" t="s">
        <v>1408</v>
      </c>
      <c r="F501" s="624" t="s">
        <v>1013</v>
      </c>
      <c r="G501" s="629"/>
      <c r="H501" s="629"/>
      <c r="I501" s="629"/>
      <c r="J501" s="629"/>
      <c r="K501" s="629"/>
      <c r="L501" s="629"/>
      <c r="M501" s="629"/>
      <c r="N501" s="629"/>
      <c r="O501" s="629"/>
      <c r="P501" s="629"/>
      <c r="Q501" s="630"/>
      <c r="R501" s="631"/>
      <c r="S501" s="631"/>
      <c r="T501" s="631"/>
      <c r="U501" s="631"/>
      <c r="V501" s="629"/>
      <c r="W501" s="632">
        <f>SUM(BProvPrivEnrlmtUnder2233[[#This Row],[K4]:[Ungradable Second FTE]])</f>
        <v>0</v>
      </c>
      <c r="X501" s="629"/>
      <c r="Y501" s="629"/>
      <c r="Z501" s="629"/>
      <c r="AA501" s="629"/>
      <c r="AB501" s="629"/>
      <c r="AC501" s="629"/>
      <c r="AD501" s="629"/>
      <c r="AE501" s="629"/>
      <c r="AF501" s="629"/>
      <c r="AG501" s="629"/>
      <c r="AH501" s="630"/>
      <c r="AI501" s="631"/>
      <c r="AJ501" s="631"/>
      <c r="AK501" s="631"/>
      <c r="AL501" s="631"/>
      <c r="AM501" s="629"/>
      <c r="AN501" s="633">
        <f>SUM(BProvPrivEnrlmtUnder2233[[#This Row],[K4 H]:[Ungradable Second H]])</f>
        <v>0</v>
      </c>
      <c r="AO501" s="634">
        <v>1</v>
      </c>
      <c r="AP501" s="629" t="s">
        <v>388</v>
      </c>
      <c r="AQ501" s="629" t="str">
        <f>INDEX(TableAFNSchools[North/South of 53rd Parallel &amp; Fly-in = North],MATCH(BProvPrivEnrlmtUnder2233[[#This Row],[Band No.]],TableAFNSchools[Band No '#],0))</f>
        <v>South</v>
      </c>
      <c r="AR501" s="629" t="s">
        <v>1388</v>
      </c>
      <c r="AS501" s="629" t="s">
        <v>442</v>
      </c>
      <c r="AT501" s="629" t="str">
        <f>IF(BProvPrivEnrlmtUnder2233[[#This Row],[K4]]="","None",IF(BProvPrivEnrlmtUnder2233[[#This Row],[K4]]&lt;BProvPrivEnrlmtUnder2233[[#This Row],[K4 H]],"Half-day",IF(AND(BProvPrivEnrlmtUnder2233[[#This Row],[K4]]&gt;0,BProvPrivEnrlmtUnder2233[[#This Row],[K4]]=BProvPrivEnrlmtUnder2233[[#This Row],[K4 H]]),"Full-day",0)))</f>
        <v>None</v>
      </c>
      <c r="AU501" s="629" t="str">
        <f>IF(BProvPrivEnrlmtUnder2233[[#This Row],[K5]]="","None",IF(BProvPrivEnrlmtUnder2233[[#This Row],[K5]]&lt;BProvPrivEnrlmtUnder2233[[#This Row],[K5 H]],"Half-day",IF(AND(BProvPrivEnrlmtUnder2233[[#This Row],[K5]]&gt;0,BProvPrivEnrlmtUnder2233[[#This Row],[K5]]=BProvPrivEnrlmtUnder2233[[#This Row],[K5 H]]),"Full-day",0)))</f>
        <v>None</v>
      </c>
      <c r="AV501" s="635">
        <f t="array" ref="AV501">IFERROR(INDEX($J$755:$J$818,MATCH(BProvPrivEnrlmtUnder2233[[#This Row],[Band No.]]&amp;BProvPrivEnrlmtUnder2233[[#This Row],[School No.]],$A$755:$A$818&amp;$E$755:$E$818,0)),0)</f>
        <v>0</v>
      </c>
      <c r="AW501" s="635">
        <f t="array" ref="AW501">IFERROR(INDEX($M$755:$M$818,MATCH(BProvPrivEnrlmtUnder2233[[#This Row],[Band No.]]&amp;BProvPrivEnrlmtUnder2233[[#This Row],[School No.]],$A$755:$A$818&amp;$E$755:$E$818,0)),0)</f>
        <v>0</v>
      </c>
      <c r="AX501" s="624">
        <f t="array" ref="AX501">IFERROR(INDEX($I$755:$I$818,MATCH(BProvPrivEnrlmtUnder2233[[#This Row],[Band No.]]&amp;BProvPrivEnrlmtUnder2233[[#This Row],[School No.]],$A$755:$A$818&amp;$E$755:$E$818,0)),0)</f>
        <v>0</v>
      </c>
      <c r="AY501" s="630">
        <f t="array" ref="AY501">IFERROR(INDEX($K$755:$K$818,MATCH(BProvPrivEnrlmtUnder2233[[#This Row],[Band No.]]&amp;BProvPrivEnrlmtUnder2233[[#This Row],[School No.]],$A$755:$A$818&amp;$E$755:$E$818,0)),0)</f>
        <v>0</v>
      </c>
      <c r="AZ501" s="637">
        <f t="array" ref="AZ501">IFERROR(INDEX($O$755:$O$818,MATCH(BProvPrivEnrlmtUnder2233[[#This Row],[Band No.]]&amp;BProvPrivEnrlmtUnder2233[[#This Row],[School No.]],$A$755:$A$818&amp;$E$755:$E$818,0)),0)</f>
        <v>0</v>
      </c>
      <c r="BA501" s="637">
        <f t="array" ref="BA501">IFERROR(INDEX($R$755:$R$818,MATCH(BProvPrivEnrlmtUnder2233[[#This Row],[Band No.]]&amp;BProvPrivEnrlmtUnder2233[[#This Row],[School No.]],$A$755:$A$818&amp;$E$755:$E$818,0)),0)</f>
        <v>0</v>
      </c>
      <c r="BB501" s="637">
        <f t="array" ref="BB501">IFERROR(INDEX($N$755:$N$818,MATCH(BProvPrivEnrlmtUnder2233[[#This Row],[Band No.]]&amp;BProvPrivEnrlmtUnder2233[[#This Row],[School No.]],$A$755:$A$818&amp;$E$755:$E$818,0)),0)</f>
        <v>0</v>
      </c>
      <c r="BC501" s="637">
        <f t="array" ref="BC501">IFERROR(INDEX($P$755:$P$818,MATCH(BProvPrivEnrlmtUnder2233[[#This Row],[Band No.]]&amp;BProvPrivEnrlmtUnder2233[[#This Row],[School No.]],$A$755:$A$818&amp;$E$755:$E$818,0)),0)</f>
        <v>0</v>
      </c>
    </row>
    <row r="502" spans="1:55" s="624" customFormat="1" hidden="1">
      <c r="A502" s="629">
        <v>272</v>
      </c>
      <c r="B502" s="629" t="s">
        <v>734</v>
      </c>
      <c r="C502" s="629" t="s">
        <v>1021</v>
      </c>
      <c r="D502" s="629" t="s">
        <v>967</v>
      </c>
      <c r="E502" s="629" t="s">
        <v>1355</v>
      </c>
      <c r="F502" s="624" t="s">
        <v>1013</v>
      </c>
      <c r="G502" s="629"/>
      <c r="H502" s="629"/>
      <c r="I502" s="629"/>
      <c r="J502" s="629"/>
      <c r="K502" s="629"/>
      <c r="L502" s="629"/>
      <c r="M502" s="629"/>
      <c r="N502" s="629"/>
      <c r="O502" s="629"/>
      <c r="P502" s="629"/>
      <c r="Q502" s="630"/>
      <c r="R502" s="631"/>
      <c r="S502" s="631"/>
      <c r="T502" s="631">
        <v>1</v>
      </c>
      <c r="U502" s="631"/>
      <c r="V502" s="629"/>
      <c r="W502" s="632">
        <f>SUM(BProvPrivEnrlmtUnder2233[[#This Row],[K4]:[Ungradable Second FTE]])</f>
        <v>1</v>
      </c>
      <c r="X502" s="629"/>
      <c r="Y502" s="629"/>
      <c r="Z502" s="629"/>
      <c r="AA502" s="629"/>
      <c r="AB502" s="629"/>
      <c r="AC502" s="629"/>
      <c r="AD502" s="629"/>
      <c r="AE502" s="629"/>
      <c r="AF502" s="629"/>
      <c r="AG502" s="629"/>
      <c r="AH502" s="630"/>
      <c r="AI502" s="631"/>
      <c r="AJ502" s="631"/>
      <c r="AK502" s="631">
        <v>1</v>
      </c>
      <c r="AL502" s="631"/>
      <c r="AM502" s="629"/>
      <c r="AN502" s="633">
        <f>SUM(BProvPrivEnrlmtUnder2233[[#This Row],[K4 H]:[Ungradable Second H]])</f>
        <v>1</v>
      </c>
      <c r="AO502" s="634">
        <v>1</v>
      </c>
      <c r="AP502" s="629" t="s">
        <v>388</v>
      </c>
      <c r="AQ502" s="629" t="str">
        <f>INDEX(TableAFNSchools[North/South of 53rd Parallel &amp; Fly-in = North],MATCH(BProvPrivEnrlmtUnder2233[[#This Row],[Band No.]],TableAFNSchools[Band No '#],0))</f>
        <v>South</v>
      </c>
      <c r="AR502" s="629" t="s">
        <v>1233</v>
      </c>
      <c r="AS502" s="629" t="s">
        <v>442</v>
      </c>
      <c r="AT502" s="629" t="str">
        <f>IF(BProvPrivEnrlmtUnder2233[[#This Row],[K4]]="","None",IF(BProvPrivEnrlmtUnder2233[[#This Row],[K4]]&lt;BProvPrivEnrlmtUnder2233[[#This Row],[K4 H]],"Half-day",IF(AND(BProvPrivEnrlmtUnder2233[[#This Row],[K4]]&gt;0,BProvPrivEnrlmtUnder2233[[#This Row],[K4]]=BProvPrivEnrlmtUnder2233[[#This Row],[K4 H]]),"Full-day",0)))</f>
        <v>None</v>
      </c>
      <c r="AU502" s="629" t="str">
        <f>IF(BProvPrivEnrlmtUnder2233[[#This Row],[K5]]="","None",IF(BProvPrivEnrlmtUnder2233[[#This Row],[K5]]&lt;BProvPrivEnrlmtUnder2233[[#This Row],[K5 H]],"Half-day",IF(AND(BProvPrivEnrlmtUnder2233[[#This Row],[K5]]&gt;0,BProvPrivEnrlmtUnder2233[[#This Row],[K5]]=BProvPrivEnrlmtUnder2233[[#This Row],[K5 H]]),"Full-day",0)))</f>
        <v>None</v>
      </c>
      <c r="AV502" s="635">
        <f t="array" ref="AV502">IFERROR(INDEX($J$755:$J$818,MATCH(BProvPrivEnrlmtUnder2233[[#This Row],[Band No.]]&amp;BProvPrivEnrlmtUnder2233[[#This Row],[School No.]],$A$755:$A$818&amp;$E$755:$E$818,0)),0)</f>
        <v>1</v>
      </c>
      <c r="AW502" s="635">
        <f t="array" ref="AW502">IFERROR(INDEX($M$755:$M$818,MATCH(BProvPrivEnrlmtUnder2233[[#This Row],[Band No.]]&amp;BProvPrivEnrlmtUnder2233[[#This Row],[School No.]],$A$755:$A$818&amp;$E$755:$E$818,0)),0)</f>
        <v>0</v>
      </c>
      <c r="AX502" s="624">
        <f t="array" ref="AX502">IFERROR(INDEX($I$755:$I$818,MATCH(BProvPrivEnrlmtUnder2233[[#This Row],[Band No.]]&amp;BProvPrivEnrlmtUnder2233[[#This Row],[School No.]],$A$755:$A$818&amp;$E$755:$E$818,0)),0)</f>
        <v>0</v>
      </c>
      <c r="AY502" s="635">
        <f t="array" ref="AY502">IFERROR(INDEX($K$755:$K$818,MATCH(BProvPrivEnrlmtUnder2233[[#This Row],[Band No.]]&amp;BProvPrivEnrlmtUnder2233[[#This Row],[School No.]],$A$755:$A$818&amp;$E$755:$E$818,0)),0)</f>
        <v>0</v>
      </c>
      <c r="AZ502" s="637">
        <f t="array" ref="AZ502">IFERROR(INDEX($O$755:$O$818,MATCH(BProvPrivEnrlmtUnder2233[[#This Row],[Band No.]]&amp;BProvPrivEnrlmtUnder2233[[#This Row],[School No.]],$A$755:$A$818&amp;$E$755:$E$818,0)),0)</f>
        <v>0</v>
      </c>
      <c r="BA502" s="637">
        <f t="array" ref="BA502">IFERROR(INDEX($R$755:$R$818,MATCH(BProvPrivEnrlmtUnder2233[[#This Row],[Band No.]]&amp;BProvPrivEnrlmtUnder2233[[#This Row],[School No.]],$A$755:$A$818&amp;$E$755:$E$818,0)),0)</f>
        <v>0</v>
      </c>
      <c r="BB502" s="637">
        <f t="array" ref="BB502">IFERROR(INDEX($N$755:$N$818,MATCH(BProvPrivEnrlmtUnder2233[[#This Row],[Band No.]]&amp;BProvPrivEnrlmtUnder2233[[#This Row],[School No.]],$A$755:$A$818&amp;$E$755:$E$818,0)),0)</f>
        <v>0</v>
      </c>
      <c r="BC502" s="637">
        <f t="array" ref="BC502">IFERROR(INDEX($P$755:$P$818,MATCH(BProvPrivEnrlmtUnder2233[[#This Row],[Band No.]]&amp;BProvPrivEnrlmtUnder2233[[#This Row],[School No.]],$A$755:$A$818&amp;$E$755:$E$818,0)),0)</f>
        <v>0</v>
      </c>
    </row>
    <row r="503" spans="1:55" s="624" customFormat="1" hidden="1">
      <c r="A503" s="629">
        <v>272</v>
      </c>
      <c r="B503" s="629" t="s">
        <v>734</v>
      </c>
      <c r="C503" s="629" t="s">
        <v>1410</v>
      </c>
      <c r="D503" s="629" t="s">
        <v>1361</v>
      </c>
      <c r="E503" s="629" t="s">
        <v>1362</v>
      </c>
      <c r="F503" s="624" t="s">
        <v>1013</v>
      </c>
      <c r="G503" s="629"/>
      <c r="H503" s="629"/>
      <c r="I503" s="629"/>
      <c r="J503" s="629"/>
      <c r="K503" s="629"/>
      <c r="L503" s="629"/>
      <c r="M503" s="629"/>
      <c r="N503" s="629"/>
      <c r="O503" s="629"/>
      <c r="P503" s="629"/>
      <c r="Q503" s="630"/>
      <c r="R503" s="631"/>
      <c r="S503" s="631"/>
      <c r="T503" s="631">
        <v>3</v>
      </c>
      <c r="U503" s="631">
        <v>5</v>
      </c>
      <c r="V503" s="629"/>
      <c r="W503" s="632">
        <f>SUM(BProvPrivEnrlmtUnder2233[[#This Row],[K4]:[Ungradable Second FTE]])</f>
        <v>8</v>
      </c>
      <c r="X503" s="629"/>
      <c r="Y503" s="629"/>
      <c r="Z503" s="629"/>
      <c r="AA503" s="629"/>
      <c r="AB503" s="629"/>
      <c r="AC503" s="629"/>
      <c r="AD503" s="629"/>
      <c r="AE503" s="629"/>
      <c r="AF503" s="629"/>
      <c r="AG503" s="629"/>
      <c r="AH503" s="630"/>
      <c r="AI503" s="631"/>
      <c r="AJ503" s="631"/>
      <c r="AK503" s="631">
        <v>3</v>
      </c>
      <c r="AL503" s="631">
        <v>5</v>
      </c>
      <c r="AM503" s="629"/>
      <c r="AN503" s="633">
        <f>SUM(BProvPrivEnrlmtUnder2233[[#This Row],[K4 H]:[Ungradable Second H]])</f>
        <v>8</v>
      </c>
      <c r="AO503" s="634">
        <v>1</v>
      </c>
      <c r="AP503" s="629" t="s">
        <v>388</v>
      </c>
      <c r="AQ503" s="629" t="str">
        <f>INDEX(TableAFNSchools[North/South of 53rd Parallel &amp; Fly-in = North],MATCH(BProvPrivEnrlmtUnder2233[[#This Row],[Band No.]],TableAFNSchools[Band No '#],0))</f>
        <v>South</v>
      </c>
      <c r="AR503" s="629" t="s">
        <v>1405</v>
      </c>
      <c r="AS503" s="629" t="s">
        <v>442</v>
      </c>
      <c r="AT503" s="629" t="str">
        <f>IF(BProvPrivEnrlmtUnder2233[[#This Row],[K4]]="","None",IF(BProvPrivEnrlmtUnder2233[[#This Row],[K4]]&lt;BProvPrivEnrlmtUnder2233[[#This Row],[K4 H]],"Half-day",IF(AND(BProvPrivEnrlmtUnder2233[[#This Row],[K4]]&gt;0,BProvPrivEnrlmtUnder2233[[#This Row],[K4]]=BProvPrivEnrlmtUnder2233[[#This Row],[K4 H]]),"Full-day",0)))</f>
        <v>None</v>
      </c>
      <c r="AU503" s="629" t="str">
        <f>IF(BProvPrivEnrlmtUnder2233[[#This Row],[K5]]="","None",IF(BProvPrivEnrlmtUnder2233[[#This Row],[K5]]&lt;BProvPrivEnrlmtUnder2233[[#This Row],[K5 H]],"Half-day",IF(AND(BProvPrivEnrlmtUnder2233[[#This Row],[K5]]&gt;0,BProvPrivEnrlmtUnder2233[[#This Row],[K5]]=BProvPrivEnrlmtUnder2233[[#This Row],[K5 H]]),"Full-day",0)))</f>
        <v>None</v>
      </c>
      <c r="AV503" s="635">
        <f t="array" ref="AV503">IFERROR(INDEX($J$755:$J$818,MATCH(BProvPrivEnrlmtUnder2233[[#This Row],[Band No.]]&amp;BProvPrivEnrlmtUnder2233[[#This Row],[School No.]],$A$755:$A$818&amp;$E$755:$E$818,0)),0)</f>
        <v>0</v>
      </c>
      <c r="AW503" s="635">
        <f t="array" ref="AW503">IFERROR(INDEX($M$755:$M$818,MATCH(BProvPrivEnrlmtUnder2233[[#This Row],[Band No.]]&amp;BProvPrivEnrlmtUnder2233[[#This Row],[School No.]],$A$755:$A$818&amp;$E$755:$E$818,0)),0)</f>
        <v>0</v>
      </c>
      <c r="AX503" s="624">
        <f t="array" ref="AX503">IFERROR(INDEX($I$755:$I$818,MATCH(BProvPrivEnrlmtUnder2233[[#This Row],[Band No.]]&amp;BProvPrivEnrlmtUnder2233[[#This Row],[School No.]],$A$755:$A$818&amp;$E$755:$E$818,0)),0)</f>
        <v>0</v>
      </c>
      <c r="AY503" s="630">
        <f t="array" ref="AY503">IFERROR(INDEX($K$755:$K$818,MATCH(BProvPrivEnrlmtUnder2233[[#This Row],[Band No.]]&amp;BProvPrivEnrlmtUnder2233[[#This Row],[School No.]],$A$755:$A$818&amp;$E$755:$E$818,0)),0)</f>
        <v>0</v>
      </c>
      <c r="AZ503" s="637">
        <f t="array" ref="AZ503">IFERROR(INDEX($O$755:$O$818,MATCH(BProvPrivEnrlmtUnder2233[[#This Row],[Band No.]]&amp;BProvPrivEnrlmtUnder2233[[#This Row],[School No.]],$A$755:$A$818&amp;$E$755:$E$818,0)),0)</f>
        <v>0</v>
      </c>
      <c r="BA503" s="637">
        <f t="array" ref="BA503">IFERROR(INDEX($R$755:$R$818,MATCH(BProvPrivEnrlmtUnder2233[[#This Row],[Band No.]]&amp;BProvPrivEnrlmtUnder2233[[#This Row],[School No.]],$A$755:$A$818&amp;$E$755:$E$818,0)),0)</f>
        <v>0</v>
      </c>
      <c r="BB503" s="637">
        <f t="array" ref="BB503">IFERROR(INDEX($N$755:$N$818,MATCH(BProvPrivEnrlmtUnder2233[[#This Row],[Band No.]]&amp;BProvPrivEnrlmtUnder2233[[#This Row],[School No.]],$A$755:$A$818&amp;$E$755:$E$818,0)),0)</f>
        <v>0</v>
      </c>
      <c r="BC503" s="637">
        <f t="array" ref="BC503">IFERROR(INDEX($P$755:$P$818,MATCH(BProvPrivEnrlmtUnder2233[[#This Row],[Band No.]]&amp;BProvPrivEnrlmtUnder2233[[#This Row],[School No.]],$A$755:$A$818&amp;$E$755:$E$818,0)),0)</f>
        <v>0</v>
      </c>
    </row>
    <row r="504" spans="1:55" s="624" customFormat="1" hidden="1">
      <c r="A504" s="629">
        <v>272</v>
      </c>
      <c r="B504" s="629" t="s">
        <v>734</v>
      </c>
      <c r="C504" s="629" t="s">
        <v>1044</v>
      </c>
      <c r="D504" s="629" t="s">
        <v>968</v>
      </c>
      <c r="E504" s="629" t="s">
        <v>1355</v>
      </c>
      <c r="F504" s="624" t="s">
        <v>1013</v>
      </c>
      <c r="G504" s="629"/>
      <c r="H504" s="629"/>
      <c r="I504" s="629"/>
      <c r="J504" s="629"/>
      <c r="K504" s="629"/>
      <c r="L504" s="629"/>
      <c r="M504" s="629"/>
      <c r="N504" s="629"/>
      <c r="O504" s="629"/>
      <c r="P504" s="629"/>
      <c r="Q504" s="630"/>
      <c r="R504" s="631"/>
      <c r="S504" s="631"/>
      <c r="T504" s="631"/>
      <c r="U504" s="631">
        <v>1</v>
      </c>
      <c r="V504" s="629"/>
      <c r="W504" s="632">
        <f>SUM(BProvPrivEnrlmtUnder2233[[#This Row],[K4]:[Ungradable Second FTE]])</f>
        <v>1</v>
      </c>
      <c r="X504" s="629"/>
      <c r="Y504" s="629"/>
      <c r="Z504" s="629"/>
      <c r="AA504" s="629"/>
      <c r="AB504" s="629"/>
      <c r="AC504" s="629"/>
      <c r="AD504" s="629"/>
      <c r="AE504" s="629"/>
      <c r="AF504" s="629"/>
      <c r="AG504" s="629"/>
      <c r="AH504" s="630"/>
      <c r="AI504" s="631"/>
      <c r="AJ504" s="631"/>
      <c r="AK504" s="631"/>
      <c r="AL504" s="631">
        <v>1</v>
      </c>
      <c r="AM504" s="629"/>
      <c r="AN504" s="633">
        <f>SUM(BProvPrivEnrlmtUnder2233[[#This Row],[K4 H]:[Ungradable Second H]])</f>
        <v>1</v>
      </c>
      <c r="AO504" s="634">
        <v>3</v>
      </c>
      <c r="AP504" s="629" t="s">
        <v>388</v>
      </c>
      <c r="AQ504" s="629" t="str">
        <f>INDEX(TableAFNSchools[North/South of 53rd Parallel &amp; Fly-in = North],MATCH(BProvPrivEnrlmtUnder2233[[#This Row],[Band No.]],TableAFNSchools[Band No '#],0))</f>
        <v>South</v>
      </c>
      <c r="AR504" s="629" t="s">
        <v>1233</v>
      </c>
      <c r="AS504" s="629" t="s">
        <v>442</v>
      </c>
      <c r="AT504" s="629" t="str">
        <f>IF(BProvPrivEnrlmtUnder2233[[#This Row],[K4]]="","None",IF(BProvPrivEnrlmtUnder2233[[#This Row],[K4]]&lt;BProvPrivEnrlmtUnder2233[[#This Row],[K4 H]],"Half-day",IF(AND(BProvPrivEnrlmtUnder2233[[#This Row],[K4]]&gt;0,BProvPrivEnrlmtUnder2233[[#This Row],[K4]]=BProvPrivEnrlmtUnder2233[[#This Row],[K4 H]]),"Full-day",0)))</f>
        <v>None</v>
      </c>
      <c r="AU504" s="629" t="str">
        <f>IF(BProvPrivEnrlmtUnder2233[[#This Row],[K5]]="","None",IF(BProvPrivEnrlmtUnder2233[[#This Row],[K5]]&lt;BProvPrivEnrlmtUnder2233[[#This Row],[K5 H]],"Half-day",IF(AND(BProvPrivEnrlmtUnder2233[[#This Row],[K5]]&gt;0,BProvPrivEnrlmtUnder2233[[#This Row],[K5]]=BProvPrivEnrlmtUnder2233[[#This Row],[K5 H]]),"Full-day",0)))</f>
        <v>None</v>
      </c>
      <c r="AV504" s="635">
        <f t="array" ref="AV504">IFERROR(INDEX($J$755:$J$818,MATCH(BProvPrivEnrlmtUnder2233[[#This Row],[Band No.]]&amp;BProvPrivEnrlmtUnder2233[[#This Row],[School No.]],$A$755:$A$818&amp;$E$755:$E$818,0)),0)</f>
        <v>0</v>
      </c>
      <c r="AW504" s="635">
        <f t="array" ref="AW504">IFERROR(INDEX($M$755:$M$818,MATCH(BProvPrivEnrlmtUnder2233[[#This Row],[Band No.]]&amp;BProvPrivEnrlmtUnder2233[[#This Row],[School No.]],$A$755:$A$818&amp;$E$755:$E$818,0)),0)</f>
        <v>0</v>
      </c>
      <c r="AX504" s="624">
        <f t="array" ref="AX504">IFERROR(INDEX($I$755:$I$818,MATCH(BProvPrivEnrlmtUnder2233[[#This Row],[Band No.]]&amp;BProvPrivEnrlmtUnder2233[[#This Row],[School No.]],$A$755:$A$818&amp;$E$755:$E$818,0)),0)</f>
        <v>0</v>
      </c>
      <c r="AY504" s="630">
        <f t="array" ref="AY504">IFERROR(INDEX($K$755:$K$818,MATCH(BProvPrivEnrlmtUnder2233[[#This Row],[Band No.]]&amp;BProvPrivEnrlmtUnder2233[[#This Row],[School No.]],$A$755:$A$818&amp;$E$755:$E$818,0)),0)</f>
        <v>0</v>
      </c>
      <c r="AZ504" s="637">
        <f t="array" ref="AZ504">IFERROR(INDEX($O$755:$O$818,MATCH(BProvPrivEnrlmtUnder2233[[#This Row],[Band No.]]&amp;BProvPrivEnrlmtUnder2233[[#This Row],[School No.]],$A$755:$A$818&amp;$E$755:$E$818,0)),0)</f>
        <v>1</v>
      </c>
      <c r="BA504" s="637">
        <f t="array" ref="BA504">IFERROR(INDEX($R$755:$R$818,MATCH(BProvPrivEnrlmtUnder2233[[#This Row],[Band No.]]&amp;BProvPrivEnrlmtUnder2233[[#This Row],[School No.]],$A$755:$A$818&amp;$E$755:$E$818,0)),0)</f>
        <v>0</v>
      </c>
      <c r="BB504" s="637">
        <f t="array" ref="BB504">IFERROR(INDEX($N$755:$N$818,MATCH(BProvPrivEnrlmtUnder2233[[#This Row],[Band No.]]&amp;BProvPrivEnrlmtUnder2233[[#This Row],[School No.]],$A$755:$A$818&amp;$E$755:$E$818,0)),0)</f>
        <v>0</v>
      </c>
      <c r="BC504" s="637">
        <f t="array" ref="BC504">IFERROR(INDEX($P$755:$P$818,MATCH(BProvPrivEnrlmtUnder2233[[#This Row],[Band No.]]&amp;BProvPrivEnrlmtUnder2233[[#This Row],[School No.]],$A$755:$A$818&amp;$E$755:$E$818,0)),0)</f>
        <v>0</v>
      </c>
    </row>
    <row r="505" spans="1:55" s="624" customFormat="1" hidden="1">
      <c r="A505" s="629">
        <v>272</v>
      </c>
      <c r="B505" s="629" t="s">
        <v>734</v>
      </c>
      <c r="C505" s="629" t="s">
        <v>1424</v>
      </c>
      <c r="D505" s="629" t="s">
        <v>1425</v>
      </c>
      <c r="E505" s="629" t="s">
        <v>1426</v>
      </c>
      <c r="F505" s="624" t="s">
        <v>1013</v>
      </c>
      <c r="G505" s="629"/>
      <c r="H505" s="629"/>
      <c r="I505" s="629"/>
      <c r="J505" s="629"/>
      <c r="K505" s="629"/>
      <c r="L505" s="629"/>
      <c r="M505" s="629"/>
      <c r="N505" s="629"/>
      <c r="O505" s="629"/>
      <c r="P505" s="629"/>
      <c r="Q505" s="630"/>
      <c r="R505" s="631"/>
      <c r="S505" s="631"/>
      <c r="T505" s="631">
        <v>1</v>
      </c>
      <c r="U505" s="631"/>
      <c r="V505" s="629"/>
      <c r="W505" s="632">
        <f>SUM(BProvPrivEnrlmtUnder2233[[#This Row],[K4]:[Ungradable Second FTE]])</f>
        <v>1</v>
      </c>
      <c r="X505" s="629"/>
      <c r="Y505" s="629"/>
      <c r="Z505" s="629"/>
      <c r="AA505" s="629"/>
      <c r="AB505" s="629"/>
      <c r="AC505" s="629"/>
      <c r="AD505" s="629"/>
      <c r="AE505" s="629"/>
      <c r="AF505" s="629"/>
      <c r="AG505" s="629"/>
      <c r="AH505" s="630"/>
      <c r="AI505" s="631"/>
      <c r="AJ505" s="631"/>
      <c r="AK505" s="631">
        <v>1</v>
      </c>
      <c r="AL505" s="631"/>
      <c r="AM505" s="629"/>
      <c r="AN505" s="633">
        <f>SUM(BProvPrivEnrlmtUnder2233[[#This Row],[K4 H]:[Ungradable Second H]])</f>
        <v>1</v>
      </c>
      <c r="AO505" s="634">
        <v>2</v>
      </c>
      <c r="AP505" s="629" t="s">
        <v>388</v>
      </c>
      <c r="AQ505" s="629" t="str">
        <f>INDEX(TableAFNSchools[North/South of 53rd Parallel &amp; Fly-in = North],MATCH(BProvPrivEnrlmtUnder2233[[#This Row],[Band No.]],TableAFNSchools[Band No '#],0))</f>
        <v>South</v>
      </c>
      <c r="AR505" s="630" t="s">
        <v>844</v>
      </c>
      <c r="AS505" s="629" t="s">
        <v>442</v>
      </c>
      <c r="AT505" s="629" t="str">
        <f>IF(BProvPrivEnrlmtUnder2233[[#This Row],[K4]]="","None",IF(BProvPrivEnrlmtUnder2233[[#This Row],[K4]]&lt;BProvPrivEnrlmtUnder2233[[#This Row],[K4 H]],"Half-day",IF(AND(BProvPrivEnrlmtUnder2233[[#This Row],[K4]]&gt;0,BProvPrivEnrlmtUnder2233[[#This Row],[K4]]=BProvPrivEnrlmtUnder2233[[#This Row],[K4 H]]),"Full-day",0)))</f>
        <v>None</v>
      </c>
      <c r="AU505" s="629" t="str">
        <f>IF(BProvPrivEnrlmtUnder2233[[#This Row],[K5]]="","None",IF(BProvPrivEnrlmtUnder2233[[#This Row],[K5]]&lt;BProvPrivEnrlmtUnder2233[[#This Row],[K5 H]],"Half-day",IF(AND(BProvPrivEnrlmtUnder2233[[#This Row],[K5]]&gt;0,BProvPrivEnrlmtUnder2233[[#This Row],[K5]]=BProvPrivEnrlmtUnder2233[[#This Row],[K5 H]]),"Full-day",0)))</f>
        <v>None</v>
      </c>
      <c r="AV505" s="635">
        <f t="array" ref="AV505">IFERROR(INDEX($J$755:$J$818,MATCH(BProvPrivEnrlmtUnder2233[[#This Row],[Band No.]]&amp;BProvPrivEnrlmtUnder2233[[#This Row],[School No.]],$A$755:$A$818&amp;$E$755:$E$818,0)),0)</f>
        <v>1</v>
      </c>
      <c r="AW505" s="635">
        <f t="array" ref="AW505">IFERROR(INDEX($M$755:$M$818,MATCH(BProvPrivEnrlmtUnder2233[[#This Row],[Band No.]]&amp;BProvPrivEnrlmtUnder2233[[#This Row],[School No.]],$A$755:$A$818&amp;$E$755:$E$818,0)),0)</f>
        <v>0</v>
      </c>
      <c r="AX505" s="624">
        <f t="array" ref="AX505">IFERROR(INDEX($I$755:$I$818,MATCH(BProvPrivEnrlmtUnder2233[[#This Row],[Band No.]]&amp;BProvPrivEnrlmtUnder2233[[#This Row],[School No.]],$A$755:$A$818&amp;$E$755:$E$818,0)),0)</f>
        <v>0</v>
      </c>
      <c r="AY505" s="630">
        <f t="array" ref="AY505">IFERROR(INDEX($K$755:$K$818,MATCH(BProvPrivEnrlmtUnder2233[[#This Row],[Band No.]]&amp;BProvPrivEnrlmtUnder2233[[#This Row],[School No.]],$A$755:$A$818&amp;$E$755:$E$818,0)),0)</f>
        <v>0</v>
      </c>
      <c r="AZ505" s="637">
        <f t="array" ref="AZ505">IFERROR(INDEX($O$755:$O$818,MATCH(BProvPrivEnrlmtUnder2233[[#This Row],[Band No.]]&amp;BProvPrivEnrlmtUnder2233[[#This Row],[School No.]],$A$755:$A$818&amp;$E$755:$E$818,0)),0)</f>
        <v>0</v>
      </c>
      <c r="BA505" s="637">
        <f t="array" ref="BA505">IFERROR(INDEX($R$755:$R$818,MATCH(BProvPrivEnrlmtUnder2233[[#This Row],[Band No.]]&amp;BProvPrivEnrlmtUnder2233[[#This Row],[School No.]],$A$755:$A$818&amp;$E$755:$E$818,0)),0)</f>
        <v>0</v>
      </c>
      <c r="BB505" s="637">
        <f t="array" ref="BB505">IFERROR(INDEX($N$755:$N$818,MATCH(BProvPrivEnrlmtUnder2233[[#This Row],[Band No.]]&amp;BProvPrivEnrlmtUnder2233[[#This Row],[School No.]],$A$755:$A$818&amp;$E$755:$E$818,0)),0)</f>
        <v>0</v>
      </c>
      <c r="BC505" s="637">
        <f t="array" ref="BC505">IFERROR(INDEX($P$755:$P$818,MATCH(BProvPrivEnrlmtUnder2233[[#This Row],[Band No.]]&amp;BProvPrivEnrlmtUnder2233[[#This Row],[School No.]],$A$755:$A$818&amp;$E$755:$E$818,0)),0)</f>
        <v>0</v>
      </c>
    </row>
    <row r="506" spans="1:55" s="624" customFormat="1" hidden="1">
      <c r="A506" s="629">
        <v>272</v>
      </c>
      <c r="B506" s="629" t="s">
        <v>734</v>
      </c>
      <c r="C506" s="629" t="s">
        <v>1062</v>
      </c>
      <c r="D506" s="629" t="s">
        <v>976</v>
      </c>
      <c r="E506" s="629" t="s">
        <v>1363</v>
      </c>
      <c r="F506" s="624" t="s">
        <v>1013</v>
      </c>
      <c r="G506" s="629"/>
      <c r="H506" s="629"/>
      <c r="I506" s="629"/>
      <c r="J506" s="629"/>
      <c r="K506" s="629"/>
      <c r="L506" s="629"/>
      <c r="M506" s="629"/>
      <c r="N506" s="629"/>
      <c r="O506" s="629"/>
      <c r="P506" s="629"/>
      <c r="Q506" s="630"/>
      <c r="R506" s="631"/>
      <c r="S506" s="631"/>
      <c r="T506" s="631"/>
      <c r="U506" s="631">
        <v>1</v>
      </c>
      <c r="V506" s="629"/>
      <c r="W506" s="632">
        <f>SUM(BProvPrivEnrlmtUnder2233[[#This Row],[K4]:[Ungradable Second FTE]])</f>
        <v>1</v>
      </c>
      <c r="X506" s="629"/>
      <c r="Y506" s="629"/>
      <c r="Z506" s="629"/>
      <c r="AA506" s="629"/>
      <c r="AB506" s="629"/>
      <c r="AC506" s="629"/>
      <c r="AD506" s="629"/>
      <c r="AE506" s="629"/>
      <c r="AF506" s="629"/>
      <c r="AG506" s="629"/>
      <c r="AH506" s="630"/>
      <c r="AI506" s="631"/>
      <c r="AJ506" s="631"/>
      <c r="AK506" s="631"/>
      <c r="AL506" s="631">
        <v>1</v>
      </c>
      <c r="AM506" s="629"/>
      <c r="AN506" s="633">
        <f>SUM(BProvPrivEnrlmtUnder2233[[#This Row],[K4 H]:[Ungradable Second H]])</f>
        <v>1</v>
      </c>
      <c r="AO506" s="634">
        <v>72</v>
      </c>
      <c r="AP506" s="629" t="s">
        <v>388</v>
      </c>
      <c r="AQ506" s="629" t="str">
        <f>INDEX(TableAFNSchools[North/South of 53rd Parallel &amp; Fly-in = North],MATCH(BProvPrivEnrlmtUnder2233[[#This Row],[Band No.]],TableAFNSchools[Band No '#],0))</f>
        <v>South</v>
      </c>
      <c r="AR506" s="630" t="s">
        <v>844</v>
      </c>
      <c r="AS506" s="629" t="s">
        <v>442</v>
      </c>
      <c r="AT506" s="629" t="str">
        <f>IF(BProvPrivEnrlmtUnder2233[[#This Row],[K4]]="","None",IF(BProvPrivEnrlmtUnder2233[[#This Row],[K4]]&lt;BProvPrivEnrlmtUnder2233[[#This Row],[K4 H]],"Half-day",IF(AND(BProvPrivEnrlmtUnder2233[[#This Row],[K4]]&gt;0,BProvPrivEnrlmtUnder2233[[#This Row],[K4]]=BProvPrivEnrlmtUnder2233[[#This Row],[K4 H]]),"Full-day",0)))</f>
        <v>None</v>
      </c>
      <c r="AU506" s="629" t="str">
        <f>IF(BProvPrivEnrlmtUnder2233[[#This Row],[K5]]="","None",IF(BProvPrivEnrlmtUnder2233[[#This Row],[K5]]&lt;BProvPrivEnrlmtUnder2233[[#This Row],[K5 H]],"Half-day",IF(AND(BProvPrivEnrlmtUnder2233[[#This Row],[K5]]&gt;0,BProvPrivEnrlmtUnder2233[[#This Row],[K5]]=BProvPrivEnrlmtUnder2233[[#This Row],[K5 H]]),"Full-day",0)))</f>
        <v>None</v>
      </c>
      <c r="AV506" s="635">
        <f t="array" ref="AV506">IFERROR(INDEX($J$755:$J$818,MATCH(BProvPrivEnrlmtUnder2233[[#This Row],[Band No.]]&amp;BProvPrivEnrlmtUnder2233[[#This Row],[School No.]],$A$755:$A$818&amp;$E$755:$E$818,0)),0)</f>
        <v>0</v>
      </c>
      <c r="AW506" s="635">
        <f t="array" ref="AW506">IFERROR(INDEX($M$755:$M$818,MATCH(BProvPrivEnrlmtUnder2233[[#This Row],[Band No.]]&amp;BProvPrivEnrlmtUnder2233[[#This Row],[School No.]],$A$755:$A$818&amp;$E$755:$E$818,0)),0)</f>
        <v>0</v>
      </c>
      <c r="AX506" s="624">
        <f t="array" ref="AX506">IFERROR(INDEX($I$755:$I$818,MATCH(BProvPrivEnrlmtUnder2233[[#This Row],[Band No.]]&amp;BProvPrivEnrlmtUnder2233[[#This Row],[School No.]],$A$755:$A$818&amp;$E$755:$E$818,0)),0)</f>
        <v>0</v>
      </c>
      <c r="AY506" s="635">
        <f t="array" ref="AY506">IFERROR(INDEX($K$755:$K$818,MATCH(BProvPrivEnrlmtUnder2233[[#This Row],[Band No.]]&amp;BProvPrivEnrlmtUnder2233[[#This Row],[School No.]],$A$755:$A$818&amp;$E$755:$E$818,0)),0)</f>
        <v>0</v>
      </c>
      <c r="AZ506" s="637">
        <f t="array" ref="AZ506">IFERROR(INDEX($O$755:$O$818,MATCH(BProvPrivEnrlmtUnder2233[[#This Row],[Band No.]]&amp;BProvPrivEnrlmtUnder2233[[#This Row],[School No.]],$A$755:$A$818&amp;$E$755:$E$818,0)),0)</f>
        <v>1</v>
      </c>
      <c r="BA506" s="637">
        <f t="array" ref="BA506">IFERROR(INDEX($R$755:$R$818,MATCH(BProvPrivEnrlmtUnder2233[[#This Row],[Band No.]]&amp;BProvPrivEnrlmtUnder2233[[#This Row],[School No.]],$A$755:$A$818&amp;$E$755:$E$818,0)),0)</f>
        <v>0</v>
      </c>
      <c r="BB506" s="637">
        <f t="array" ref="BB506">IFERROR(INDEX($N$755:$N$818,MATCH(BProvPrivEnrlmtUnder2233[[#This Row],[Band No.]]&amp;BProvPrivEnrlmtUnder2233[[#This Row],[School No.]],$A$755:$A$818&amp;$E$755:$E$818,0)),0)</f>
        <v>0</v>
      </c>
      <c r="BC506" s="637">
        <f t="array" ref="BC506">IFERROR(INDEX($P$755:$P$818,MATCH(BProvPrivEnrlmtUnder2233[[#This Row],[Band No.]]&amp;BProvPrivEnrlmtUnder2233[[#This Row],[School No.]],$A$755:$A$818&amp;$E$755:$E$818,0)),0)</f>
        <v>0</v>
      </c>
    </row>
    <row r="507" spans="1:55" s="624" customFormat="1" hidden="1">
      <c r="A507" s="629">
        <v>272</v>
      </c>
      <c r="B507" s="629" t="s">
        <v>734</v>
      </c>
      <c r="C507" s="629" t="s">
        <v>1391</v>
      </c>
      <c r="D507" s="629" t="s">
        <v>970</v>
      </c>
      <c r="E507" s="629" t="s">
        <v>1355</v>
      </c>
      <c r="F507" s="624" t="s">
        <v>1013</v>
      </c>
      <c r="G507" s="629"/>
      <c r="H507" s="629"/>
      <c r="I507" s="629"/>
      <c r="J507" s="629"/>
      <c r="K507" s="629"/>
      <c r="L507" s="629"/>
      <c r="M507" s="629"/>
      <c r="N507" s="629"/>
      <c r="O507" s="629"/>
      <c r="P507" s="629"/>
      <c r="Q507" s="630"/>
      <c r="R507" s="631">
        <v>1</v>
      </c>
      <c r="S507" s="631">
        <v>2</v>
      </c>
      <c r="T507" s="631"/>
      <c r="U507" s="631"/>
      <c r="V507" s="629"/>
      <c r="W507" s="632">
        <f>SUM(BProvPrivEnrlmtUnder2233[[#This Row],[K4]:[Ungradable Second FTE]])</f>
        <v>3</v>
      </c>
      <c r="X507" s="629"/>
      <c r="Y507" s="629"/>
      <c r="Z507" s="629"/>
      <c r="AA507" s="629"/>
      <c r="AB507" s="629"/>
      <c r="AC507" s="629"/>
      <c r="AD507" s="629"/>
      <c r="AE507" s="629"/>
      <c r="AF507" s="629"/>
      <c r="AG507" s="629"/>
      <c r="AH507" s="630"/>
      <c r="AI507" s="631">
        <v>1</v>
      </c>
      <c r="AJ507" s="631">
        <v>2</v>
      </c>
      <c r="AK507" s="631"/>
      <c r="AL507" s="631"/>
      <c r="AM507" s="629"/>
      <c r="AN507" s="633">
        <f>SUM(BProvPrivEnrlmtUnder2233[[#This Row],[K4 H]:[Ungradable Second H]])</f>
        <v>3</v>
      </c>
      <c r="AO507" s="634">
        <v>3</v>
      </c>
      <c r="AP507" s="629" t="s">
        <v>388</v>
      </c>
      <c r="AQ507" s="629" t="str">
        <f>INDEX(TableAFNSchools[North/South of 53rd Parallel &amp; Fly-in = North],MATCH(BProvPrivEnrlmtUnder2233[[#This Row],[Band No.]],TableAFNSchools[Band No '#],0))</f>
        <v>South</v>
      </c>
      <c r="AR507" s="630" t="s">
        <v>844</v>
      </c>
      <c r="AS507" s="629" t="s">
        <v>442</v>
      </c>
      <c r="AT507" s="629" t="str">
        <f>IF(BProvPrivEnrlmtUnder2233[[#This Row],[K4]]="","None",IF(BProvPrivEnrlmtUnder2233[[#This Row],[K4]]&lt;BProvPrivEnrlmtUnder2233[[#This Row],[K4 H]],"Half-day",IF(AND(BProvPrivEnrlmtUnder2233[[#This Row],[K4]]&gt;0,BProvPrivEnrlmtUnder2233[[#This Row],[K4]]=BProvPrivEnrlmtUnder2233[[#This Row],[K4 H]]),"Full-day",0)))</f>
        <v>None</v>
      </c>
      <c r="AU507" s="629" t="str">
        <f>IF(BProvPrivEnrlmtUnder2233[[#This Row],[K5]]="","None",IF(BProvPrivEnrlmtUnder2233[[#This Row],[K5]]&lt;BProvPrivEnrlmtUnder2233[[#This Row],[K5 H]],"Half-day",IF(AND(BProvPrivEnrlmtUnder2233[[#This Row],[K5]]&gt;0,BProvPrivEnrlmtUnder2233[[#This Row],[K5]]=BProvPrivEnrlmtUnder2233[[#This Row],[K5 H]]),"Full-day",0)))</f>
        <v>None</v>
      </c>
      <c r="AV507" s="635">
        <f t="array" ref="AV507">IFERROR(INDEX($J$755:$J$818,MATCH(BProvPrivEnrlmtUnder2233[[#This Row],[Band No.]]&amp;BProvPrivEnrlmtUnder2233[[#This Row],[School No.]],$A$755:$A$818&amp;$E$755:$E$818,0)),0)</f>
        <v>3</v>
      </c>
      <c r="AW507" s="635">
        <f t="array" ref="AW507">IFERROR(INDEX($M$755:$M$818,MATCH(BProvPrivEnrlmtUnder2233[[#This Row],[Band No.]]&amp;BProvPrivEnrlmtUnder2233[[#This Row],[School No.]],$A$755:$A$818&amp;$E$755:$E$818,0)),0)</f>
        <v>0</v>
      </c>
      <c r="AX507" s="624">
        <f t="array" ref="AX507">IFERROR(INDEX($I$755:$I$818,MATCH(BProvPrivEnrlmtUnder2233[[#This Row],[Band No.]]&amp;BProvPrivEnrlmtUnder2233[[#This Row],[School No.]],$A$755:$A$818&amp;$E$755:$E$818,0)),0)</f>
        <v>0</v>
      </c>
      <c r="AY507" s="635">
        <f t="array" ref="AY507">IFERROR(INDEX($K$755:$K$818,MATCH(BProvPrivEnrlmtUnder2233[[#This Row],[Band No.]]&amp;BProvPrivEnrlmtUnder2233[[#This Row],[School No.]],$A$755:$A$818&amp;$E$755:$E$818,0)),0)</f>
        <v>0</v>
      </c>
      <c r="AZ507" s="637">
        <f t="array" ref="AZ507">IFERROR(INDEX($O$755:$O$818,MATCH(BProvPrivEnrlmtUnder2233[[#This Row],[Band No.]]&amp;BProvPrivEnrlmtUnder2233[[#This Row],[School No.]],$A$755:$A$818&amp;$E$755:$E$818,0)),0)</f>
        <v>0</v>
      </c>
      <c r="BA507" s="637">
        <f t="array" ref="BA507">IFERROR(INDEX($R$755:$R$818,MATCH(BProvPrivEnrlmtUnder2233[[#This Row],[Band No.]]&amp;BProvPrivEnrlmtUnder2233[[#This Row],[School No.]],$A$755:$A$818&amp;$E$755:$E$818,0)),0)</f>
        <v>0</v>
      </c>
      <c r="BB507" s="637">
        <f t="array" ref="BB507">IFERROR(INDEX($N$755:$N$818,MATCH(BProvPrivEnrlmtUnder2233[[#This Row],[Band No.]]&amp;BProvPrivEnrlmtUnder2233[[#This Row],[School No.]],$A$755:$A$818&amp;$E$755:$E$818,0)),0)</f>
        <v>0</v>
      </c>
      <c r="BC507" s="637">
        <f t="array" ref="BC507">IFERROR(INDEX($P$755:$P$818,MATCH(BProvPrivEnrlmtUnder2233[[#This Row],[Band No.]]&amp;BProvPrivEnrlmtUnder2233[[#This Row],[School No.]],$A$755:$A$818&amp;$E$755:$E$818,0)),0)</f>
        <v>0</v>
      </c>
    </row>
    <row r="508" spans="1:55" s="624" customFormat="1" hidden="1">
      <c r="A508" s="629">
        <v>272</v>
      </c>
      <c r="B508" s="629" t="s">
        <v>734</v>
      </c>
      <c r="C508" s="629" t="s">
        <v>1419</v>
      </c>
      <c r="D508" s="629" t="s">
        <v>1420</v>
      </c>
      <c r="E508" s="629" t="s">
        <v>1365</v>
      </c>
      <c r="F508" s="624" t="s">
        <v>1013</v>
      </c>
      <c r="G508" s="629"/>
      <c r="H508" s="629"/>
      <c r="I508" s="629"/>
      <c r="J508" s="629"/>
      <c r="K508" s="629"/>
      <c r="L508" s="629"/>
      <c r="M508" s="629"/>
      <c r="N508" s="629"/>
      <c r="O508" s="629"/>
      <c r="P508" s="629"/>
      <c r="Q508" s="630"/>
      <c r="R508" s="631"/>
      <c r="S508" s="631"/>
      <c r="T508" s="631"/>
      <c r="U508" s="631">
        <v>2</v>
      </c>
      <c r="V508" s="629"/>
      <c r="W508" s="632">
        <f>SUM(BProvPrivEnrlmtUnder2233[[#This Row],[K4]:[Ungradable Second FTE]])</f>
        <v>2</v>
      </c>
      <c r="X508" s="629"/>
      <c r="Y508" s="629"/>
      <c r="Z508" s="629"/>
      <c r="AA508" s="629"/>
      <c r="AB508" s="629"/>
      <c r="AC508" s="629"/>
      <c r="AD508" s="629"/>
      <c r="AE508" s="629"/>
      <c r="AF508" s="629"/>
      <c r="AG508" s="629"/>
      <c r="AH508" s="630"/>
      <c r="AI508" s="631"/>
      <c r="AJ508" s="631"/>
      <c r="AK508" s="631"/>
      <c r="AL508" s="631">
        <v>2</v>
      </c>
      <c r="AM508" s="629"/>
      <c r="AN508" s="633">
        <f>SUM(BProvPrivEnrlmtUnder2233[[#This Row],[K4 H]:[Ungradable Second H]])</f>
        <v>2</v>
      </c>
      <c r="AO508" s="634">
        <v>4</v>
      </c>
      <c r="AP508" s="629" t="s">
        <v>388</v>
      </c>
      <c r="AQ508" s="629" t="str">
        <f>INDEX(TableAFNSchools[North/South of 53rd Parallel &amp; Fly-in = North],MATCH(BProvPrivEnrlmtUnder2233[[#This Row],[Band No.]],TableAFNSchools[Band No '#],0))</f>
        <v>South</v>
      </c>
      <c r="AR508" s="629" t="s">
        <v>862</v>
      </c>
      <c r="AS508" s="629" t="s">
        <v>442</v>
      </c>
      <c r="AT508" s="629" t="str">
        <f>IF(BProvPrivEnrlmtUnder2233[[#This Row],[K4]]="","None",IF(BProvPrivEnrlmtUnder2233[[#This Row],[K4]]&lt;BProvPrivEnrlmtUnder2233[[#This Row],[K4 H]],"Half-day",IF(AND(BProvPrivEnrlmtUnder2233[[#This Row],[K4]]&gt;0,BProvPrivEnrlmtUnder2233[[#This Row],[K4]]=BProvPrivEnrlmtUnder2233[[#This Row],[K4 H]]),"Full-day",0)))</f>
        <v>None</v>
      </c>
      <c r="AU508" s="629" t="str">
        <f>IF(BProvPrivEnrlmtUnder2233[[#This Row],[K5]]="","None",IF(BProvPrivEnrlmtUnder2233[[#This Row],[K5]]&lt;BProvPrivEnrlmtUnder2233[[#This Row],[K5 H]],"Half-day",IF(AND(BProvPrivEnrlmtUnder2233[[#This Row],[K5]]&gt;0,BProvPrivEnrlmtUnder2233[[#This Row],[K5]]=BProvPrivEnrlmtUnder2233[[#This Row],[K5 H]]),"Full-day",0)))</f>
        <v>None</v>
      </c>
      <c r="AV508" s="635">
        <f t="array" ref="AV508">IFERROR(INDEX($J$755:$J$818,MATCH(BProvPrivEnrlmtUnder2233[[#This Row],[Band No.]]&amp;BProvPrivEnrlmtUnder2233[[#This Row],[School No.]],$A$755:$A$818&amp;$E$755:$E$818,0)),0)</f>
        <v>0</v>
      </c>
      <c r="AW508" s="635">
        <f t="array" ref="AW508">IFERROR(INDEX($M$755:$M$818,MATCH(BProvPrivEnrlmtUnder2233[[#This Row],[Band No.]]&amp;BProvPrivEnrlmtUnder2233[[#This Row],[School No.]],$A$755:$A$818&amp;$E$755:$E$818,0)),0)</f>
        <v>0</v>
      </c>
      <c r="AX508" s="624">
        <f t="array" ref="AX508">IFERROR(INDEX($I$755:$I$818,MATCH(BProvPrivEnrlmtUnder2233[[#This Row],[Band No.]]&amp;BProvPrivEnrlmtUnder2233[[#This Row],[School No.]],$A$755:$A$818&amp;$E$755:$E$818,0)),0)</f>
        <v>0</v>
      </c>
      <c r="AY508" s="630">
        <f t="array" ref="AY508">IFERROR(INDEX($K$755:$K$818,MATCH(BProvPrivEnrlmtUnder2233[[#This Row],[Band No.]]&amp;BProvPrivEnrlmtUnder2233[[#This Row],[School No.]],$A$755:$A$818&amp;$E$755:$E$818,0)),0)</f>
        <v>0</v>
      </c>
      <c r="AZ508" s="637">
        <f t="array" ref="AZ508">IFERROR(INDEX($O$755:$O$818,MATCH(BProvPrivEnrlmtUnder2233[[#This Row],[Band No.]]&amp;BProvPrivEnrlmtUnder2233[[#This Row],[School No.]],$A$755:$A$818&amp;$E$755:$E$818,0)),0)</f>
        <v>0</v>
      </c>
      <c r="BA508" s="637">
        <f t="array" ref="BA508">IFERROR(INDEX($R$755:$R$818,MATCH(BProvPrivEnrlmtUnder2233[[#This Row],[Band No.]]&amp;BProvPrivEnrlmtUnder2233[[#This Row],[School No.]],$A$755:$A$818&amp;$E$755:$E$818,0)),0)</f>
        <v>0</v>
      </c>
      <c r="BB508" s="637">
        <f t="array" ref="BB508">IFERROR(INDEX($N$755:$N$818,MATCH(BProvPrivEnrlmtUnder2233[[#This Row],[Band No.]]&amp;BProvPrivEnrlmtUnder2233[[#This Row],[School No.]],$A$755:$A$818&amp;$E$755:$E$818,0)),0)</f>
        <v>0</v>
      </c>
      <c r="BC508" s="637">
        <f t="array" ref="BC508">IFERROR(INDEX($P$755:$P$818,MATCH(BProvPrivEnrlmtUnder2233[[#This Row],[Band No.]]&amp;BProvPrivEnrlmtUnder2233[[#This Row],[School No.]],$A$755:$A$818&amp;$E$755:$E$818,0)),0)</f>
        <v>0</v>
      </c>
    </row>
    <row r="509" spans="1:55" s="624" customFormat="1" hidden="1">
      <c r="A509" s="629">
        <v>273</v>
      </c>
      <c r="B509" s="629" t="s">
        <v>735</v>
      </c>
      <c r="C509" s="629" t="s">
        <v>1427</v>
      </c>
      <c r="D509" s="629" t="s">
        <v>1364</v>
      </c>
      <c r="E509" s="629" t="s">
        <v>1365</v>
      </c>
      <c r="F509" s="624" t="s">
        <v>1013</v>
      </c>
      <c r="G509" s="629"/>
      <c r="H509" s="629"/>
      <c r="I509" s="629">
        <v>1</v>
      </c>
      <c r="J509" s="629">
        <v>3</v>
      </c>
      <c r="K509" s="629">
        <v>1</v>
      </c>
      <c r="L509" s="629">
        <v>4</v>
      </c>
      <c r="M509" s="629">
        <v>5</v>
      </c>
      <c r="N509" s="629">
        <v>4</v>
      </c>
      <c r="O509" s="629">
        <v>3</v>
      </c>
      <c r="P509" s="629">
        <v>6</v>
      </c>
      <c r="Q509" s="630"/>
      <c r="R509" s="631">
        <v>10</v>
      </c>
      <c r="S509" s="631">
        <v>15</v>
      </c>
      <c r="T509" s="631">
        <v>21</v>
      </c>
      <c r="U509" s="631">
        <v>19</v>
      </c>
      <c r="V509" s="629"/>
      <c r="W509" s="632">
        <f>SUM(BProvPrivEnrlmtUnder2233[[#This Row],[K4]:[Ungradable Second FTE]])</f>
        <v>92</v>
      </c>
      <c r="X509" s="629"/>
      <c r="Y509" s="629"/>
      <c r="Z509" s="629">
        <v>1</v>
      </c>
      <c r="AA509" s="629">
        <v>3</v>
      </c>
      <c r="AB509" s="629">
        <v>1</v>
      </c>
      <c r="AC509" s="629">
        <v>4</v>
      </c>
      <c r="AD509" s="629">
        <v>5</v>
      </c>
      <c r="AE509" s="629">
        <v>4</v>
      </c>
      <c r="AF509" s="629">
        <v>3</v>
      </c>
      <c r="AG509" s="629">
        <v>6</v>
      </c>
      <c r="AH509" s="630"/>
      <c r="AI509" s="631">
        <v>10</v>
      </c>
      <c r="AJ509" s="631">
        <v>15</v>
      </c>
      <c r="AK509" s="631">
        <v>21</v>
      </c>
      <c r="AL509" s="631">
        <v>19</v>
      </c>
      <c r="AM509" s="629"/>
      <c r="AN509" s="633">
        <f>SUM(BProvPrivEnrlmtUnder2233[[#This Row],[K4 H]:[Ungradable Second H]])</f>
        <v>92</v>
      </c>
      <c r="AO509" s="634">
        <v>1</v>
      </c>
      <c r="AP509" s="629" t="s">
        <v>402</v>
      </c>
      <c r="AQ509" s="629" t="str">
        <f>INDEX(TableAFNSchools[North/South of 53rd Parallel &amp; Fly-in = North],MATCH(BProvPrivEnrlmtUnder2233[[#This Row],[Band No.]],TableAFNSchools[Band No '#],0))</f>
        <v>South</v>
      </c>
      <c r="AR509" s="629" t="s">
        <v>1428</v>
      </c>
      <c r="AS509" s="629" t="s">
        <v>438</v>
      </c>
      <c r="AT509" s="629" t="str">
        <f>IF(BProvPrivEnrlmtUnder2233[[#This Row],[K4]]="","None",IF(BProvPrivEnrlmtUnder2233[[#This Row],[K4]]&lt;BProvPrivEnrlmtUnder2233[[#This Row],[K4 H]],"Half-day",IF(AND(BProvPrivEnrlmtUnder2233[[#This Row],[K4]]&gt;0,BProvPrivEnrlmtUnder2233[[#This Row],[K4]]=BProvPrivEnrlmtUnder2233[[#This Row],[K4 H]]),"Full-day",0)))</f>
        <v>None</v>
      </c>
      <c r="AU509" s="629" t="str">
        <f>IF(BProvPrivEnrlmtUnder2233[[#This Row],[K5]]="","None",IF(BProvPrivEnrlmtUnder2233[[#This Row],[K5]]&lt;BProvPrivEnrlmtUnder2233[[#This Row],[K5 H]],"Half-day",IF(AND(BProvPrivEnrlmtUnder2233[[#This Row],[K5]]&gt;0,BProvPrivEnrlmtUnder2233[[#This Row],[K5]]=BProvPrivEnrlmtUnder2233[[#This Row],[K5 H]]),"Full-day",0)))</f>
        <v>None</v>
      </c>
      <c r="AV509" s="635">
        <f t="array" ref="AV509">IFERROR(INDEX($J$755:$J$818,MATCH(BProvPrivEnrlmtUnder2233[[#This Row],[Band No.]]&amp;BProvPrivEnrlmtUnder2233[[#This Row],[School No.]],$A$755:$A$818&amp;$E$755:$E$818,0)),0)</f>
        <v>0</v>
      </c>
      <c r="AW509" s="635">
        <f t="array" ref="AW509">IFERROR(INDEX($M$755:$M$818,MATCH(BProvPrivEnrlmtUnder2233[[#This Row],[Band No.]]&amp;BProvPrivEnrlmtUnder2233[[#This Row],[School No.]],$A$755:$A$818&amp;$E$755:$E$818,0)),0)</f>
        <v>0</v>
      </c>
      <c r="AX509" s="624">
        <f t="array" ref="AX509">IFERROR(INDEX($I$755:$I$818,MATCH(BProvPrivEnrlmtUnder2233[[#This Row],[Band No.]]&amp;BProvPrivEnrlmtUnder2233[[#This Row],[School No.]],$A$755:$A$818&amp;$E$755:$E$818,0)),0)</f>
        <v>0</v>
      </c>
      <c r="AY509" s="635">
        <f t="array" ref="AY509">IFERROR(INDEX($K$755:$K$818,MATCH(BProvPrivEnrlmtUnder2233[[#This Row],[Band No.]]&amp;BProvPrivEnrlmtUnder2233[[#This Row],[School No.]],$A$755:$A$818&amp;$E$755:$E$818,0)),0)</f>
        <v>0</v>
      </c>
      <c r="AZ509" s="637">
        <f t="array" ref="AZ509">IFERROR(INDEX($O$755:$O$818,MATCH(BProvPrivEnrlmtUnder2233[[#This Row],[Band No.]]&amp;BProvPrivEnrlmtUnder2233[[#This Row],[School No.]],$A$755:$A$818&amp;$E$755:$E$818,0)),0)</f>
        <v>0</v>
      </c>
      <c r="BA509" s="637">
        <f t="array" ref="BA509">IFERROR(INDEX($R$755:$R$818,MATCH(BProvPrivEnrlmtUnder2233[[#This Row],[Band No.]]&amp;BProvPrivEnrlmtUnder2233[[#This Row],[School No.]],$A$755:$A$818&amp;$E$755:$E$818,0)),0)</f>
        <v>0</v>
      </c>
      <c r="BB509" s="637">
        <f t="array" ref="BB509">IFERROR(INDEX($N$755:$N$818,MATCH(BProvPrivEnrlmtUnder2233[[#This Row],[Band No.]]&amp;BProvPrivEnrlmtUnder2233[[#This Row],[School No.]],$A$755:$A$818&amp;$E$755:$E$818,0)),0)</f>
        <v>0</v>
      </c>
      <c r="BC509" s="637">
        <f t="array" ref="BC509">IFERROR(INDEX($P$755:$P$818,MATCH(BProvPrivEnrlmtUnder2233[[#This Row],[Band No.]]&amp;BProvPrivEnrlmtUnder2233[[#This Row],[School No.]],$A$755:$A$818&amp;$E$755:$E$818,0)),0)</f>
        <v>0</v>
      </c>
    </row>
    <row r="510" spans="1:55" s="624" customFormat="1" hidden="1">
      <c r="A510" s="629">
        <v>273</v>
      </c>
      <c r="B510" s="629" t="s">
        <v>735</v>
      </c>
      <c r="C510" s="629" t="s">
        <v>1429</v>
      </c>
      <c r="D510" s="629" t="s">
        <v>1430</v>
      </c>
      <c r="E510" s="629" t="s">
        <v>1365</v>
      </c>
      <c r="F510" s="624" t="s">
        <v>1013</v>
      </c>
      <c r="G510" s="629"/>
      <c r="H510" s="629"/>
      <c r="I510" s="629"/>
      <c r="J510" s="629"/>
      <c r="K510" s="629"/>
      <c r="L510" s="629"/>
      <c r="M510" s="629"/>
      <c r="N510" s="629"/>
      <c r="O510" s="629"/>
      <c r="P510" s="629">
        <v>1</v>
      </c>
      <c r="Q510" s="630"/>
      <c r="R510" s="631"/>
      <c r="S510" s="631"/>
      <c r="T510" s="631"/>
      <c r="U510" s="631"/>
      <c r="V510" s="629"/>
      <c r="W510" s="632">
        <f>SUM(BProvPrivEnrlmtUnder2233[[#This Row],[K4]:[Ungradable Second FTE]])</f>
        <v>1</v>
      </c>
      <c r="X510" s="629"/>
      <c r="Y510" s="629"/>
      <c r="Z510" s="629"/>
      <c r="AA510" s="629"/>
      <c r="AB510" s="629"/>
      <c r="AC510" s="629"/>
      <c r="AD510" s="629"/>
      <c r="AE510" s="629"/>
      <c r="AF510" s="629"/>
      <c r="AG510" s="629">
        <v>1</v>
      </c>
      <c r="AH510" s="630"/>
      <c r="AI510" s="631"/>
      <c r="AJ510" s="631"/>
      <c r="AK510" s="631"/>
      <c r="AL510" s="631"/>
      <c r="AM510" s="629"/>
      <c r="AN510" s="633">
        <f>SUM(BProvPrivEnrlmtUnder2233[[#This Row],[K4 H]:[Ungradable Second H]])</f>
        <v>1</v>
      </c>
      <c r="AO510" s="634">
        <v>6</v>
      </c>
      <c r="AP510" s="629" t="s">
        <v>402</v>
      </c>
      <c r="AQ510" s="629" t="str">
        <f>INDEX(TableAFNSchools[North/South of 53rd Parallel &amp; Fly-in = North],MATCH(BProvPrivEnrlmtUnder2233[[#This Row],[Band No.]],TableAFNSchools[Band No '#],0))</f>
        <v>South</v>
      </c>
      <c r="AR510" s="629" t="s">
        <v>1233</v>
      </c>
      <c r="AS510" s="629" t="s">
        <v>438</v>
      </c>
      <c r="AT510" s="629" t="str">
        <f>IF(BProvPrivEnrlmtUnder2233[[#This Row],[K4]]="","None",IF(BProvPrivEnrlmtUnder2233[[#This Row],[K4]]&lt;BProvPrivEnrlmtUnder2233[[#This Row],[K4 H]],"Half-day",IF(AND(BProvPrivEnrlmtUnder2233[[#This Row],[K4]]&gt;0,BProvPrivEnrlmtUnder2233[[#This Row],[K4]]=BProvPrivEnrlmtUnder2233[[#This Row],[K4 H]]),"Full-day",0)))</f>
        <v>None</v>
      </c>
      <c r="AU510" s="629" t="str">
        <f>IF(BProvPrivEnrlmtUnder2233[[#This Row],[K5]]="","None",IF(BProvPrivEnrlmtUnder2233[[#This Row],[K5]]&lt;BProvPrivEnrlmtUnder2233[[#This Row],[K5 H]],"Half-day",IF(AND(BProvPrivEnrlmtUnder2233[[#This Row],[K5]]&gt;0,BProvPrivEnrlmtUnder2233[[#This Row],[K5]]=BProvPrivEnrlmtUnder2233[[#This Row],[K5 H]]),"Full-day",0)))</f>
        <v>None</v>
      </c>
      <c r="AV510" s="635">
        <f t="array" ref="AV510">IFERROR(INDEX($J$755:$J$818,MATCH(BProvPrivEnrlmtUnder2233[[#This Row],[Band No.]]&amp;BProvPrivEnrlmtUnder2233[[#This Row],[School No.]],$A$755:$A$818&amp;$E$755:$E$818,0)),0)</f>
        <v>0</v>
      </c>
      <c r="AW510" s="635">
        <f t="array" ref="AW510">IFERROR(INDEX($M$755:$M$818,MATCH(BProvPrivEnrlmtUnder2233[[#This Row],[Band No.]]&amp;BProvPrivEnrlmtUnder2233[[#This Row],[School No.]],$A$755:$A$818&amp;$E$755:$E$818,0)),0)</f>
        <v>0</v>
      </c>
      <c r="AX510" s="624">
        <f t="array" ref="AX510">IFERROR(INDEX($I$755:$I$818,MATCH(BProvPrivEnrlmtUnder2233[[#This Row],[Band No.]]&amp;BProvPrivEnrlmtUnder2233[[#This Row],[School No.]],$A$755:$A$818&amp;$E$755:$E$818,0)),0)</f>
        <v>0</v>
      </c>
      <c r="AY510" s="630">
        <f t="array" ref="AY510">IFERROR(INDEX($K$755:$K$818,MATCH(BProvPrivEnrlmtUnder2233[[#This Row],[Band No.]]&amp;BProvPrivEnrlmtUnder2233[[#This Row],[School No.]],$A$755:$A$818&amp;$E$755:$E$818,0)),0)</f>
        <v>0</v>
      </c>
      <c r="AZ510" s="637">
        <f t="array" ref="AZ510">IFERROR(INDEX($O$755:$O$818,MATCH(BProvPrivEnrlmtUnder2233[[#This Row],[Band No.]]&amp;BProvPrivEnrlmtUnder2233[[#This Row],[School No.]],$A$755:$A$818&amp;$E$755:$E$818,0)),0)</f>
        <v>0</v>
      </c>
      <c r="BA510" s="637">
        <f t="array" ref="BA510">IFERROR(INDEX($R$755:$R$818,MATCH(BProvPrivEnrlmtUnder2233[[#This Row],[Band No.]]&amp;BProvPrivEnrlmtUnder2233[[#This Row],[School No.]],$A$755:$A$818&amp;$E$755:$E$818,0)),0)</f>
        <v>0</v>
      </c>
      <c r="BB510" s="637">
        <f t="array" ref="BB510">IFERROR(INDEX($N$755:$N$818,MATCH(BProvPrivEnrlmtUnder2233[[#This Row],[Band No.]]&amp;BProvPrivEnrlmtUnder2233[[#This Row],[School No.]],$A$755:$A$818&amp;$E$755:$E$818,0)),0)</f>
        <v>0</v>
      </c>
      <c r="BC510" s="637">
        <f t="array" ref="BC510">IFERROR(INDEX($P$755:$P$818,MATCH(BProvPrivEnrlmtUnder2233[[#This Row],[Band No.]]&amp;BProvPrivEnrlmtUnder2233[[#This Row],[School No.]],$A$755:$A$818&amp;$E$755:$E$818,0)),0)</f>
        <v>0</v>
      </c>
    </row>
    <row r="511" spans="1:55" s="624" customFormat="1" hidden="1">
      <c r="A511" s="629">
        <v>273</v>
      </c>
      <c r="B511" s="629" t="s">
        <v>735</v>
      </c>
      <c r="C511" s="629" t="s">
        <v>1431</v>
      </c>
      <c r="D511" s="629" t="s">
        <v>1432</v>
      </c>
      <c r="E511" s="629" t="s">
        <v>1365</v>
      </c>
      <c r="F511" s="624" t="s">
        <v>1013</v>
      </c>
      <c r="G511" s="629"/>
      <c r="H511" s="629"/>
      <c r="I511" s="629"/>
      <c r="J511" s="629"/>
      <c r="K511" s="629"/>
      <c r="L511" s="629"/>
      <c r="M511" s="629"/>
      <c r="N511" s="629"/>
      <c r="O511" s="629">
        <v>2</v>
      </c>
      <c r="P511" s="629">
        <v>1</v>
      </c>
      <c r="Q511" s="630"/>
      <c r="R511" s="631"/>
      <c r="S511" s="631"/>
      <c r="T511" s="631"/>
      <c r="U511" s="631"/>
      <c r="V511" s="629"/>
      <c r="W511" s="632">
        <f>SUM(BProvPrivEnrlmtUnder2233[[#This Row],[K4]:[Ungradable Second FTE]])</f>
        <v>3</v>
      </c>
      <c r="X511" s="629"/>
      <c r="Y511" s="629"/>
      <c r="Z511" s="629"/>
      <c r="AA511" s="629"/>
      <c r="AB511" s="629"/>
      <c r="AC511" s="629"/>
      <c r="AD511" s="629"/>
      <c r="AE511" s="629"/>
      <c r="AF511" s="629">
        <v>2</v>
      </c>
      <c r="AG511" s="629">
        <v>1</v>
      </c>
      <c r="AH511" s="630"/>
      <c r="AI511" s="631"/>
      <c r="AJ511" s="631"/>
      <c r="AK511" s="631"/>
      <c r="AL511" s="631"/>
      <c r="AM511" s="629"/>
      <c r="AN511" s="633">
        <f>SUM(BProvPrivEnrlmtUnder2233[[#This Row],[K4 H]:[Ungradable Second H]])</f>
        <v>3</v>
      </c>
      <c r="AO511" s="634">
        <v>1</v>
      </c>
      <c r="AP511" s="629" t="s">
        <v>402</v>
      </c>
      <c r="AQ511" s="629" t="str">
        <f>INDEX(TableAFNSchools[North/South of 53rd Parallel &amp; Fly-in = North],MATCH(BProvPrivEnrlmtUnder2233[[#This Row],[Band No.]],TableAFNSchools[Band No '#],0))</f>
        <v>South</v>
      </c>
      <c r="AR511" s="629" t="s">
        <v>442</v>
      </c>
      <c r="AS511" s="629" t="s">
        <v>438</v>
      </c>
      <c r="AT511" s="629" t="str">
        <f>IF(BProvPrivEnrlmtUnder2233[[#This Row],[K4]]="","None",IF(BProvPrivEnrlmtUnder2233[[#This Row],[K4]]&lt;BProvPrivEnrlmtUnder2233[[#This Row],[K4 H]],"Half-day",IF(AND(BProvPrivEnrlmtUnder2233[[#This Row],[K4]]&gt;0,BProvPrivEnrlmtUnder2233[[#This Row],[K4]]=BProvPrivEnrlmtUnder2233[[#This Row],[K4 H]]),"Full-day",0)))</f>
        <v>None</v>
      </c>
      <c r="AU511" s="629" t="str">
        <f>IF(BProvPrivEnrlmtUnder2233[[#This Row],[K5]]="","None",IF(BProvPrivEnrlmtUnder2233[[#This Row],[K5]]&lt;BProvPrivEnrlmtUnder2233[[#This Row],[K5 H]],"Half-day",IF(AND(BProvPrivEnrlmtUnder2233[[#This Row],[K5]]&gt;0,BProvPrivEnrlmtUnder2233[[#This Row],[K5]]=BProvPrivEnrlmtUnder2233[[#This Row],[K5 H]]),"Full-day",0)))</f>
        <v>None</v>
      </c>
      <c r="AV511" s="635">
        <f t="array" ref="AV511">IFERROR(INDEX($J$755:$J$818,MATCH(BProvPrivEnrlmtUnder2233[[#This Row],[Band No.]]&amp;BProvPrivEnrlmtUnder2233[[#This Row],[School No.]],$A$755:$A$818&amp;$E$755:$E$818,0)),0)</f>
        <v>0</v>
      </c>
      <c r="AW511" s="635">
        <f t="array" ref="AW511">IFERROR(INDEX($M$755:$M$818,MATCH(BProvPrivEnrlmtUnder2233[[#This Row],[Band No.]]&amp;BProvPrivEnrlmtUnder2233[[#This Row],[School No.]],$A$755:$A$818&amp;$E$755:$E$818,0)),0)</f>
        <v>0</v>
      </c>
      <c r="AX511" s="624">
        <f t="array" ref="AX511">IFERROR(INDEX($I$755:$I$818,MATCH(BProvPrivEnrlmtUnder2233[[#This Row],[Band No.]]&amp;BProvPrivEnrlmtUnder2233[[#This Row],[School No.]],$A$755:$A$818&amp;$E$755:$E$818,0)),0)</f>
        <v>0</v>
      </c>
      <c r="AY511" s="635">
        <f t="array" ref="AY511">IFERROR(INDEX($K$755:$K$818,MATCH(BProvPrivEnrlmtUnder2233[[#This Row],[Band No.]]&amp;BProvPrivEnrlmtUnder2233[[#This Row],[School No.]],$A$755:$A$818&amp;$E$755:$E$818,0)),0)</f>
        <v>0</v>
      </c>
      <c r="AZ511" s="637">
        <f t="array" ref="AZ511">IFERROR(INDEX($O$755:$O$818,MATCH(BProvPrivEnrlmtUnder2233[[#This Row],[Band No.]]&amp;BProvPrivEnrlmtUnder2233[[#This Row],[School No.]],$A$755:$A$818&amp;$E$755:$E$818,0)),0)</f>
        <v>0</v>
      </c>
      <c r="BA511" s="637">
        <f t="array" ref="BA511">IFERROR(INDEX($R$755:$R$818,MATCH(BProvPrivEnrlmtUnder2233[[#This Row],[Band No.]]&amp;BProvPrivEnrlmtUnder2233[[#This Row],[School No.]],$A$755:$A$818&amp;$E$755:$E$818,0)),0)</f>
        <v>0</v>
      </c>
      <c r="BB511" s="637">
        <f t="array" ref="BB511">IFERROR(INDEX($N$755:$N$818,MATCH(BProvPrivEnrlmtUnder2233[[#This Row],[Band No.]]&amp;BProvPrivEnrlmtUnder2233[[#This Row],[School No.]],$A$755:$A$818&amp;$E$755:$E$818,0)),0)</f>
        <v>0</v>
      </c>
      <c r="BC511" s="637">
        <f t="array" ref="BC511">IFERROR(INDEX($P$755:$P$818,MATCH(BProvPrivEnrlmtUnder2233[[#This Row],[Band No.]]&amp;BProvPrivEnrlmtUnder2233[[#This Row],[School No.]],$A$755:$A$818&amp;$E$755:$E$818,0)),0)</f>
        <v>0</v>
      </c>
    </row>
    <row r="512" spans="1:55" s="624" customFormat="1" hidden="1">
      <c r="A512" s="629">
        <v>273</v>
      </c>
      <c r="B512" s="629" t="s">
        <v>735</v>
      </c>
      <c r="C512" s="629" t="s">
        <v>1419</v>
      </c>
      <c r="D512" s="629" t="s">
        <v>1420</v>
      </c>
      <c r="E512" s="629" t="s">
        <v>1365</v>
      </c>
      <c r="F512" s="624" t="s">
        <v>1013</v>
      </c>
      <c r="G512" s="629"/>
      <c r="H512" s="629"/>
      <c r="I512" s="629"/>
      <c r="J512" s="629"/>
      <c r="K512" s="629"/>
      <c r="L512" s="629"/>
      <c r="M512" s="629"/>
      <c r="N512" s="629">
        <v>1</v>
      </c>
      <c r="O512" s="629"/>
      <c r="P512" s="629"/>
      <c r="Q512" s="630"/>
      <c r="R512" s="631"/>
      <c r="S512" s="631"/>
      <c r="T512" s="631"/>
      <c r="U512" s="631"/>
      <c r="V512" s="629"/>
      <c r="W512" s="632">
        <f>SUM(BProvPrivEnrlmtUnder2233[[#This Row],[K4]:[Ungradable Second FTE]])</f>
        <v>1</v>
      </c>
      <c r="X512" s="629"/>
      <c r="Y512" s="629"/>
      <c r="Z512" s="629"/>
      <c r="AA512" s="629"/>
      <c r="AB512" s="629"/>
      <c r="AC512" s="629"/>
      <c r="AD512" s="629"/>
      <c r="AE512" s="629">
        <v>1</v>
      </c>
      <c r="AF512" s="629"/>
      <c r="AG512" s="629"/>
      <c r="AH512" s="630"/>
      <c r="AI512" s="631"/>
      <c r="AJ512" s="631"/>
      <c r="AK512" s="631"/>
      <c r="AL512" s="631"/>
      <c r="AM512" s="629"/>
      <c r="AN512" s="633">
        <f>SUM(BProvPrivEnrlmtUnder2233[[#This Row],[K4 H]:[Ungradable Second H]])</f>
        <v>1</v>
      </c>
      <c r="AO512" s="634">
        <v>2</v>
      </c>
      <c r="AP512" s="629" t="s">
        <v>402</v>
      </c>
      <c r="AQ512" s="629" t="str">
        <f>INDEX(TableAFNSchools[North/South of 53rd Parallel &amp; Fly-in = North],MATCH(BProvPrivEnrlmtUnder2233[[#This Row],[Band No.]],TableAFNSchools[Band No '#],0))</f>
        <v>South</v>
      </c>
      <c r="AR512" s="629" t="s">
        <v>1433</v>
      </c>
      <c r="AS512" s="629" t="s">
        <v>438</v>
      </c>
      <c r="AT512" s="629" t="str">
        <f>IF(BProvPrivEnrlmtUnder2233[[#This Row],[K4]]="","None",IF(BProvPrivEnrlmtUnder2233[[#This Row],[K4]]&lt;BProvPrivEnrlmtUnder2233[[#This Row],[K4 H]],"Half-day",IF(AND(BProvPrivEnrlmtUnder2233[[#This Row],[K4]]&gt;0,BProvPrivEnrlmtUnder2233[[#This Row],[K4]]=BProvPrivEnrlmtUnder2233[[#This Row],[K4 H]]),"Full-day",0)))</f>
        <v>None</v>
      </c>
      <c r="AU512" s="629" t="str">
        <f>IF(BProvPrivEnrlmtUnder2233[[#This Row],[K5]]="","None",IF(BProvPrivEnrlmtUnder2233[[#This Row],[K5]]&lt;BProvPrivEnrlmtUnder2233[[#This Row],[K5 H]],"Half-day",IF(AND(BProvPrivEnrlmtUnder2233[[#This Row],[K5]]&gt;0,BProvPrivEnrlmtUnder2233[[#This Row],[K5]]=BProvPrivEnrlmtUnder2233[[#This Row],[K5 H]]),"Full-day",0)))</f>
        <v>None</v>
      </c>
      <c r="AV512" s="635">
        <f t="array" ref="AV512">IFERROR(INDEX($J$755:$J$818,MATCH(BProvPrivEnrlmtUnder2233[[#This Row],[Band No.]]&amp;BProvPrivEnrlmtUnder2233[[#This Row],[School No.]],$A$755:$A$818&amp;$E$755:$E$818,0)),0)</f>
        <v>0</v>
      </c>
      <c r="AW512" s="635">
        <f t="array" ref="AW512">IFERROR(INDEX($M$755:$M$818,MATCH(BProvPrivEnrlmtUnder2233[[#This Row],[Band No.]]&amp;BProvPrivEnrlmtUnder2233[[#This Row],[School No.]],$A$755:$A$818&amp;$E$755:$E$818,0)),0)</f>
        <v>0</v>
      </c>
      <c r="AX512" s="624">
        <f t="array" ref="AX512">IFERROR(INDEX($I$755:$I$818,MATCH(BProvPrivEnrlmtUnder2233[[#This Row],[Band No.]]&amp;BProvPrivEnrlmtUnder2233[[#This Row],[School No.]],$A$755:$A$818&amp;$E$755:$E$818,0)),0)</f>
        <v>0</v>
      </c>
      <c r="AY512" s="630">
        <f t="array" ref="AY512">IFERROR(INDEX($K$755:$K$818,MATCH(BProvPrivEnrlmtUnder2233[[#This Row],[Band No.]]&amp;BProvPrivEnrlmtUnder2233[[#This Row],[School No.]],$A$755:$A$818&amp;$E$755:$E$818,0)),0)</f>
        <v>0</v>
      </c>
      <c r="AZ512" s="637">
        <f t="array" ref="AZ512">IFERROR(INDEX($O$755:$O$818,MATCH(BProvPrivEnrlmtUnder2233[[#This Row],[Band No.]]&amp;BProvPrivEnrlmtUnder2233[[#This Row],[School No.]],$A$755:$A$818&amp;$E$755:$E$818,0)),0)</f>
        <v>0</v>
      </c>
      <c r="BA512" s="637">
        <f t="array" ref="BA512">IFERROR(INDEX($R$755:$R$818,MATCH(BProvPrivEnrlmtUnder2233[[#This Row],[Band No.]]&amp;BProvPrivEnrlmtUnder2233[[#This Row],[School No.]],$A$755:$A$818&amp;$E$755:$E$818,0)),0)</f>
        <v>0</v>
      </c>
      <c r="BB512" s="637">
        <f t="array" ref="BB512">IFERROR(INDEX($N$755:$N$818,MATCH(BProvPrivEnrlmtUnder2233[[#This Row],[Band No.]]&amp;BProvPrivEnrlmtUnder2233[[#This Row],[School No.]],$A$755:$A$818&amp;$E$755:$E$818,0)),0)</f>
        <v>0</v>
      </c>
      <c r="BC512" s="637">
        <f t="array" ref="BC512">IFERROR(INDEX($P$755:$P$818,MATCH(BProvPrivEnrlmtUnder2233[[#This Row],[Band No.]]&amp;BProvPrivEnrlmtUnder2233[[#This Row],[School No.]],$A$755:$A$818&amp;$E$755:$E$818,0)),0)</f>
        <v>0</v>
      </c>
    </row>
    <row r="513" spans="1:55" s="624" customFormat="1" hidden="1">
      <c r="A513" s="629">
        <v>273</v>
      </c>
      <c r="B513" s="629" t="s">
        <v>735</v>
      </c>
      <c r="C513" s="629" t="s">
        <v>1434</v>
      </c>
      <c r="D513" s="629" t="s">
        <v>1435</v>
      </c>
      <c r="E513" s="629" t="s">
        <v>1365</v>
      </c>
      <c r="F513" s="624" t="s">
        <v>1013</v>
      </c>
      <c r="G513" s="629"/>
      <c r="H513" s="629"/>
      <c r="I513" s="629"/>
      <c r="J513" s="629"/>
      <c r="K513" s="629"/>
      <c r="L513" s="629"/>
      <c r="M513" s="629"/>
      <c r="N513" s="629"/>
      <c r="O513" s="629"/>
      <c r="P513" s="629"/>
      <c r="Q513" s="630"/>
      <c r="R513" s="631"/>
      <c r="S513" s="631">
        <v>1</v>
      </c>
      <c r="T513" s="631">
        <v>2</v>
      </c>
      <c r="U513" s="631">
        <v>1</v>
      </c>
      <c r="V513" s="629"/>
      <c r="W513" s="632">
        <f>SUM(BProvPrivEnrlmtUnder2233[[#This Row],[K4]:[Ungradable Second FTE]])</f>
        <v>4</v>
      </c>
      <c r="X513" s="629"/>
      <c r="Y513" s="629"/>
      <c r="Z513" s="629"/>
      <c r="AA513" s="629"/>
      <c r="AB513" s="629"/>
      <c r="AC513" s="629"/>
      <c r="AD513" s="629"/>
      <c r="AE513" s="629"/>
      <c r="AF513" s="629"/>
      <c r="AG513" s="629"/>
      <c r="AH513" s="630"/>
      <c r="AI513" s="631"/>
      <c r="AJ513" s="631">
        <v>1</v>
      </c>
      <c r="AK513" s="631">
        <v>2</v>
      </c>
      <c r="AL513" s="631">
        <v>1</v>
      </c>
      <c r="AM513" s="629"/>
      <c r="AN513" s="633">
        <f>SUM(BProvPrivEnrlmtUnder2233[[#This Row],[K4 H]:[Ungradable Second H]])</f>
        <v>4</v>
      </c>
      <c r="AO513" s="634">
        <v>2</v>
      </c>
      <c r="AP513" s="629" t="s">
        <v>402</v>
      </c>
      <c r="AQ513" s="629" t="str">
        <f>INDEX(TableAFNSchools[North/South of 53rd Parallel &amp; Fly-in = North],MATCH(BProvPrivEnrlmtUnder2233[[#This Row],[Band No.]],TableAFNSchools[Band No '#],0))</f>
        <v>South</v>
      </c>
      <c r="AR513" s="629" t="s">
        <v>852</v>
      </c>
      <c r="AS513" s="629" t="s">
        <v>438</v>
      </c>
      <c r="AT513" s="629" t="str">
        <f>IF(BProvPrivEnrlmtUnder2233[[#This Row],[K4]]="","None",IF(BProvPrivEnrlmtUnder2233[[#This Row],[K4]]&lt;BProvPrivEnrlmtUnder2233[[#This Row],[K4 H]],"Half-day",IF(AND(BProvPrivEnrlmtUnder2233[[#This Row],[K4]]&gt;0,BProvPrivEnrlmtUnder2233[[#This Row],[K4]]=BProvPrivEnrlmtUnder2233[[#This Row],[K4 H]]),"Full-day",0)))</f>
        <v>None</v>
      </c>
      <c r="AU513" s="629" t="str">
        <f>IF(BProvPrivEnrlmtUnder2233[[#This Row],[K5]]="","None",IF(BProvPrivEnrlmtUnder2233[[#This Row],[K5]]&lt;BProvPrivEnrlmtUnder2233[[#This Row],[K5 H]],"Half-day",IF(AND(BProvPrivEnrlmtUnder2233[[#This Row],[K5]]&gt;0,BProvPrivEnrlmtUnder2233[[#This Row],[K5]]=BProvPrivEnrlmtUnder2233[[#This Row],[K5 H]]),"Full-day",0)))</f>
        <v>None</v>
      </c>
      <c r="AV513" s="635">
        <f t="array" ref="AV513">IFERROR(INDEX($J$755:$J$818,MATCH(BProvPrivEnrlmtUnder2233[[#This Row],[Band No.]]&amp;BProvPrivEnrlmtUnder2233[[#This Row],[School No.]],$A$755:$A$818&amp;$E$755:$E$818,0)),0)</f>
        <v>0</v>
      </c>
      <c r="AW513" s="635">
        <f t="array" ref="AW513">IFERROR(INDEX($M$755:$M$818,MATCH(BProvPrivEnrlmtUnder2233[[#This Row],[Band No.]]&amp;BProvPrivEnrlmtUnder2233[[#This Row],[School No.]],$A$755:$A$818&amp;$E$755:$E$818,0)),0)</f>
        <v>0</v>
      </c>
      <c r="AX513" s="624">
        <f t="array" ref="AX513">IFERROR(INDEX($I$755:$I$818,MATCH(BProvPrivEnrlmtUnder2233[[#This Row],[Band No.]]&amp;BProvPrivEnrlmtUnder2233[[#This Row],[School No.]],$A$755:$A$818&amp;$E$755:$E$818,0)),0)</f>
        <v>0</v>
      </c>
      <c r="AY513" s="635">
        <f t="array" ref="AY513">IFERROR(INDEX($K$755:$K$818,MATCH(BProvPrivEnrlmtUnder2233[[#This Row],[Band No.]]&amp;BProvPrivEnrlmtUnder2233[[#This Row],[School No.]],$A$755:$A$818&amp;$E$755:$E$818,0)),0)</f>
        <v>0</v>
      </c>
      <c r="AZ513" s="637">
        <f t="array" ref="AZ513">IFERROR(INDEX($O$755:$O$818,MATCH(BProvPrivEnrlmtUnder2233[[#This Row],[Band No.]]&amp;BProvPrivEnrlmtUnder2233[[#This Row],[School No.]],$A$755:$A$818&amp;$E$755:$E$818,0)),0)</f>
        <v>0</v>
      </c>
      <c r="BA513" s="637">
        <f t="array" ref="BA513">IFERROR(INDEX($R$755:$R$818,MATCH(BProvPrivEnrlmtUnder2233[[#This Row],[Band No.]]&amp;BProvPrivEnrlmtUnder2233[[#This Row],[School No.]],$A$755:$A$818&amp;$E$755:$E$818,0)),0)</f>
        <v>0</v>
      </c>
      <c r="BB513" s="637">
        <f t="array" ref="BB513">IFERROR(INDEX($N$755:$N$818,MATCH(BProvPrivEnrlmtUnder2233[[#This Row],[Band No.]]&amp;BProvPrivEnrlmtUnder2233[[#This Row],[School No.]],$A$755:$A$818&amp;$E$755:$E$818,0)),0)</f>
        <v>0</v>
      </c>
      <c r="BC513" s="637">
        <f t="array" ref="BC513">IFERROR(INDEX($P$755:$P$818,MATCH(BProvPrivEnrlmtUnder2233[[#This Row],[Band No.]]&amp;BProvPrivEnrlmtUnder2233[[#This Row],[School No.]],$A$755:$A$818&amp;$E$755:$E$818,0)),0)</f>
        <v>0</v>
      </c>
    </row>
    <row r="514" spans="1:55" s="624" customFormat="1" hidden="1">
      <c r="A514" s="629">
        <v>275</v>
      </c>
      <c r="B514" s="629" t="s">
        <v>390</v>
      </c>
      <c r="C514" s="629" t="s">
        <v>1054</v>
      </c>
      <c r="D514" s="629" t="s">
        <v>1436</v>
      </c>
      <c r="E514" s="629" t="s">
        <v>1359</v>
      </c>
      <c r="F514" s="624" t="s">
        <v>1013</v>
      </c>
      <c r="G514" s="629"/>
      <c r="H514" s="629"/>
      <c r="I514" s="629"/>
      <c r="J514" s="629"/>
      <c r="K514" s="629"/>
      <c r="L514" s="629"/>
      <c r="M514" s="629"/>
      <c r="N514" s="629"/>
      <c r="O514" s="629"/>
      <c r="P514" s="629"/>
      <c r="Q514" s="630"/>
      <c r="R514" s="631"/>
      <c r="S514" s="631"/>
      <c r="T514" s="631">
        <v>0.5</v>
      </c>
      <c r="U514" s="631">
        <v>1.5</v>
      </c>
      <c r="V514" s="629"/>
      <c r="W514" s="632">
        <f>SUM(BProvPrivEnrlmtUnder2233[[#This Row],[K4]:[Ungradable Second FTE]])</f>
        <v>2</v>
      </c>
      <c r="X514" s="629"/>
      <c r="Y514" s="629"/>
      <c r="Z514" s="629"/>
      <c r="AA514" s="629"/>
      <c r="AB514" s="629"/>
      <c r="AC514" s="629"/>
      <c r="AD514" s="629"/>
      <c r="AE514" s="629"/>
      <c r="AF514" s="629"/>
      <c r="AG514" s="629"/>
      <c r="AH514" s="630"/>
      <c r="AI514" s="631"/>
      <c r="AJ514" s="631"/>
      <c r="AK514" s="630">
        <v>1</v>
      </c>
      <c r="AL514" s="631">
        <v>2</v>
      </c>
      <c r="AM514" s="629"/>
      <c r="AN514" s="633">
        <f>SUM(BProvPrivEnrlmtUnder2233[[#This Row],[K4 H]:[Ungradable Second H]])</f>
        <v>3</v>
      </c>
      <c r="AO514" s="634">
        <v>3</v>
      </c>
      <c r="AP514" s="629" t="s">
        <v>390</v>
      </c>
      <c r="AQ514" s="629" t="str">
        <f>INDEX(TableAFNSchools[North/South of 53rd Parallel &amp; Fly-in = North],MATCH(BProvPrivEnrlmtUnder2233[[#This Row],[Band No.]],TableAFNSchools[Band No '#],0))</f>
        <v>South</v>
      </c>
      <c r="AR514" s="629" t="s">
        <v>1233</v>
      </c>
      <c r="AS514" s="629" t="s">
        <v>442</v>
      </c>
      <c r="AT514" s="629" t="str">
        <f>IF(BProvPrivEnrlmtUnder2233[[#This Row],[K4]]="","None",IF(BProvPrivEnrlmtUnder2233[[#This Row],[K4]]&lt;BProvPrivEnrlmtUnder2233[[#This Row],[K4 H]],"Half-day",IF(AND(BProvPrivEnrlmtUnder2233[[#This Row],[K4]]&gt;0,BProvPrivEnrlmtUnder2233[[#This Row],[K4]]=BProvPrivEnrlmtUnder2233[[#This Row],[K4 H]]),"Full-day",0)))</f>
        <v>None</v>
      </c>
      <c r="AU514" s="629" t="str">
        <f>IF(BProvPrivEnrlmtUnder2233[[#This Row],[K5]]="","None",IF(BProvPrivEnrlmtUnder2233[[#This Row],[K5]]&lt;BProvPrivEnrlmtUnder2233[[#This Row],[K5 H]],"Half-day",IF(AND(BProvPrivEnrlmtUnder2233[[#This Row],[K5]]&gt;0,BProvPrivEnrlmtUnder2233[[#This Row],[K5]]=BProvPrivEnrlmtUnder2233[[#This Row],[K5 H]]),"Full-day",0)))</f>
        <v>None</v>
      </c>
      <c r="AV514" s="635">
        <f t="array" ref="AV514">IFERROR(INDEX($J$755:$J$818,MATCH(BProvPrivEnrlmtUnder2233[[#This Row],[Band No.]]&amp;BProvPrivEnrlmtUnder2233[[#This Row],[School No.]],$A$755:$A$818&amp;$E$755:$E$818,0)),0)</f>
        <v>0</v>
      </c>
      <c r="AW514" s="635">
        <f t="array" ref="AW514">IFERROR(INDEX($M$755:$M$818,MATCH(BProvPrivEnrlmtUnder2233[[#This Row],[Band No.]]&amp;BProvPrivEnrlmtUnder2233[[#This Row],[School No.]],$A$755:$A$818&amp;$E$755:$E$818,0)),0)</f>
        <v>0</v>
      </c>
      <c r="AX514" s="624">
        <f t="array" ref="AX514">IFERROR(INDEX($I$755:$I$818,MATCH(BProvPrivEnrlmtUnder2233[[#This Row],[Band No.]]&amp;BProvPrivEnrlmtUnder2233[[#This Row],[School No.]],$A$755:$A$818&amp;$E$755:$E$818,0)),0)</f>
        <v>0</v>
      </c>
      <c r="AY514" s="630">
        <f t="array" ref="AY514">IFERROR(INDEX($K$755:$K$818,MATCH(BProvPrivEnrlmtUnder2233[[#This Row],[Band No.]]&amp;BProvPrivEnrlmtUnder2233[[#This Row],[School No.]],$A$755:$A$818&amp;$E$755:$E$818,0)),0)</f>
        <v>0</v>
      </c>
      <c r="AZ514" s="637">
        <f t="array" ref="AZ514">IFERROR(INDEX($O$755:$O$818,MATCH(BProvPrivEnrlmtUnder2233[[#This Row],[Band No.]]&amp;BProvPrivEnrlmtUnder2233[[#This Row],[School No.]],$A$755:$A$818&amp;$E$755:$E$818,0)),0)</f>
        <v>3</v>
      </c>
      <c r="BA514" s="637">
        <f t="array" ref="BA514">IFERROR(INDEX($R$755:$R$818,MATCH(BProvPrivEnrlmtUnder2233[[#This Row],[Band No.]]&amp;BProvPrivEnrlmtUnder2233[[#This Row],[School No.]],$A$755:$A$818&amp;$E$755:$E$818,0)),0)</f>
        <v>0</v>
      </c>
      <c r="BB514" s="637">
        <f t="array" ref="BB514">IFERROR(INDEX($N$755:$N$818,MATCH(BProvPrivEnrlmtUnder2233[[#This Row],[Band No.]]&amp;BProvPrivEnrlmtUnder2233[[#This Row],[School No.]],$A$755:$A$818&amp;$E$755:$E$818,0)),0)</f>
        <v>0</v>
      </c>
      <c r="BC514" s="637">
        <f t="array" ref="BC514">IFERROR(INDEX($P$755:$P$818,MATCH(BProvPrivEnrlmtUnder2233[[#This Row],[Band No.]]&amp;BProvPrivEnrlmtUnder2233[[#This Row],[School No.]],$A$755:$A$818&amp;$E$755:$E$818,0)),0)</f>
        <v>0</v>
      </c>
    </row>
    <row r="515" spans="1:55" s="624" customFormat="1" hidden="1">
      <c r="A515" s="629">
        <v>275</v>
      </c>
      <c r="B515" s="629" t="s">
        <v>390</v>
      </c>
      <c r="C515" s="629" t="s">
        <v>1437</v>
      </c>
      <c r="D515" s="629" t="s">
        <v>983</v>
      </c>
      <c r="E515" s="629" t="s">
        <v>1378</v>
      </c>
      <c r="F515" s="624" t="s">
        <v>1013</v>
      </c>
      <c r="G515" s="629"/>
      <c r="H515" s="629"/>
      <c r="I515" s="629"/>
      <c r="J515" s="629"/>
      <c r="K515" s="629"/>
      <c r="L515" s="629"/>
      <c r="M515" s="629"/>
      <c r="N515" s="629"/>
      <c r="O515" s="629"/>
      <c r="P515" s="629"/>
      <c r="Q515" s="630"/>
      <c r="R515" s="631"/>
      <c r="S515" s="631"/>
      <c r="T515" s="631"/>
      <c r="U515" s="631">
        <v>1</v>
      </c>
      <c r="V515" s="629"/>
      <c r="W515" s="632">
        <f>SUM(BProvPrivEnrlmtUnder2233[[#This Row],[K4]:[Ungradable Second FTE]])</f>
        <v>1</v>
      </c>
      <c r="X515" s="629"/>
      <c r="Y515" s="629"/>
      <c r="Z515" s="629"/>
      <c r="AA515" s="629"/>
      <c r="AB515" s="629"/>
      <c r="AC515" s="629"/>
      <c r="AD515" s="629"/>
      <c r="AE515" s="629"/>
      <c r="AF515" s="629"/>
      <c r="AG515" s="629"/>
      <c r="AH515" s="630"/>
      <c r="AI515" s="631"/>
      <c r="AJ515" s="631"/>
      <c r="AK515" s="631"/>
      <c r="AL515" s="631">
        <v>1</v>
      </c>
      <c r="AM515" s="629"/>
      <c r="AN515" s="633">
        <f>SUM(BProvPrivEnrlmtUnder2233[[#This Row],[K4 H]:[Ungradable Second H]])</f>
        <v>1</v>
      </c>
      <c r="AO515" s="634">
        <v>6</v>
      </c>
      <c r="AP515" s="629" t="s">
        <v>390</v>
      </c>
      <c r="AQ515" s="629" t="str">
        <f>INDEX(TableAFNSchools[North/South of 53rd Parallel &amp; Fly-in = North],MATCH(BProvPrivEnrlmtUnder2233[[#This Row],[Band No.]],TableAFNSchools[Band No '#],0))</f>
        <v>South</v>
      </c>
      <c r="AR515" s="629" t="s">
        <v>1388</v>
      </c>
      <c r="AS515" s="629" t="s">
        <v>442</v>
      </c>
      <c r="AT515" s="629" t="str">
        <f>IF(BProvPrivEnrlmtUnder2233[[#This Row],[K4]]="","None",IF(BProvPrivEnrlmtUnder2233[[#This Row],[K4]]&lt;BProvPrivEnrlmtUnder2233[[#This Row],[K4 H]],"Half-day",IF(AND(BProvPrivEnrlmtUnder2233[[#This Row],[K4]]&gt;0,BProvPrivEnrlmtUnder2233[[#This Row],[K4]]=BProvPrivEnrlmtUnder2233[[#This Row],[K4 H]]),"Full-day",0)))</f>
        <v>None</v>
      </c>
      <c r="AU515" s="629" t="str">
        <f>IF(BProvPrivEnrlmtUnder2233[[#This Row],[K5]]="","None",IF(BProvPrivEnrlmtUnder2233[[#This Row],[K5]]&lt;BProvPrivEnrlmtUnder2233[[#This Row],[K5 H]],"Half-day",IF(AND(BProvPrivEnrlmtUnder2233[[#This Row],[K5]]&gt;0,BProvPrivEnrlmtUnder2233[[#This Row],[K5]]=BProvPrivEnrlmtUnder2233[[#This Row],[K5 H]]),"Full-day",0)))</f>
        <v>None</v>
      </c>
      <c r="AV515" s="635">
        <f t="array" ref="AV515">IFERROR(INDEX($J$755:$J$818,MATCH(BProvPrivEnrlmtUnder2233[[#This Row],[Band No.]]&amp;BProvPrivEnrlmtUnder2233[[#This Row],[School No.]],$A$755:$A$818&amp;$E$755:$E$818,0)),0)</f>
        <v>1</v>
      </c>
      <c r="AW515" s="635">
        <f t="array" ref="AW515">IFERROR(INDEX($M$755:$M$818,MATCH(BProvPrivEnrlmtUnder2233[[#This Row],[Band No.]]&amp;BProvPrivEnrlmtUnder2233[[#This Row],[School No.]],$A$755:$A$818&amp;$E$755:$E$818,0)),0)</f>
        <v>0</v>
      </c>
      <c r="AX515" s="624">
        <f t="array" ref="AX515">IFERROR(INDEX($I$755:$I$818,MATCH(BProvPrivEnrlmtUnder2233[[#This Row],[Band No.]]&amp;BProvPrivEnrlmtUnder2233[[#This Row],[School No.]],$A$755:$A$818&amp;$E$755:$E$818,0)),0)</f>
        <v>0</v>
      </c>
      <c r="AY515" s="635">
        <f t="array" ref="AY515">IFERROR(INDEX($K$755:$K$818,MATCH(BProvPrivEnrlmtUnder2233[[#This Row],[Band No.]]&amp;BProvPrivEnrlmtUnder2233[[#This Row],[School No.]],$A$755:$A$818&amp;$E$755:$E$818,0)),0)</f>
        <v>0</v>
      </c>
      <c r="AZ515" s="637">
        <f t="array" ref="AZ515">IFERROR(INDEX($O$755:$O$818,MATCH(BProvPrivEnrlmtUnder2233[[#This Row],[Band No.]]&amp;BProvPrivEnrlmtUnder2233[[#This Row],[School No.]],$A$755:$A$818&amp;$E$755:$E$818,0)),0)</f>
        <v>0</v>
      </c>
      <c r="BA515" s="637">
        <f t="array" ref="BA515">IFERROR(INDEX($R$755:$R$818,MATCH(BProvPrivEnrlmtUnder2233[[#This Row],[Band No.]]&amp;BProvPrivEnrlmtUnder2233[[#This Row],[School No.]],$A$755:$A$818&amp;$E$755:$E$818,0)),0)</f>
        <v>0</v>
      </c>
      <c r="BB515" s="637">
        <f t="array" ref="BB515">IFERROR(INDEX($N$755:$N$818,MATCH(BProvPrivEnrlmtUnder2233[[#This Row],[Band No.]]&amp;BProvPrivEnrlmtUnder2233[[#This Row],[School No.]],$A$755:$A$818&amp;$E$755:$E$818,0)),0)</f>
        <v>0</v>
      </c>
      <c r="BC515" s="637">
        <f t="array" ref="BC515">IFERROR(INDEX($P$755:$P$818,MATCH(BProvPrivEnrlmtUnder2233[[#This Row],[Band No.]]&amp;BProvPrivEnrlmtUnder2233[[#This Row],[School No.]],$A$755:$A$818&amp;$E$755:$E$818,0)),0)</f>
        <v>0</v>
      </c>
    </row>
    <row r="516" spans="1:55" s="624" customFormat="1" hidden="1">
      <c r="A516" s="629">
        <v>275</v>
      </c>
      <c r="B516" s="629" t="s">
        <v>390</v>
      </c>
      <c r="C516" s="629" t="s">
        <v>1021</v>
      </c>
      <c r="D516" s="629" t="s">
        <v>967</v>
      </c>
      <c r="E516" s="629" t="s">
        <v>1355</v>
      </c>
      <c r="F516" s="624" t="s">
        <v>1013</v>
      </c>
      <c r="G516" s="629"/>
      <c r="H516" s="629"/>
      <c r="I516" s="629"/>
      <c r="J516" s="629"/>
      <c r="K516" s="629"/>
      <c r="L516" s="629"/>
      <c r="M516" s="629"/>
      <c r="N516" s="629"/>
      <c r="O516" s="629"/>
      <c r="P516" s="629"/>
      <c r="Q516" s="630"/>
      <c r="R516" s="631"/>
      <c r="S516" s="631"/>
      <c r="T516" s="631">
        <v>1</v>
      </c>
      <c r="U516" s="631">
        <v>5</v>
      </c>
      <c r="V516" s="629"/>
      <c r="W516" s="632">
        <f>SUM(BProvPrivEnrlmtUnder2233[[#This Row],[K4]:[Ungradable Second FTE]])</f>
        <v>6</v>
      </c>
      <c r="X516" s="629"/>
      <c r="Y516" s="629"/>
      <c r="Z516" s="629"/>
      <c r="AA516" s="629"/>
      <c r="AB516" s="629"/>
      <c r="AC516" s="629"/>
      <c r="AD516" s="629"/>
      <c r="AE516" s="629"/>
      <c r="AF516" s="629"/>
      <c r="AG516" s="629"/>
      <c r="AH516" s="630"/>
      <c r="AI516" s="631"/>
      <c r="AJ516" s="631"/>
      <c r="AK516" s="631">
        <v>1</v>
      </c>
      <c r="AL516" s="631">
        <v>5</v>
      </c>
      <c r="AM516" s="629"/>
      <c r="AN516" s="633">
        <f>SUM(BProvPrivEnrlmtUnder2233[[#This Row],[K4 H]:[Ungradable Second H]])</f>
        <v>6</v>
      </c>
      <c r="AO516" s="634">
        <v>4</v>
      </c>
      <c r="AP516" s="629" t="s">
        <v>390</v>
      </c>
      <c r="AQ516" s="629" t="str">
        <f>INDEX(TableAFNSchools[North/South of 53rd Parallel &amp; Fly-in = North],MATCH(BProvPrivEnrlmtUnder2233[[#This Row],[Band No.]],TableAFNSchools[Band No '#],0))</f>
        <v>South</v>
      </c>
      <c r="AR516" s="629" t="s">
        <v>868</v>
      </c>
      <c r="AS516" s="629" t="s">
        <v>442</v>
      </c>
      <c r="AT516" s="629" t="str">
        <f>IF(BProvPrivEnrlmtUnder2233[[#This Row],[K4]]="","None",IF(BProvPrivEnrlmtUnder2233[[#This Row],[K4]]&lt;BProvPrivEnrlmtUnder2233[[#This Row],[K4 H]],"Half-day",IF(AND(BProvPrivEnrlmtUnder2233[[#This Row],[K4]]&gt;0,BProvPrivEnrlmtUnder2233[[#This Row],[K4]]=BProvPrivEnrlmtUnder2233[[#This Row],[K4 H]]),"Full-day",0)))</f>
        <v>None</v>
      </c>
      <c r="AU516" s="629" t="str">
        <f>IF(BProvPrivEnrlmtUnder2233[[#This Row],[K5]]="","None",IF(BProvPrivEnrlmtUnder2233[[#This Row],[K5]]&lt;BProvPrivEnrlmtUnder2233[[#This Row],[K5 H]],"Half-day",IF(AND(BProvPrivEnrlmtUnder2233[[#This Row],[K5]]&gt;0,BProvPrivEnrlmtUnder2233[[#This Row],[K5]]=BProvPrivEnrlmtUnder2233[[#This Row],[K5 H]]),"Full-day",0)))</f>
        <v>None</v>
      </c>
      <c r="AV516" s="635">
        <f t="array" ref="AV516">IFERROR(INDEX($J$755:$J$818,MATCH(BProvPrivEnrlmtUnder2233[[#This Row],[Band No.]]&amp;BProvPrivEnrlmtUnder2233[[#This Row],[School No.]],$A$755:$A$818&amp;$E$755:$E$818,0)),0)</f>
        <v>0</v>
      </c>
      <c r="AW516" s="635">
        <f t="array" ref="AW516">IFERROR(INDEX($M$755:$M$818,MATCH(BProvPrivEnrlmtUnder2233[[#This Row],[Band No.]]&amp;BProvPrivEnrlmtUnder2233[[#This Row],[School No.]],$A$755:$A$818&amp;$E$755:$E$818,0)),0)</f>
        <v>0</v>
      </c>
      <c r="AX516" s="624">
        <f t="array" ref="AX516">IFERROR(INDEX($I$755:$I$818,MATCH(BProvPrivEnrlmtUnder2233[[#This Row],[Band No.]]&amp;BProvPrivEnrlmtUnder2233[[#This Row],[School No.]],$A$755:$A$818&amp;$E$755:$E$818,0)),0)</f>
        <v>0</v>
      </c>
      <c r="AY516" s="630">
        <f t="array" ref="AY516">IFERROR(INDEX($K$755:$K$818,MATCH(BProvPrivEnrlmtUnder2233[[#This Row],[Band No.]]&amp;BProvPrivEnrlmtUnder2233[[#This Row],[School No.]],$A$755:$A$818&amp;$E$755:$E$818,0)),0)</f>
        <v>0</v>
      </c>
      <c r="AZ516" s="637">
        <f t="array" ref="AZ516">IFERROR(INDEX($O$755:$O$818,MATCH(BProvPrivEnrlmtUnder2233[[#This Row],[Band No.]]&amp;BProvPrivEnrlmtUnder2233[[#This Row],[School No.]],$A$755:$A$818&amp;$E$755:$E$818,0)),0)</f>
        <v>4</v>
      </c>
      <c r="BA516" s="637">
        <f t="array" ref="BA516">IFERROR(INDEX($R$755:$R$818,MATCH(BProvPrivEnrlmtUnder2233[[#This Row],[Band No.]]&amp;BProvPrivEnrlmtUnder2233[[#This Row],[School No.]],$A$755:$A$818&amp;$E$755:$E$818,0)),0)</f>
        <v>1</v>
      </c>
      <c r="BB516" s="637">
        <f t="array" ref="BB516">IFERROR(INDEX($N$755:$N$818,MATCH(BProvPrivEnrlmtUnder2233[[#This Row],[Band No.]]&amp;BProvPrivEnrlmtUnder2233[[#This Row],[School No.]],$A$755:$A$818&amp;$E$755:$E$818,0)),0)</f>
        <v>0</v>
      </c>
      <c r="BC516" s="637">
        <f t="array" ref="BC516">IFERROR(INDEX($P$755:$P$818,MATCH(BProvPrivEnrlmtUnder2233[[#This Row],[Band No.]]&amp;BProvPrivEnrlmtUnder2233[[#This Row],[School No.]],$A$755:$A$818&amp;$E$755:$E$818,0)),0)</f>
        <v>0</v>
      </c>
    </row>
    <row r="517" spans="1:55" s="624" customFormat="1" hidden="1">
      <c r="A517" s="629">
        <v>275</v>
      </c>
      <c r="B517" s="629" t="s">
        <v>390</v>
      </c>
      <c r="C517" s="629" t="s">
        <v>1410</v>
      </c>
      <c r="D517" s="629" t="s">
        <v>1361</v>
      </c>
      <c r="E517" s="629" t="s">
        <v>1362</v>
      </c>
      <c r="F517" s="624" t="s">
        <v>1013</v>
      </c>
      <c r="G517" s="629"/>
      <c r="H517" s="629"/>
      <c r="I517" s="629"/>
      <c r="J517" s="629"/>
      <c r="K517" s="629"/>
      <c r="L517" s="629"/>
      <c r="M517" s="629"/>
      <c r="N517" s="629"/>
      <c r="O517" s="629"/>
      <c r="P517" s="629"/>
      <c r="Q517" s="630"/>
      <c r="R517" s="631"/>
      <c r="S517" s="631"/>
      <c r="T517" s="631"/>
      <c r="U517" s="631">
        <v>1</v>
      </c>
      <c r="V517" s="629"/>
      <c r="W517" s="632">
        <f>SUM(BProvPrivEnrlmtUnder2233[[#This Row],[K4]:[Ungradable Second FTE]])</f>
        <v>1</v>
      </c>
      <c r="X517" s="629"/>
      <c r="Y517" s="629"/>
      <c r="Z517" s="629"/>
      <c r="AA517" s="629"/>
      <c r="AB517" s="629"/>
      <c r="AC517" s="629"/>
      <c r="AD517" s="629"/>
      <c r="AE517" s="629"/>
      <c r="AF517" s="629"/>
      <c r="AG517" s="629"/>
      <c r="AH517" s="630"/>
      <c r="AI517" s="631"/>
      <c r="AJ517" s="631"/>
      <c r="AK517" s="631"/>
      <c r="AL517" s="631">
        <v>1</v>
      </c>
      <c r="AM517" s="629"/>
      <c r="AN517" s="633">
        <f>SUM(BProvPrivEnrlmtUnder2233[[#This Row],[K4 H]:[Ungradable Second H]])</f>
        <v>1</v>
      </c>
      <c r="AO517" s="634">
        <v>1</v>
      </c>
      <c r="AP517" s="629" t="s">
        <v>390</v>
      </c>
      <c r="AQ517" s="629" t="str">
        <f>INDEX(TableAFNSchools[North/South of 53rd Parallel &amp; Fly-in = North],MATCH(BProvPrivEnrlmtUnder2233[[#This Row],[Band No.]],TableAFNSchools[Band No '#],0))</f>
        <v>South</v>
      </c>
      <c r="AR517" s="629" t="s">
        <v>1233</v>
      </c>
      <c r="AS517" s="629" t="s">
        <v>442</v>
      </c>
      <c r="AT517" s="629" t="str">
        <f>IF(BProvPrivEnrlmtUnder2233[[#This Row],[K4]]="","None",IF(BProvPrivEnrlmtUnder2233[[#This Row],[K4]]&lt;BProvPrivEnrlmtUnder2233[[#This Row],[K4 H]],"Half-day",IF(AND(BProvPrivEnrlmtUnder2233[[#This Row],[K4]]&gt;0,BProvPrivEnrlmtUnder2233[[#This Row],[K4]]=BProvPrivEnrlmtUnder2233[[#This Row],[K4 H]]),"Full-day",0)))</f>
        <v>None</v>
      </c>
      <c r="AU517" s="629" t="str">
        <f>IF(BProvPrivEnrlmtUnder2233[[#This Row],[K5]]="","None",IF(BProvPrivEnrlmtUnder2233[[#This Row],[K5]]&lt;BProvPrivEnrlmtUnder2233[[#This Row],[K5 H]],"Half-day",IF(AND(BProvPrivEnrlmtUnder2233[[#This Row],[K5]]&gt;0,BProvPrivEnrlmtUnder2233[[#This Row],[K5]]=BProvPrivEnrlmtUnder2233[[#This Row],[K5 H]]),"Full-day",0)))</f>
        <v>None</v>
      </c>
      <c r="AV517" s="635">
        <f t="array" ref="AV517">IFERROR(INDEX($J$755:$J$818,MATCH(BProvPrivEnrlmtUnder2233[[#This Row],[Band No.]]&amp;BProvPrivEnrlmtUnder2233[[#This Row],[School No.]],$A$755:$A$818&amp;$E$755:$E$818,0)),0)</f>
        <v>0</v>
      </c>
      <c r="AW517" s="635">
        <f t="array" ref="AW517">IFERROR(INDEX($M$755:$M$818,MATCH(BProvPrivEnrlmtUnder2233[[#This Row],[Band No.]]&amp;BProvPrivEnrlmtUnder2233[[#This Row],[School No.]],$A$755:$A$818&amp;$E$755:$E$818,0)),0)</f>
        <v>0</v>
      </c>
      <c r="AX517" s="624">
        <f t="array" ref="AX517">IFERROR(INDEX($I$755:$I$818,MATCH(BProvPrivEnrlmtUnder2233[[#This Row],[Band No.]]&amp;BProvPrivEnrlmtUnder2233[[#This Row],[School No.]],$A$755:$A$818&amp;$E$755:$E$818,0)),0)</f>
        <v>0</v>
      </c>
      <c r="AY517" s="630">
        <f t="array" ref="AY517">IFERROR(INDEX($K$755:$K$818,MATCH(BProvPrivEnrlmtUnder2233[[#This Row],[Band No.]]&amp;BProvPrivEnrlmtUnder2233[[#This Row],[School No.]],$A$755:$A$818&amp;$E$755:$E$818,0)),0)</f>
        <v>1</v>
      </c>
      <c r="AZ517" s="637">
        <f t="array" ref="AZ517">IFERROR(INDEX($O$755:$O$818,MATCH(BProvPrivEnrlmtUnder2233[[#This Row],[Band No.]]&amp;BProvPrivEnrlmtUnder2233[[#This Row],[School No.]],$A$755:$A$818&amp;$E$755:$E$818,0)),0)</f>
        <v>0</v>
      </c>
      <c r="BA517" s="637">
        <f t="array" ref="BA517">IFERROR(INDEX($R$755:$R$818,MATCH(BProvPrivEnrlmtUnder2233[[#This Row],[Band No.]]&amp;BProvPrivEnrlmtUnder2233[[#This Row],[School No.]],$A$755:$A$818&amp;$E$755:$E$818,0)),0)</f>
        <v>0</v>
      </c>
      <c r="BB517" s="637">
        <f t="array" ref="BB517">IFERROR(INDEX($N$755:$N$818,MATCH(BProvPrivEnrlmtUnder2233[[#This Row],[Band No.]]&amp;BProvPrivEnrlmtUnder2233[[#This Row],[School No.]],$A$755:$A$818&amp;$E$755:$E$818,0)),0)</f>
        <v>0</v>
      </c>
      <c r="BC517" s="637">
        <f t="array" ref="BC517">IFERROR(INDEX($P$755:$P$818,MATCH(BProvPrivEnrlmtUnder2233[[#This Row],[Band No.]]&amp;BProvPrivEnrlmtUnder2233[[#This Row],[School No.]],$A$755:$A$818&amp;$E$755:$E$818,0)),0)</f>
        <v>0</v>
      </c>
    </row>
    <row r="518" spans="1:55" s="624" customFormat="1" hidden="1">
      <c r="A518" s="629">
        <v>275</v>
      </c>
      <c r="B518" s="629" t="s">
        <v>390</v>
      </c>
      <c r="C518" s="629" t="s">
        <v>1438</v>
      </c>
      <c r="D518" s="629" t="s">
        <v>977</v>
      </c>
      <c r="E518" s="629" t="s">
        <v>1366</v>
      </c>
      <c r="F518" s="624" t="s">
        <v>1013</v>
      </c>
      <c r="G518" s="629"/>
      <c r="H518" s="629"/>
      <c r="I518" s="629"/>
      <c r="J518" s="629"/>
      <c r="K518" s="629"/>
      <c r="L518" s="629"/>
      <c r="M518" s="629"/>
      <c r="N518" s="629"/>
      <c r="O518" s="629"/>
      <c r="P518" s="629"/>
      <c r="Q518" s="630"/>
      <c r="R518" s="631">
        <v>1</v>
      </c>
      <c r="S518" s="631"/>
      <c r="T518" s="631">
        <v>1</v>
      </c>
      <c r="U518" s="631"/>
      <c r="V518" s="629"/>
      <c r="W518" s="632">
        <f>SUM(BProvPrivEnrlmtUnder2233[[#This Row],[K4]:[Ungradable Second FTE]])</f>
        <v>2</v>
      </c>
      <c r="X518" s="629"/>
      <c r="Y518" s="629"/>
      <c r="Z518" s="629"/>
      <c r="AA518" s="629"/>
      <c r="AB518" s="629"/>
      <c r="AC518" s="629"/>
      <c r="AD518" s="629"/>
      <c r="AE518" s="629"/>
      <c r="AF518" s="629"/>
      <c r="AG518" s="629"/>
      <c r="AH518" s="630"/>
      <c r="AI518" s="631">
        <v>1</v>
      </c>
      <c r="AJ518" s="631"/>
      <c r="AK518" s="631">
        <v>1</v>
      </c>
      <c r="AL518" s="631"/>
      <c r="AM518" s="629"/>
      <c r="AN518" s="633">
        <f>SUM(BProvPrivEnrlmtUnder2233[[#This Row],[K4 H]:[Ungradable Second H]])</f>
        <v>2</v>
      </c>
      <c r="AO518" s="634">
        <v>12</v>
      </c>
      <c r="AP518" s="629" t="s">
        <v>390</v>
      </c>
      <c r="AQ518" s="629" t="str">
        <f>INDEX(TableAFNSchools[North/South of 53rd Parallel &amp; Fly-in = North],MATCH(BProvPrivEnrlmtUnder2233[[#This Row],[Band No.]],TableAFNSchools[Band No '#],0))</f>
        <v>South</v>
      </c>
      <c r="AR518" s="629" t="s">
        <v>851</v>
      </c>
      <c r="AS518" s="629" t="s">
        <v>442</v>
      </c>
      <c r="AT518" s="629" t="str">
        <f>IF(BProvPrivEnrlmtUnder2233[[#This Row],[K4]]="","None",IF(BProvPrivEnrlmtUnder2233[[#This Row],[K4]]&lt;BProvPrivEnrlmtUnder2233[[#This Row],[K4 H]],"Half-day",IF(AND(BProvPrivEnrlmtUnder2233[[#This Row],[K4]]&gt;0,BProvPrivEnrlmtUnder2233[[#This Row],[K4]]=BProvPrivEnrlmtUnder2233[[#This Row],[K4 H]]),"Full-day",0)))</f>
        <v>None</v>
      </c>
      <c r="AU518" s="629" t="str">
        <f>IF(BProvPrivEnrlmtUnder2233[[#This Row],[K5]]="","None",IF(BProvPrivEnrlmtUnder2233[[#This Row],[K5]]&lt;BProvPrivEnrlmtUnder2233[[#This Row],[K5 H]],"Half-day",IF(AND(BProvPrivEnrlmtUnder2233[[#This Row],[K5]]&gt;0,BProvPrivEnrlmtUnder2233[[#This Row],[K5]]=BProvPrivEnrlmtUnder2233[[#This Row],[K5 H]]),"Full-day",0)))</f>
        <v>None</v>
      </c>
      <c r="AV518" s="635">
        <f t="array" ref="AV518">IFERROR(INDEX($J$755:$J$818,MATCH(BProvPrivEnrlmtUnder2233[[#This Row],[Band No.]]&amp;BProvPrivEnrlmtUnder2233[[#This Row],[School No.]],$A$755:$A$818&amp;$E$755:$E$818,0)),0)</f>
        <v>2</v>
      </c>
      <c r="AW518" s="635">
        <f t="array" ref="AW518">IFERROR(INDEX($M$755:$M$818,MATCH(BProvPrivEnrlmtUnder2233[[#This Row],[Band No.]]&amp;BProvPrivEnrlmtUnder2233[[#This Row],[School No.]],$A$755:$A$818&amp;$E$755:$E$818,0)),0)</f>
        <v>0</v>
      </c>
      <c r="AX518" s="624">
        <f t="array" ref="AX518">IFERROR(INDEX($I$755:$I$818,MATCH(BProvPrivEnrlmtUnder2233[[#This Row],[Band No.]]&amp;BProvPrivEnrlmtUnder2233[[#This Row],[School No.]],$A$755:$A$818&amp;$E$755:$E$818,0)),0)</f>
        <v>0</v>
      </c>
      <c r="AY518" s="630">
        <f t="array" ref="AY518">IFERROR(INDEX($K$755:$K$818,MATCH(BProvPrivEnrlmtUnder2233[[#This Row],[Band No.]]&amp;BProvPrivEnrlmtUnder2233[[#This Row],[School No.]],$A$755:$A$818&amp;$E$755:$E$818,0)),0)</f>
        <v>0</v>
      </c>
      <c r="AZ518" s="637">
        <f t="array" ref="AZ518">IFERROR(INDEX($O$755:$O$818,MATCH(BProvPrivEnrlmtUnder2233[[#This Row],[Band No.]]&amp;BProvPrivEnrlmtUnder2233[[#This Row],[School No.]],$A$755:$A$818&amp;$E$755:$E$818,0)),0)</f>
        <v>0</v>
      </c>
      <c r="BA518" s="637">
        <f t="array" ref="BA518">IFERROR(INDEX($R$755:$R$818,MATCH(BProvPrivEnrlmtUnder2233[[#This Row],[Band No.]]&amp;BProvPrivEnrlmtUnder2233[[#This Row],[School No.]],$A$755:$A$818&amp;$E$755:$E$818,0)),0)</f>
        <v>0</v>
      </c>
      <c r="BB518" s="637">
        <f t="array" ref="BB518">IFERROR(INDEX($N$755:$N$818,MATCH(BProvPrivEnrlmtUnder2233[[#This Row],[Band No.]]&amp;BProvPrivEnrlmtUnder2233[[#This Row],[School No.]],$A$755:$A$818&amp;$E$755:$E$818,0)),0)</f>
        <v>0</v>
      </c>
      <c r="BC518" s="637">
        <f t="array" ref="BC518">IFERROR(INDEX($P$755:$P$818,MATCH(BProvPrivEnrlmtUnder2233[[#This Row],[Band No.]]&amp;BProvPrivEnrlmtUnder2233[[#This Row],[School No.]],$A$755:$A$818&amp;$E$755:$E$818,0)),0)</f>
        <v>0</v>
      </c>
    </row>
    <row r="519" spans="1:55" s="624" customFormat="1" hidden="1">
      <c r="A519" s="629">
        <v>275</v>
      </c>
      <c r="B519" s="629" t="s">
        <v>390</v>
      </c>
      <c r="C519" s="629" t="s">
        <v>1439</v>
      </c>
      <c r="D519" s="629" t="s">
        <v>1440</v>
      </c>
      <c r="E519" s="629" t="s">
        <v>1426</v>
      </c>
      <c r="F519" s="624" t="s">
        <v>1013</v>
      </c>
      <c r="G519" s="629"/>
      <c r="H519" s="629"/>
      <c r="I519" s="629"/>
      <c r="J519" s="629"/>
      <c r="K519" s="629"/>
      <c r="L519" s="629"/>
      <c r="M519" s="629"/>
      <c r="N519" s="629"/>
      <c r="O519" s="629"/>
      <c r="P519" s="629"/>
      <c r="Q519" s="630"/>
      <c r="R519" s="631">
        <v>1</v>
      </c>
      <c r="S519" s="631"/>
      <c r="T519" s="631"/>
      <c r="U519" s="631">
        <v>1</v>
      </c>
      <c r="V519" s="629"/>
      <c r="W519" s="632">
        <f>SUM(BProvPrivEnrlmtUnder2233[[#This Row],[K4]:[Ungradable Second FTE]])</f>
        <v>2</v>
      </c>
      <c r="X519" s="629"/>
      <c r="Y519" s="629"/>
      <c r="Z519" s="629"/>
      <c r="AA519" s="629"/>
      <c r="AB519" s="629"/>
      <c r="AC519" s="629"/>
      <c r="AD519" s="629"/>
      <c r="AE519" s="629"/>
      <c r="AF519" s="629"/>
      <c r="AG519" s="629"/>
      <c r="AH519" s="630"/>
      <c r="AI519" s="631">
        <v>1</v>
      </c>
      <c r="AJ519" s="631"/>
      <c r="AK519" s="631"/>
      <c r="AL519" s="631">
        <v>1</v>
      </c>
      <c r="AM519" s="629"/>
      <c r="AN519" s="633">
        <f>SUM(BProvPrivEnrlmtUnder2233[[#This Row],[K4 H]:[Ungradable Second H]])</f>
        <v>2</v>
      </c>
      <c r="AO519" s="634">
        <v>1</v>
      </c>
      <c r="AP519" s="629" t="s">
        <v>390</v>
      </c>
      <c r="AQ519" s="629" t="str">
        <f>INDEX(TableAFNSchools[North/South of 53rd Parallel &amp; Fly-in = North],MATCH(BProvPrivEnrlmtUnder2233[[#This Row],[Band No.]],TableAFNSchools[Band No '#],0))</f>
        <v>South</v>
      </c>
      <c r="AR519" s="629" t="s">
        <v>1405</v>
      </c>
      <c r="AS519" s="629" t="s">
        <v>442</v>
      </c>
      <c r="AT519" s="629" t="str">
        <f>IF(BProvPrivEnrlmtUnder2233[[#This Row],[K4]]="","None",IF(BProvPrivEnrlmtUnder2233[[#This Row],[K4]]&lt;BProvPrivEnrlmtUnder2233[[#This Row],[K4 H]],"Half-day",IF(AND(BProvPrivEnrlmtUnder2233[[#This Row],[K4]]&gt;0,BProvPrivEnrlmtUnder2233[[#This Row],[K4]]=BProvPrivEnrlmtUnder2233[[#This Row],[K4 H]]),"Full-day",0)))</f>
        <v>None</v>
      </c>
      <c r="AU519" s="629" t="str">
        <f>IF(BProvPrivEnrlmtUnder2233[[#This Row],[K5]]="","None",IF(BProvPrivEnrlmtUnder2233[[#This Row],[K5]]&lt;BProvPrivEnrlmtUnder2233[[#This Row],[K5 H]],"Half-day",IF(AND(BProvPrivEnrlmtUnder2233[[#This Row],[K5]]&gt;0,BProvPrivEnrlmtUnder2233[[#This Row],[K5]]=BProvPrivEnrlmtUnder2233[[#This Row],[K5 H]]),"Full-day",0)))</f>
        <v>None</v>
      </c>
      <c r="AV519" s="635">
        <f t="array" ref="AV519">IFERROR(INDEX($J$755:$J$818,MATCH(BProvPrivEnrlmtUnder2233[[#This Row],[Band No.]]&amp;BProvPrivEnrlmtUnder2233[[#This Row],[School No.]],$A$755:$A$818&amp;$E$755:$E$818,0)),0)</f>
        <v>1</v>
      </c>
      <c r="AW519" s="635">
        <f t="array" ref="AW519">IFERROR(INDEX($M$755:$M$818,MATCH(BProvPrivEnrlmtUnder2233[[#This Row],[Band No.]]&amp;BProvPrivEnrlmtUnder2233[[#This Row],[School No.]],$A$755:$A$818&amp;$E$755:$E$818,0)),0)</f>
        <v>0</v>
      </c>
      <c r="AX519" s="624">
        <f t="array" ref="AX519">IFERROR(INDEX($I$755:$I$818,MATCH(BProvPrivEnrlmtUnder2233[[#This Row],[Band No.]]&amp;BProvPrivEnrlmtUnder2233[[#This Row],[School No.]],$A$755:$A$818&amp;$E$755:$E$818,0)),0)</f>
        <v>0</v>
      </c>
      <c r="AY519" s="630">
        <f t="array" ref="AY519">IFERROR(INDEX($K$755:$K$818,MATCH(BProvPrivEnrlmtUnder2233[[#This Row],[Band No.]]&amp;BProvPrivEnrlmtUnder2233[[#This Row],[School No.]],$A$755:$A$818&amp;$E$755:$E$818,0)),0)</f>
        <v>0</v>
      </c>
      <c r="AZ519" s="637">
        <f t="array" ref="AZ519">IFERROR(INDEX($O$755:$O$818,MATCH(BProvPrivEnrlmtUnder2233[[#This Row],[Band No.]]&amp;BProvPrivEnrlmtUnder2233[[#This Row],[School No.]],$A$755:$A$818&amp;$E$755:$E$818,0)),0)</f>
        <v>0</v>
      </c>
      <c r="BA519" s="637">
        <f t="array" ref="BA519">IFERROR(INDEX($R$755:$R$818,MATCH(BProvPrivEnrlmtUnder2233[[#This Row],[Band No.]]&amp;BProvPrivEnrlmtUnder2233[[#This Row],[School No.]],$A$755:$A$818&amp;$E$755:$E$818,0)),0)</f>
        <v>0</v>
      </c>
      <c r="BB519" s="637">
        <f t="array" ref="BB519">IFERROR(INDEX($N$755:$N$818,MATCH(BProvPrivEnrlmtUnder2233[[#This Row],[Band No.]]&amp;BProvPrivEnrlmtUnder2233[[#This Row],[School No.]],$A$755:$A$818&amp;$E$755:$E$818,0)),0)</f>
        <v>0</v>
      </c>
      <c r="BC519" s="637">
        <f t="array" ref="BC519">IFERROR(INDEX($P$755:$P$818,MATCH(BProvPrivEnrlmtUnder2233[[#This Row],[Band No.]]&amp;BProvPrivEnrlmtUnder2233[[#This Row],[School No.]],$A$755:$A$818&amp;$E$755:$E$818,0)),0)</f>
        <v>1</v>
      </c>
    </row>
    <row r="520" spans="1:55" s="624" customFormat="1" hidden="1">
      <c r="A520" s="629">
        <v>275</v>
      </c>
      <c r="B520" s="629" t="s">
        <v>390</v>
      </c>
      <c r="C520" s="629" t="s">
        <v>1023</v>
      </c>
      <c r="D520" s="629" t="s">
        <v>1411</v>
      </c>
      <c r="E520" s="629" t="s">
        <v>1355</v>
      </c>
      <c r="F520" s="624" t="s">
        <v>1013</v>
      </c>
      <c r="G520" s="629"/>
      <c r="H520" s="629"/>
      <c r="I520" s="629"/>
      <c r="J520" s="629"/>
      <c r="K520" s="629"/>
      <c r="L520" s="629"/>
      <c r="M520" s="629"/>
      <c r="N520" s="629"/>
      <c r="O520" s="629"/>
      <c r="P520" s="629"/>
      <c r="Q520" s="630"/>
      <c r="R520" s="631"/>
      <c r="S520" s="631"/>
      <c r="T520" s="631">
        <v>1</v>
      </c>
      <c r="U520" s="631">
        <v>2</v>
      </c>
      <c r="V520" s="629"/>
      <c r="W520" s="632">
        <f>SUM(BProvPrivEnrlmtUnder2233[[#This Row],[K4]:[Ungradable Second FTE]])</f>
        <v>3</v>
      </c>
      <c r="X520" s="629"/>
      <c r="Y520" s="629"/>
      <c r="Z520" s="629"/>
      <c r="AA520" s="629"/>
      <c r="AB520" s="629"/>
      <c r="AC520" s="629"/>
      <c r="AD520" s="629"/>
      <c r="AE520" s="629"/>
      <c r="AF520" s="629"/>
      <c r="AG520" s="629"/>
      <c r="AH520" s="630"/>
      <c r="AI520" s="631"/>
      <c r="AJ520" s="631"/>
      <c r="AK520" s="631">
        <v>1</v>
      </c>
      <c r="AL520" s="631">
        <v>2</v>
      </c>
      <c r="AM520" s="629"/>
      <c r="AN520" s="633">
        <f>SUM(BProvPrivEnrlmtUnder2233[[#This Row],[K4 H]:[Ungradable Second H]])</f>
        <v>3</v>
      </c>
      <c r="AO520" s="634">
        <v>1</v>
      </c>
      <c r="AP520" s="629" t="s">
        <v>390</v>
      </c>
      <c r="AQ520" s="629" t="str">
        <f>INDEX(TableAFNSchools[North/South of 53rd Parallel &amp; Fly-in = North],MATCH(BProvPrivEnrlmtUnder2233[[#This Row],[Band No.]],TableAFNSchools[Band No '#],0))</f>
        <v>South</v>
      </c>
      <c r="AR520" s="629" t="s">
        <v>1388</v>
      </c>
      <c r="AS520" s="629" t="s">
        <v>442</v>
      </c>
      <c r="AT520" s="629" t="str">
        <f>IF(BProvPrivEnrlmtUnder2233[[#This Row],[K4]]="","None",IF(BProvPrivEnrlmtUnder2233[[#This Row],[K4]]&lt;BProvPrivEnrlmtUnder2233[[#This Row],[K4 H]],"Half-day",IF(AND(BProvPrivEnrlmtUnder2233[[#This Row],[K4]]&gt;0,BProvPrivEnrlmtUnder2233[[#This Row],[K4]]=BProvPrivEnrlmtUnder2233[[#This Row],[K4 H]]),"Full-day",0)))</f>
        <v>None</v>
      </c>
      <c r="AU520" s="629" t="str">
        <f>IF(BProvPrivEnrlmtUnder2233[[#This Row],[K5]]="","None",IF(BProvPrivEnrlmtUnder2233[[#This Row],[K5]]&lt;BProvPrivEnrlmtUnder2233[[#This Row],[K5 H]],"Half-day",IF(AND(BProvPrivEnrlmtUnder2233[[#This Row],[K5]]&gt;0,BProvPrivEnrlmtUnder2233[[#This Row],[K5]]=BProvPrivEnrlmtUnder2233[[#This Row],[K5 H]]),"Full-day",0)))</f>
        <v>None</v>
      </c>
      <c r="AV520" s="635">
        <f t="array" ref="AV520">IFERROR(INDEX($J$755:$J$818,MATCH(BProvPrivEnrlmtUnder2233[[#This Row],[Band No.]]&amp;BProvPrivEnrlmtUnder2233[[#This Row],[School No.]],$A$755:$A$818&amp;$E$755:$E$818,0)),0)</f>
        <v>2</v>
      </c>
      <c r="AW520" s="635">
        <f t="array" ref="AW520">IFERROR(INDEX($M$755:$M$818,MATCH(BProvPrivEnrlmtUnder2233[[#This Row],[Band No.]]&amp;BProvPrivEnrlmtUnder2233[[#This Row],[School No.]],$A$755:$A$818&amp;$E$755:$E$818,0)),0)</f>
        <v>0</v>
      </c>
      <c r="AX520" s="624">
        <f t="array" ref="AX520">IFERROR(INDEX($I$755:$I$818,MATCH(BProvPrivEnrlmtUnder2233[[#This Row],[Band No.]]&amp;BProvPrivEnrlmtUnder2233[[#This Row],[School No.]],$A$755:$A$818&amp;$E$755:$E$818,0)),0)</f>
        <v>0</v>
      </c>
      <c r="AY520" s="630">
        <f t="array" ref="AY520">IFERROR(INDEX($K$755:$K$818,MATCH(BProvPrivEnrlmtUnder2233[[#This Row],[Band No.]]&amp;BProvPrivEnrlmtUnder2233[[#This Row],[School No.]],$A$755:$A$818&amp;$E$755:$E$818,0)),0)</f>
        <v>0</v>
      </c>
      <c r="AZ520" s="637">
        <f t="array" ref="AZ520">IFERROR(INDEX($O$755:$O$818,MATCH(BProvPrivEnrlmtUnder2233[[#This Row],[Band No.]]&amp;BProvPrivEnrlmtUnder2233[[#This Row],[School No.]],$A$755:$A$818&amp;$E$755:$E$818,0)),0)</f>
        <v>1</v>
      </c>
      <c r="BA520" s="637">
        <f t="array" ref="BA520">IFERROR(INDEX($R$755:$R$818,MATCH(BProvPrivEnrlmtUnder2233[[#This Row],[Band No.]]&amp;BProvPrivEnrlmtUnder2233[[#This Row],[School No.]],$A$755:$A$818&amp;$E$755:$E$818,0)),0)</f>
        <v>0</v>
      </c>
      <c r="BB520" s="637">
        <f t="array" ref="BB520">IFERROR(INDEX($N$755:$N$818,MATCH(BProvPrivEnrlmtUnder2233[[#This Row],[Band No.]]&amp;BProvPrivEnrlmtUnder2233[[#This Row],[School No.]],$A$755:$A$818&amp;$E$755:$E$818,0)),0)</f>
        <v>0</v>
      </c>
      <c r="BC520" s="637">
        <f t="array" ref="BC520">IFERROR(INDEX($P$755:$P$818,MATCH(BProvPrivEnrlmtUnder2233[[#This Row],[Band No.]]&amp;BProvPrivEnrlmtUnder2233[[#This Row],[School No.]],$A$755:$A$818&amp;$E$755:$E$818,0)),0)</f>
        <v>0</v>
      </c>
    </row>
    <row r="521" spans="1:55" s="624" customFormat="1" hidden="1">
      <c r="A521" s="629">
        <v>275</v>
      </c>
      <c r="B521" s="629" t="s">
        <v>390</v>
      </c>
      <c r="C521" s="629" t="s">
        <v>1044</v>
      </c>
      <c r="D521" s="629" t="s">
        <v>968</v>
      </c>
      <c r="E521" s="629" t="s">
        <v>1355</v>
      </c>
      <c r="F521" s="624" t="s">
        <v>1013</v>
      </c>
      <c r="G521" s="629"/>
      <c r="H521" s="629"/>
      <c r="I521" s="629"/>
      <c r="J521" s="629"/>
      <c r="K521" s="629"/>
      <c r="L521" s="629"/>
      <c r="M521" s="629"/>
      <c r="N521" s="629"/>
      <c r="O521" s="629"/>
      <c r="P521" s="629"/>
      <c r="Q521" s="630"/>
      <c r="R521" s="631">
        <v>1</v>
      </c>
      <c r="S521" s="631">
        <v>2</v>
      </c>
      <c r="T521" s="631">
        <v>1</v>
      </c>
      <c r="U521" s="631">
        <v>2</v>
      </c>
      <c r="V521" s="629"/>
      <c r="W521" s="632">
        <f>SUM(BProvPrivEnrlmtUnder2233[[#This Row],[K4]:[Ungradable Second FTE]])</f>
        <v>6</v>
      </c>
      <c r="X521" s="629"/>
      <c r="Y521" s="629"/>
      <c r="Z521" s="629"/>
      <c r="AA521" s="629"/>
      <c r="AB521" s="629"/>
      <c r="AC521" s="629"/>
      <c r="AD521" s="629"/>
      <c r="AE521" s="629"/>
      <c r="AF521" s="629"/>
      <c r="AG521" s="629"/>
      <c r="AH521" s="630"/>
      <c r="AI521" s="631">
        <v>1</v>
      </c>
      <c r="AJ521" s="631">
        <v>2</v>
      </c>
      <c r="AK521" s="631">
        <v>1</v>
      </c>
      <c r="AL521" s="631">
        <v>2</v>
      </c>
      <c r="AM521" s="629"/>
      <c r="AN521" s="633">
        <f>SUM(BProvPrivEnrlmtUnder2233[[#This Row],[K4 H]:[Ungradable Second H]])</f>
        <v>6</v>
      </c>
      <c r="AO521" s="634">
        <v>2</v>
      </c>
      <c r="AP521" s="629" t="s">
        <v>390</v>
      </c>
      <c r="AQ521" s="629" t="str">
        <f>INDEX(TableAFNSchools[North/South of 53rd Parallel &amp; Fly-in = North],MATCH(BProvPrivEnrlmtUnder2233[[#This Row],[Band No.]],TableAFNSchools[Band No '#],0))</f>
        <v>South</v>
      </c>
      <c r="AR521" s="629" t="s">
        <v>1388</v>
      </c>
      <c r="AS521" s="629" t="s">
        <v>442</v>
      </c>
      <c r="AT521" s="629" t="str">
        <f>IF(BProvPrivEnrlmtUnder2233[[#This Row],[K4]]="","None",IF(BProvPrivEnrlmtUnder2233[[#This Row],[K4]]&lt;BProvPrivEnrlmtUnder2233[[#This Row],[K4 H]],"Half-day",IF(AND(BProvPrivEnrlmtUnder2233[[#This Row],[K4]]&gt;0,BProvPrivEnrlmtUnder2233[[#This Row],[K4]]=BProvPrivEnrlmtUnder2233[[#This Row],[K4 H]]),"Full-day",0)))</f>
        <v>None</v>
      </c>
      <c r="AU521" s="629" t="str">
        <f>IF(BProvPrivEnrlmtUnder2233[[#This Row],[K5]]="","None",IF(BProvPrivEnrlmtUnder2233[[#This Row],[K5]]&lt;BProvPrivEnrlmtUnder2233[[#This Row],[K5 H]],"Half-day",IF(AND(BProvPrivEnrlmtUnder2233[[#This Row],[K5]]&gt;0,BProvPrivEnrlmtUnder2233[[#This Row],[K5]]=BProvPrivEnrlmtUnder2233[[#This Row],[K5 H]]),"Full-day",0)))</f>
        <v>None</v>
      </c>
      <c r="AV521" s="635">
        <f t="array" ref="AV521">IFERROR(INDEX($J$755:$J$818,MATCH(BProvPrivEnrlmtUnder2233[[#This Row],[Band No.]]&amp;BProvPrivEnrlmtUnder2233[[#This Row],[School No.]],$A$755:$A$818&amp;$E$755:$E$818,0)),0)</f>
        <v>4</v>
      </c>
      <c r="AW521" s="635">
        <f t="array" ref="AW521">IFERROR(INDEX($M$755:$M$818,MATCH(BProvPrivEnrlmtUnder2233[[#This Row],[Band No.]]&amp;BProvPrivEnrlmtUnder2233[[#This Row],[School No.]],$A$755:$A$818&amp;$E$755:$E$818,0)),0)</f>
        <v>0</v>
      </c>
      <c r="AX521" s="624">
        <f t="array" ref="AX521">IFERROR(INDEX($I$755:$I$818,MATCH(BProvPrivEnrlmtUnder2233[[#This Row],[Band No.]]&amp;BProvPrivEnrlmtUnder2233[[#This Row],[School No.]],$A$755:$A$818&amp;$E$755:$E$818,0)),0)</f>
        <v>0</v>
      </c>
      <c r="AY521" s="630">
        <f t="array" ref="AY521">IFERROR(INDEX($K$755:$K$818,MATCH(BProvPrivEnrlmtUnder2233[[#This Row],[Band No.]]&amp;BProvPrivEnrlmtUnder2233[[#This Row],[School No.]],$A$755:$A$818&amp;$E$755:$E$818,0)),0)</f>
        <v>0</v>
      </c>
      <c r="AZ521" s="637">
        <f t="array" ref="AZ521">IFERROR(INDEX($O$755:$O$818,MATCH(BProvPrivEnrlmtUnder2233[[#This Row],[Band No.]]&amp;BProvPrivEnrlmtUnder2233[[#This Row],[School No.]],$A$755:$A$818&amp;$E$755:$E$818,0)),0)</f>
        <v>2</v>
      </c>
      <c r="BA521" s="637">
        <f t="array" ref="BA521">IFERROR(INDEX($R$755:$R$818,MATCH(BProvPrivEnrlmtUnder2233[[#This Row],[Band No.]]&amp;BProvPrivEnrlmtUnder2233[[#This Row],[School No.]],$A$755:$A$818&amp;$E$755:$E$818,0)),0)</f>
        <v>0</v>
      </c>
      <c r="BB521" s="637">
        <f t="array" ref="BB521">IFERROR(INDEX($N$755:$N$818,MATCH(BProvPrivEnrlmtUnder2233[[#This Row],[Band No.]]&amp;BProvPrivEnrlmtUnder2233[[#This Row],[School No.]],$A$755:$A$818&amp;$E$755:$E$818,0)),0)</f>
        <v>0</v>
      </c>
      <c r="BC521" s="637">
        <f t="array" ref="BC521">IFERROR(INDEX($P$755:$P$818,MATCH(BProvPrivEnrlmtUnder2233[[#This Row],[Band No.]]&amp;BProvPrivEnrlmtUnder2233[[#This Row],[School No.]],$A$755:$A$818&amp;$E$755:$E$818,0)),0)</f>
        <v>0</v>
      </c>
    </row>
    <row r="522" spans="1:55" s="624" customFormat="1" hidden="1">
      <c r="A522" s="629">
        <v>275</v>
      </c>
      <c r="B522" s="629" t="s">
        <v>390</v>
      </c>
      <c r="C522" s="629" t="s">
        <v>1441</v>
      </c>
      <c r="D522" s="629" t="s">
        <v>1442</v>
      </c>
      <c r="E522" s="629" t="s">
        <v>1379</v>
      </c>
      <c r="F522" s="624" t="s">
        <v>1013</v>
      </c>
      <c r="G522" s="629"/>
      <c r="H522" s="629"/>
      <c r="I522" s="629"/>
      <c r="J522" s="629"/>
      <c r="K522" s="629"/>
      <c r="L522" s="629"/>
      <c r="M522" s="629"/>
      <c r="N522" s="629"/>
      <c r="O522" s="629"/>
      <c r="P522" s="629"/>
      <c r="Q522" s="630"/>
      <c r="R522" s="631"/>
      <c r="S522" s="631">
        <v>1</v>
      </c>
      <c r="T522" s="631">
        <v>1</v>
      </c>
      <c r="U522" s="631">
        <v>1.5</v>
      </c>
      <c r="V522" s="629"/>
      <c r="W522" s="632">
        <f>SUM(BProvPrivEnrlmtUnder2233[[#This Row],[K4]:[Ungradable Second FTE]])</f>
        <v>3.5</v>
      </c>
      <c r="X522" s="629"/>
      <c r="Y522" s="629"/>
      <c r="Z522" s="629"/>
      <c r="AA522" s="629"/>
      <c r="AB522" s="629"/>
      <c r="AC522" s="629"/>
      <c r="AD522" s="629"/>
      <c r="AE522" s="629"/>
      <c r="AF522" s="629"/>
      <c r="AG522" s="629"/>
      <c r="AH522" s="630"/>
      <c r="AI522" s="631"/>
      <c r="AJ522" s="631">
        <v>1</v>
      </c>
      <c r="AK522" s="631">
        <v>1</v>
      </c>
      <c r="AL522" s="631">
        <v>2</v>
      </c>
      <c r="AM522" s="629"/>
      <c r="AN522" s="633">
        <f>SUM(BProvPrivEnrlmtUnder2233[[#This Row],[K4 H]:[Ungradable Second H]])</f>
        <v>4</v>
      </c>
      <c r="AO522" s="634">
        <v>3</v>
      </c>
      <c r="AP522" s="629" t="s">
        <v>390</v>
      </c>
      <c r="AQ522" s="629" t="str">
        <f>INDEX(TableAFNSchools[North/South of 53rd Parallel &amp; Fly-in = North],MATCH(BProvPrivEnrlmtUnder2233[[#This Row],[Band No.]],TableAFNSchools[Band No '#],0))</f>
        <v>South</v>
      </c>
      <c r="AR522" s="629" t="s">
        <v>1233</v>
      </c>
      <c r="AS522" s="629" t="s">
        <v>442</v>
      </c>
      <c r="AT522" s="629" t="str">
        <f>IF(BProvPrivEnrlmtUnder2233[[#This Row],[K4]]="","None",IF(BProvPrivEnrlmtUnder2233[[#This Row],[K4]]&lt;BProvPrivEnrlmtUnder2233[[#This Row],[K4 H]],"Half-day",IF(AND(BProvPrivEnrlmtUnder2233[[#This Row],[K4]]&gt;0,BProvPrivEnrlmtUnder2233[[#This Row],[K4]]=BProvPrivEnrlmtUnder2233[[#This Row],[K4 H]]),"Full-day",0)))</f>
        <v>None</v>
      </c>
      <c r="AU522" s="629" t="str">
        <f>IF(BProvPrivEnrlmtUnder2233[[#This Row],[K5]]="","None",IF(BProvPrivEnrlmtUnder2233[[#This Row],[K5]]&lt;BProvPrivEnrlmtUnder2233[[#This Row],[K5 H]],"Half-day",IF(AND(BProvPrivEnrlmtUnder2233[[#This Row],[K5]]&gt;0,BProvPrivEnrlmtUnder2233[[#This Row],[K5]]=BProvPrivEnrlmtUnder2233[[#This Row],[K5 H]]),"Full-day",0)))</f>
        <v>None</v>
      </c>
      <c r="AV522" s="635">
        <f t="array" ref="AV522">IFERROR(INDEX($J$755:$J$818,MATCH(BProvPrivEnrlmtUnder2233[[#This Row],[Band No.]]&amp;BProvPrivEnrlmtUnder2233[[#This Row],[School No.]],$A$755:$A$818&amp;$E$755:$E$818,0)),0)</f>
        <v>3</v>
      </c>
      <c r="AW522" s="635">
        <f t="array" ref="AW522">IFERROR(INDEX($M$755:$M$818,MATCH(BProvPrivEnrlmtUnder2233[[#This Row],[Band No.]]&amp;BProvPrivEnrlmtUnder2233[[#This Row],[School No.]],$A$755:$A$818&amp;$E$755:$E$818,0)),0)</f>
        <v>0</v>
      </c>
      <c r="AX522" s="624">
        <f t="array" ref="AX522">IFERROR(INDEX($I$755:$I$818,MATCH(BProvPrivEnrlmtUnder2233[[#This Row],[Band No.]]&amp;BProvPrivEnrlmtUnder2233[[#This Row],[School No.]],$A$755:$A$818&amp;$E$755:$E$818,0)),0)</f>
        <v>0</v>
      </c>
      <c r="AY522" s="630">
        <f t="array" ref="AY522">IFERROR(INDEX($K$755:$K$818,MATCH(BProvPrivEnrlmtUnder2233[[#This Row],[Band No.]]&amp;BProvPrivEnrlmtUnder2233[[#This Row],[School No.]],$A$755:$A$818&amp;$E$755:$E$818,0)),0)</f>
        <v>0</v>
      </c>
      <c r="AZ522" s="637">
        <f t="array" ref="AZ522">IFERROR(INDEX($O$755:$O$818,MATCH(BProvPrivEnrlmtUnder2233[[#This Row],[Band No.]]&amp;BProvPrivEnrlmtUnder2233[[#This Row],[School No.]],$A$755:$A$818&amp;$E$755:$E$818,0)),0)</f>
        <v>1</v>
      </c>
      <c r="BA522" s="637">
        <f t="array" ref="BA522">IFERROR(INDEX($R$755:$R$818,MATCH(BProvPrivEnrlmtUnder2233[[#This Row],[Band No.]]&amp;BProvPrivEnrlmtUnder2233[[#This Row],[School No.]],$A$755:$A$818&amp;$E$755:$E$818,0)),0)</f>
        <v>0</v>
      </c>
      <c r="BB522" s="637">
        <f t="array" ref="BB522">IFERROR(INDEX($N$755:$N$818,MATCH(BProvPrivEnrlmtUnder2233[[#This Row],[Band No.]]&amp;BProvPrivEnrlmtUnder2233[[#This Row],[School No.]],$A$755:$A$818&amp;$E$755:$E$818,0)),0)</f>
        <v>0</v>
      </c>
      <c r="BC522" s="637">
        <f t="array" ref="BC522">IFERROR(INDEX($P$755:$P$818,MATCH(BProvPrivEnrlmtUnder2233[[#This Row],[Band No.]]&amp;BProvPrivEnrlmtUnder2233[[#This Row],[School No.]],$A$755:$A$818&amp;$E$755:$E$818,0)),0)</f>
        <v>0</v>
      </c>
    </row>
    <row r="523" spans="1:55" s="624" customFormat="1" hidden="1">
      <c r="A523" s="629">
        <v>275</v>
      </c>
      <c r="B523" s="629" t="s">
        <v>390</v>
      </c>
      <c r="C523" s="629" t="s">
        <v>1443</v>
      </c>
      <c r="D523" s="629" t="s">
        <v>1444</v>
      </c>
      <c r="E523" s="629" t="s">
        <v>1355</v>
      </c>
      <c r="F523" s="624" t="s">
        <v>1013</v>
      </c>
      <c r="G523" s="629"/>
      <c r="H523" s="629"/>
      <c r="I523" s="629"/>
      <c r="J523" s="629"/>
      <c r="K523" s="629"/>
      <c r="L523" s="629"/>
      <c r="M523" s="629"/>
      <c r="N523" s="629"/>
      <c r="O523" s="629"/>
      <c r="P523" s="629"/>
      <c r="Q523" s="630"/>
      <c r="R523" s="631"/>
      <c r="S523" s="631"/>
      <c r="T523" s="631"/>
      <c r="U523" s="631">
        <v>1</v>
      </c>
      <c r="V523" s="629"/>
      <c r="W523" s="632">
        <f>SUM(BProvPrivEnrlmtUnder2233[[#This Row],[K4]:[Ungradable Second FTE]])</f>
        <v>1</v>
      </c>
      <c r="X523" s="629"/>
      <c r="Y523" s="629"/>
      <c r="Z523" s="629"/>
      <c r="AA523" s="629"/>
      <c r="AB523" s="629"/>
      <c r="AC523" s="629"/>
      <c r="AD523" s="629"/>
      <c r="AE523" s="629"/>
      <c r="AF523" s="629"/>
      <c r="AG523" s="629"/>
      <c r="AH523" s="630"/>
      <c r="AI523" s="631"/>
      <c r="AJ523" s="631"/>
      <c r="AK523" s="631"/>
      <c r="AL523" s="631">
        <v>1</v>
      </c>
      <c r="AM523" s="629"/>
      <c r="AN523" s="633">
        <f>SUM(BProvPrivEnrlmtUnder2233[[#This Row],[K4 H]:[Ungradable Second H]])</f>
        <v>1</v>
      </c>
      <c r="AO523" s="634">
        <v>2</v>
      </c>
      <c r="AP523" s="629" t="s">
        <v>390</v>
      </c>
      <c r="AQ523" s="629" t="str">
        <f>INDEX(TableAFNSchools[North/South of 53rd Parallel &amp; Fly-in = North],MATCH(BProvPrivEnrlmtUnder2233[[#This Row],[Band No.]],TableAFNSchools[Band No '#],0))</f>
        <v>South</v>
      </c>
      <c r="AR523" s="629" t="s">
        <v>1405</v>
      </c>
      <c r="AS523" s="629" t="s">
        <v>442</v>
      </c>
      <c r="AT523" s="629" t="str">
        <f>IF(BProvPrivEnrlmtUnder2233[[#This Row],[K4]]="","None",IF(BProvPrivEnrlmtUnder2233[[#This Row],[K4]]&lt;BProvPrivEnrlmtUnder2233[[#This Row],[K4 H]],"Half-day",IF(AND(BProvPrivEnrlmtUnder2233[[#This Row],[K4]]&gt;0,BProvPrivEnrlmtUnder2233[[#This Row],[K4]]=BProvPrivEnrlmtUnder2233[[#This Row],[K4 H]]),"Full-day",0)))</f>
        <v>None</v>
      </c>
      <c r="AU523" s="629" t="str">
        <f>IF(BProvPrivEnrlmtUnder2233[[#This Row],[K5]]="","None",IF(BProvPrivEnrlmtUnder2233[[#This Row],[K5]]&lt;BProvPrivEnrlmtUnder2233[[#This Row],[K5 H]],"Half-day",IF(AND(BProvPrivEnrlmtUnder2233[[#This Row],[K5]]&gt;0,BProvPrivEnrlmtUnder2233[[#This Row],[K5]]=BProvPrivEnrlmtUnder2233[[#This Row],[K5 H]]),"Full-day",0)))</f>
        <v>None</v>
      </c>
      <c r="AV523" s="635">
        <f t="array" ref="AV523">IFERROR(INDEX($J$755:$J$818,MATCH(BProvPrivEnrlmtUnder2233[[#This Row],[Band No.]]&amp;BProvPrivEnrlmtUnder2233[[#This Row],[School No.]],$A$755:$A$818&amp;$E$755:$E$818,0)),0)</f>
        <v>0</v>
      </c>
      <c r="AW523" s="635">
        <f t="array" ref="AW523">IFERROR(INDEX($M$755:$M$818,MATCH(BProvPrivEnrlmtUnder2233[[#This Row],[Band No.]]&amp;BProvPrivEnrlmtUnder2233[[#This Row],[School No.]],$A$755:$A$818&amp;$E$755:$E$818,0)),0)</f>
        <v>0</v>
      </c>
      <c r="AX523" s="624">
        <f t="array" ref="AX523">IFERROR(INDEX($I$755:$I$818,MATCH(BProvPrivEnrlmtUnder2233[[#This Row],[Band No.]]&amp;BProvPrivEnrlmtUnder2233[[#This Row],[School No.]],$A$755:$A$818&amp;$E$755:$E$818,0)),0)</f>
        <v>0</v>
      </c>
      <c r="AY523" s="630">
        <f t="array" ref="AY523">IFERROR(INDEX($K$755:$K$818,MATCH(BProvPrivEnrlmtUnder2233[[#This Row],[Band No.]]&amp;BProvPrivEnrlmtUnder2233[[#This Row],[School No.]],$A$755:$A$818&amp;$E$755:$E$818,0)),0)</f>
        <v>0</v>
      </c>
      <c r="AZ523" s="637">
        <f t="array" ref="AZ523">IFERROR(INDEX($O$755:$O$818,MATCH(BProvPrivEnrlmtUnder2233[[#This Row],[Band No.]]&amp;BProvPrivEnrlmtUnder2233[[#This Row],[School No.]],$A$755:$A$818&amp;$E$755:$E$818,0)),0)</f>
        <v>1</v>
      </c>
      <c r="BA523" s="637">
        <f t="array" ref="BA523">IFERROR(INDEX($R$755:$R$818,MATCH(BProvPrivEnrlmtUnder2233[[#This Row],[Band No.]]&amp;BProvPrivEnrlmtUnder2233[[#This Row],[School No.]],$A$755:$A$818&amp;$E$755:$E$818,0)),0)</f>
        <v>0</v>
      </c>
      <c r="BB523" s="637">
        <f t="array" ref="BB523">IFERROR(INDEX($N$755:$N$818,MATCH(BProvPrivEnrlmtUnder2233[[#This Row],[Band No.]]&amp;BProvPrivEnrlmtUnder2233[[#This Row],[School No.]],$A$755:$A$818&amp;$E$755:$E$818,0)),0)</f>
        <v>0</v>
      </c>
      <c r="BC523" s="637">
        <f t="array" ref="BC523">IFERROR(INDEX($P$755:$P$818,MATCH(BProvPrivEnrlmtUnder2233[[#This Row],[Band No.]]&amp;BProvPrivEnrlmtUnder2233[[#This Row],[School No.]],$A$755:$A$818&amp;$E$755:$E$818,0)),0)</f>
        <v>0</v>
      </c>
    </row>
    <row r="524" spans="1:55" s="624" customFormat="1" hidden="1">
      <c r="A524" s="629">
        <v>275</v>
      </c>
      <c r="B524" s="629" t="s">
        <v>390</v>
      </c>
      <c r="C524" s="629" t="s">
        <v>1413</v>
      </c>
      <c r="D524" s="629" t="s">
        <v>1414</v>
      </c>
      <c r="E524" s="629" t="s">
        <v>1377</v>
      </c>
      <c r="F524" s="624" t="s">
        <v>1013</v>
      </c>
      <c r="G524" s="629"/>
      <c r="H524" s="629">
        <v>1.5</v>
      </c>
      <c r="I524" s="629">
        <v>2</v>
      </c>
      <c r="J524" s="629"/>
      <c r="K524" s="629">
        <v>1</v>
      </c>
      <c r="L524" s="629">
        <v>1</v>
      </c>
      <c r="M524" s="629">
        <v>3</v>
      </c>
      <c r="N524" s="629"/>
      <c r="O524" s="629">
        <v>1</v>
      </c>
      <c r="P524" s="629">
        <v>1</v>
      </c>
      <c r="Q524" s="630"/>
      <c r="R524" s="631"/>
      <c r="S524" s="631"/>
      <c r="T524" s="631"/>
      <c r="U524" s="631"/>
      <c r="V524" s="629"/>
      <c r="W524" s="632">
        <f>SUM(BProvPrivEnrlmtUnder2233[[#This Row],[K4]:[Ungradable Second FTE]])</f>
        <v>10.5</v>
      </c>
      <c r="X524" s="629"/>
      <c r="Y524" s="629">
        <v>3</v>
      </c>
      <c r="Z524" s="629">
        <v>2</v>
      </c>
      <c r="AA524" s="629"/>
      <c r="AB524" s="629">
        <v>1</v>
      </c>
      <c r="AC524" s="629">
        <v>1</v>
      </c>
      <c r="AD524" s="629">
        <v>3</v>
      </c>
      <c r="AE524" s="629"/>
      <c r="AF524" s="629">
        <v>1</v>
      </c>
      <c r="AG524" s="629">
        <v>1</v>
      </c>
      <c r="AH524" s="630"/>
      <c r="AI524" s="631"/>
      <c r="AJ524" s="631"/>
      <c r="AK524" s="631"/>
      <c r="AL524" s="631"/>
      <c r="AM524" s="629"/>
      <c r="AN524" s="633">
        <f>SUM(BProvPrivEnrlmtUnder2233[[#This Row],[K4 H]:[Ungradable Second H]])</f>
        <v>12</v>
      </c>
      <c r="AO524" s="634">
        <v>2</v>
      </c>
      <c r="AP524" s="629" t="s">
        <v>390</v>
      </c>
      <c r="AQ524" s="629" t="str">
        <f>INDEX(TableAFNSchools[North/South of 53rd Parallel &amp; Fly-in = North],MATCH(BProvPrivEnrlmtUnder2233[[#This Row],[Band No.]],TableAFNSchools[Band No '#],0))</f>
        <v>South</v>
      </c>
      <c r="AR524" s="629" t="s">
        <v>1233</v>
      </c>
      <c r="AS524" s="629" t="s">
        <v>442</v>
      </c>
      <c r="AT524" s="629" t="str">
        <f>IF(BProvPrivEnrlmtUnder2233[[#This Row],[K4]]="","None",IF(BProvPrivEnrlmtUnder2233[[#This Row],[K4]]&lt;BProvPrivEnrlmtUnder2233[[#This Row],[K4 H]],"Half-day",IF(AND(BProvPrivEnrlmtUnder2233[[#This Row],[K4]]&gt;0,BProvPrivEnrlmtUnder2233[[#This Row],[K4]]=BProvPrivEnrlmtUnder2233[[#This Row],[K4 H]]),"Full-day",0)))</f>
        <v>None</v>
      </c>
      <c r="AU524" s="629" t="str">
        <f>IF(BProvPrivEnrlmtUnder2233[[#This Row],[K5]]="","None",IF(BProvPrivEnrlmtUnder2233[[#This Row],[K5]]&lt;BProvPrivEnrlmtUnder2233[[#This Row],[K5 H]],"Half-day",IF(AND(BProvPrivEnrlmtUnder2233[[#This Row],[K5]]&gt;0,BProvPrivEnrlmtUnder2233[[#This Row],[K5]]=BProvPrivEnrlmtUnder2233[[#This Row],[K5 H]]),"Full-day",0)))</f>
        <v>Half-day</v>
      </c>
      <c r="AV524" s="635">
        <f t="array" ref="AV524">IFERROR(INDEX($J$755:$J$818,MATCH(BProvPrivEnrlmtUnder2233[[#This Row],[Band No.]]&amp;BProvPrivEnrlmtUnder2233[[#This Row],[School No.]],$A$755:$A$818&amp;$E$755:$E$818,0)),0)</f>
        <v>0</v>
      </c>
      <c r="AW524" s="635">
        <f t="array" ref="AW524">IFERROR(INDEX($M$755:$M$818,MATCH(BProvPrivEnrlmtUnder2233[[#This Row],[Band No.]]&amp;BProvPrivEnrlmtUnder2233[[#This Row],[School No.]],$A$755:$A$818&amp;$E$755:$E$818,0)),0)</f>
        <v>0</v>
      </c>
      <c r="AX524" s="624">
        <f t="array" ref="AX524">IFERROR(INDEX($I$755:$I$818,MATCH(BProvPrivEnrlmtUnder2233[[#This Row],[Band No.]]&amp;BProvPrivEnrlmtUnder2233[[#This Row],[School No.]],$A$755:$A$818&amp;$E$755:$E$818,0)),0)</f>
        <v>0</v>
      </c>
      <c r="AY524" s="630">
        <f t="array" ref="AY524">IFERROR(INDEX($K$755:$K$818,MATCH(BProvPrivEnrlmtUnder2233[[#This Row],[Band No.]]&amp;BProvPrivEnrlmtUnder2233[[#This Row],[School No.]],$A$755:$A$818&amp;$E$755:$E$818,0)),0)</f>
        <v>0</v>
      </c>
      <c r="AZ524" s="637">
        <f t="array" ref="AZ524">IFERROR(INDEX($O$755:$O$818,MATCH(BProvPrivEnrlmtUnder2233[[#This Row],[Band No.]]&amp;BProvPrivEnrlmtUnder2233[[#This Row],[School No.]],$A$755:$A$818&amp;$E$755:$E$818,0)),0)</f>
        <v>0</v>
      </c>
      <c r="BA524" s="637">
        <f t="array" ref="BA524">IFERROR(INDEX($R$755:$R$818,MATCH(BProvPrivEnrlmtUnder2233[[#This Row],[Band No.]]&amp;BProvPrivEnrlmtUnder2233[[#This Row],[School No.]],$A$755:$A$818&amp;$E$755:$E$818,0)),0)</f>
        <v>0</v>
      </c>
      <c r="BB524" s="637">
        <f t="array" ref="BB524">IFERROR(INDEX($N$755:$N$818,MATCH(BProvPrivEnrlmtUnder2233[[#This Row],[Band No.]]&amp;BProvPrivEnrlmtUnder2233[[#This Row],[School No.]],$A$755:$A$818&amp;$E$755:$E$818,0)),0)</f>
        <v>0</v>
      </c>
      <c r="BC524" s="637">
        <f t="array" ref="BC524">IFERROR(INDEX($P$755:$P$818,MATCH(BProvPrivEnrlmtUnder2233[[#This Row],[Band No.]]&amp;BProvPrivEnrlmtUnder2233[[#This Row],[School No.]],$A$755:$A$818&amp;$E$755:$E$818,0)),0)</f>
        <v>0</v>
      </c>
    </row>
    <row r="525" spans="1:55" s="624" customFormat="1" hidden="1">
      <c r="A525" s="629">
        <v>275</v>
      </c>
      <c r="B525" s="629" t="s">
        <v>390</v>
      </c>
      <c r="C525" s="629" t="s">
        <v>1011</v>
      </c>
      <c r="D525" s="629" t="s">
        <v>1415</v>
      </c>
      <c r="E525" s="629" t="s">
        <v>1363</v>
      </c>
      <c r="F525" s="624" t="s">
        <v>1013</v>
      </c>
      <c r="G525" s="629"/>
      <c r="H525" s="629"/>
      <c r="I525" s="629"/>
      <c r="J525" s="629"/>
      <c r="K525" s="629"/>
      <c r="L525" s="629"/>
      <c r="M525" s="629"/>
      <c r="N525" s="629"/>
      <c r="O525" s="629"/>
      <c r="P525" s="629"/>
      <c r="Q525" s="630"/>
      <c r="R525" s="631"/>
      <c r="S525" s="631"/>
      <c r="T525" s="631"/>
      <c r="U525" s="631">
        <v>1</v>
      </c>
      <c r="V525" s="629"/>
      <c r="W525" s="632">
        <f>SUM(BProvPrivEnrlmtUnder2233[[#This Row],[K4]:[Ungradable Second FTE]])</f>
        <v>1</v>
      </c>
      <c r="X525" s="629"/>
      <c r="Y525" s="629"/>
      <c r="Z525" s="629"/>
      <c r="AA525" s="629"/>
      <c r="AB525" s="629"/>
      <c r="AC525" s="629"/>
      <c r="AD525" s="629"/>
      <c r="AE525" s="629"/>
      <c r="AF525" s="629"/>
      <c r="AG525" s="629"/>
      <c r="AH525" s="630"/>
      <c r="AI525" s="631"/>
      <c r="AJ525" s="631"/>
      <c r="AK525" s="631"/>
      <c r="AL525" s="631">
        <v>1</v>
      </c>
      <c r="AM525" s="629"/>
      <c r="AN525" s="633">
        <f>SUM(BProvPrivEnrlmtUnder2233[[#This Row],[K4 H]:[Ungradable Second H]])</f>
        <v>1</v>
      </c>
      <c r="AO525" s="634">
        <v>10</v>
      </c>
      <c r="AP525" s="629" t="s">
        <v>390</v>
      </c>
      <c r="AQ525" s="629" t="str">
        <f>INDEX(TableAFNSchools[North/South of 53rd Parallel &amp; Fly-in = North],MATCH(BProvPrivEnrlmtUnder2233[[#This Row],[Band No.]],TableAFNSchools[Band No '#],0))</f>
        <v>South</v>
      </c>
      <c r="AR525" s="629" t="s">
        <v>1233</v>
      </c>
      <c r="AS525" s="629" t="s">
        <v>442</v>
      </c>
      <c r="AT525" s="629" t="str">
        <f>IF(BProvPrivEnrlmtUnder2233[[#This Row],[K4]]="","None",IF(BProvPrivEnrlmtUnder2233[[#This Row],[K4]]&lt;BProvPrivEnrlmtUnder2233[[#This Row],[K4 H]],"Half-day",IF(AND(BProvPrivEnrlmtUnder2233[[#This Row],[K4]]&gt;0,BProvPrivEnrlmtUnder2233[[#This Row],[K4]]=BProvPrivEnrlmtUnder2233[[#This Row],[K4 H]]),"Full-day",0)))</f>
        <v>None</v>
      </c>
      <c r="AU525" s="629" t="str">
        <f>IF(BProvPrivEnrlmtUnder2233[[#This Row],[K5]]="","None",IF(BProvPrivEnrlmtUnder2233[[#This Row],[K5]]&lt;BProvPrivEnrlmtUnder2233[[#This Row],[K5 H]],"Half-day",IF(AND(BProvPrivEnrlmtUnder2233[[#This Row],[K5]]&gt;0,BProvPrivEnrlmtUnder2233[[#This Row],[K5]]=BProvPrivEnrlmtUnder2233[[#This Row],[K5 H]]),"Full-day",0)))</f>
        <v>None</v>
      </c>
      <c r="AV525" s="635">
        <f t="array" ref="AV525">IFERROR(INDEX($J$755:$J$818,MATCH(BProvPrivEnrlmtUnder2233[[#This Row],[Band No.]]&amp;BProvPrivEnrlmtUnder2233[[#This Row],[School No.]],$A$755:$A$818&amp;$E$755:$E$818,0)),0)</f>
        <v>0</v>
      </c>
      <c r="AW525" s="635">
        <f t="array" ref="AW525">IFERROR(INDEX($M$755:$M$818,MATCH(BProvPrivEnrlmtUnder2233[[#This Row],[Band No.]]&amp;BProvPrivEnrlmtUnder2233[[#This Row],[School No.]],$A$755:$A$818&amp;$E$755:$E$818,0)),0)</f>
        <v>0</v>
      </c>
      <c r="AX525" s="624">
        <f t="array" ref="AX525">IFERROR(INDEX($I$755:$I$818,MATCH(BProvPrivEnrlmtUnder2233[[#This Row],[Band No.]]&amp;BProvPrivEnrlmtUnder2233[[#This Row],[School No.]],$A$755:$A$818&amp;$E$755:$E$818,0)),0)</f>
        <v>0</v>
      </c>
      <c r="AY525" s="630">
        <f t="array" ref="AY525">IFERROR(INDEX($K$755:$K$818,MATCH(BProvPrivEnrlmtUnder2233[[#This Row],[Band No.]]&amp;BProvPrivEnrlmtUnder2233[[#This Row],[School No.]],$A$755:$A$818&amp;$E$755:$E$818,0)),0)</f>
        <v>0</v>
      </c>
      <c r="AZ525" s="637">
        <f t="array" ref="AZ525">IFERROR(INDEX($O$755:$O$818,MATCH(BProvPrivEnrlmtUnder2233[[#This Row],[Band No.]]&amp;BProvPrivEnrlmtUnder2233[[#This Row],[School No.]],$A$755:$A$818&amp;$E$755:$E$818,0)),0)</f>
        <v>1</v>
      </c>
      <c r="BA525" s="637">
        <f t="array" ref="BA525">IFERROR(INDEX($R$755:$R$818,MATCH(BProvPrivEnrlmtUnder2233[[#This Row],[Band No.]]&amp;BProvPrivEnrlmtUnder2233[[#This Row],[School No.]],$A$755:$A$818&amp;$E$755:$E$818,0)),0)</f>
        <v>0</v>
      </c>
      <c r="BB525" s="637">
        <f t="array" ref="BB525">IFERROR(INDEX($N$755:$N$818,MATCH(BProvPrivEnrlmtUnder2233[[#This Row],[Band No.]]&amp;BProvPrivEnrlmtUnder2233[[#This Row],[School No.]],$A$755:$A$818&amp;$E$755:$E$818,0)),0)</f>
        <v>0</v>
      </c>
      <c r="BC525" s="637">
        <f t="array" ref="BC525">IFERROR(INDEX($P$755:$P$818,MATCH(BProvPrivEnrlmtUnder2233[[#This Row],[Band No.]]&amp;BProvPrivEnrlmtUnder2233[[#This Row],[School No.]],$A$755:$A$818&amp;$E$755:$E$818,0)),0)</f>
        <v>0</v>
      </c>
    </row>
    <row r="526" spans="1:55" s="624" customFormat="1" hidden="1">
      <c r="A526" s="629">
        <v>275</v>
      </c>
      <c r="B526" s="629" t="s">
        <v>390</v>
      </c>
      <c r="C526" s="629" t="s">
        <v>1056</v>
      </c>
      <c r="D526" s="629" t="s">
        <v>978</v>
      </c>
      <c r="E526" s="629" t="s">
        <v>1367</v>
      </c>
      <c r="F526" s="624" t="s">
        <v>1013</v>
      </c>
      <c r="G526" s="629"/>
      <c r="H526" s="629"/>
      <c r="I526" s="629"/>
      <c r="J526" s="629"/>
      <c r="K526" s="629"/>
      <c r="L526" s="629"/>
      <c r="M526" s="629"/>
      <c r="N526" s="629"/>
      <c r="O526" s="629"/>
      <c r="P526" s="629"/>
      <c r="Q526" s="630"/>
      <c r="R526" s="631"/>
      <c r="S526" s="631"/>
      <c r="T526" s="631">
        <v>1</v>
      </c>
      <c r="U526" s="631"/>
      <c r="V526" s="629"/>
      <c r="W526" s="632">
        <f>SUM(BProvPrivEnrlmtUnder2233[[#This Row],[K4]:[Ungradable Second FTE]])</f>
        <v>1</v>
      </c>
      <c r="X526" s="629"/>
      <c r="Y526" s="629"/>
      <c r="Z526" s="629"/>
      <c r="AA526" s="629"/>
      <c r="AB526" s="629"/>
      <c r="AC526" s="629"/>
      <c r="AD526" s="629"/>
      <c r="AE526" s="629"/>
      <c r="AF526" s="629"/>
      <c r="AG526" s="629"/>
      <c r="AH526" s="630"/>
      <c r="AI526" s="631"/>
      <c r="AJ526" s="631"/>
      <c r="AK526" s="631">
        <v>1</v>
      </c>
      <c r="AL526" s="631"/>
      <c r="AM526" s="629"/>
      <c r="AN526" s="633">
        <f>SUM(BProvPrivEnrlmtUnder2233[[#This Row],[K4 H]:[Ungradable Second H]])</f>
        <v>1</v>
      </c>
      <c r="AO526" s="634">
        <v>3</v>
      </c>
      <c r="AP526" s="629" t="s">
        <v>390</v>
      </c>
      <c r="AQ526" s="629" t="str">
        <f>INDEX(TableAFNSchools[North/South of 53rd Parallel &amp; Fly-in = North],MATCH(BProvPrivEnrlmtUnder2233[[#This Row],[Band No.]],TableAFNSchools[Band No '#],0))</f>
        <v>South</v>
      </c>
      <c r="AR526" s="629" t="s">
        <v>1388</v>
      </c>
      <c r="AS526" s="629" t="s">
        <v>442</v>
      </c>
      <c r="AT526" s="629" t="str">
        <f>IF(BProvPrivEnrlmtUnder2233[[#This Row],[K4]]="","None",IF(BProvPrivEnrlmtUnder2233[[#This Row],[K4]]&lt;BProvPrivEnrlmtUnder2233[[#This Row],[K4 H]],"Half-day",IF(AND(BProvPrivEnrlmtUnder2233[[#This Row],[K4]]&gt;0,BProvPrivEnrlmtUnder2233[[#This Row],[K4]]=BProvPrivEnrlmtUnder2233[[#This Row],[K4 H]]),"Full-day",0)))</f>
        <v>None</v>
      </c>
      <c r="AU526" s="629" t="str">
        <f>IF(BProvPrivEnrlmtUnder2233[[#This Row],[K5]]="","None",IF(BProvPrivEnrlmtUnder2233[[#This Row],[K5]]&lt;BProvPrivEnrlmtUnder2233[[#This Row],[K5 H]],"Half-day",IF(AND(BProvPrivEnrlmtUnder2233[[#This Row],[K5]]&gt;0,BProvPrivEnrlmtUnder2233[[#This Row],[K5]]=BProvPrivEnrlmtUnder2233[[#This Row],[K5 H]]),"Full-day",0)))</f>
        <v>None</v>
      </c>
      <c r="AV526" s="635">
        <f t="array" ref="AV526">IFERROR(INDEX($J$755:$J$818,MATCH(BProvPrivEnrlmtUnder2233[[#This Row],[Band No.]]&amp;BProvPrivEnrlmtUnder2233[[#This Row],[School No.]],$A$755:$A$818&amp;$E$755:$E$818,0)),0)</f>
        <v>1</v>
      </c>
      <c r="AW526" s="635">
        <f t="array" ref="AW526">IFERROR(INDEX($M$755:$M$818,MATCH(BProvPrivEnrlmtUnder2233[[#This Row],[Band No.]]&amp;BProvPrivEnrlmtUnder2233[[#This Row],[School No.]],$A$755:$A$818&amp;$E$755:$E$818,0)),0)</f>
        <v>0</v>
      </c>
      <c r="AX526" s="624">
        <f t="array" ref="AX526">IFERROR(INDEX($I$755:$I$818,MATCH(BProvPrivEnrlmtUnder2233[[#This Row],[Band No.]]&amp;BProvPrivEnrlmtUnder2233[[#This Row],[School No.]],$A$755:$A$818&amp;$E$755:$E$818,0)),0)</f>
        <v>0</v>
      </c>
      <c r="AY526" s="630">
        <f t="array" ref="AY526">IFERROR(INDEX($K$755:$K$818,MATCH(BProvPrivEnrlmtUnder2233[[#This Row],[Band No.]]&amp;BProvPrivEnrlmtUnder2233[[#This Row],[School No.]],$A$755:$A$818&amp;$E$755:$E$818,0)),0)</f>
        <v>0</v>
      </c>
      <c r="AZ526" s="637">
        <f t="array" ref="AZ526">IFERROR(INDEX($O$755:$O$818,MATCH(BProvPrivEnrlmtUnder2233[[#This Row],[Band No.]]&amp;BProvPrivEnrlmtUnder2233[[#This Row],[School No.]],$A$755:$A$818&amp;$E$755:$E$818,0)),0)</f>
        <v>0</v>
      </c>
      <c r="BA526" s="637">
        <f t="array" ref="BA526">IFERROR(INDEX($R$755:$R$818,MATCH(BProvPrivEnrlmtUnder2233[[#This Row],[Band No.]]&amp;BProvPrivEnrlmtUnder2233[[#This Row],[School No.]],$A$755:$A$818&amp;$E$755:$E$818,0)),0)</f>
        <v>0</v>
      </c>
      <c r="BB526" s="637">
        <f t="array" ref="BB526">IFERROR(INDEX($N$755:$N$818,MATCH(BProvPrivEnrlmtUnder2233[[#This Row],[Band No.]]&amp;BProvPrivEnrlmtUnder2233[[#This Row],[School No.]],$A$755:$A$818&amp;$E$755:$E$818,0)),0)</f>
        <v>0</v>
      </c>
      <c r="BC526" s="637">
        <f t="array" ref="BC526">IFERROR(INDEX($P$755:$P$818,MATCH(BProvPrivEnrlmtUnder2233[[#This Row],[Band No.]]&amp;BProvPrivEnrlmtUnder2233[[#This Row],[School No.]],$A$755:$A$818&amp;$E$755:$E$818,0)),0)</f>
        <v>0</v>
      </c>
    </row>
    <row r="527" spans="1:55" s="624" customFormat="1" hidden="1">
      <c r="A527" s="629">
        <v>275</v>
      </c>
      <c r="B527" s="629" t="s">
        <v>390</v>
      </c>
      <c r="C527" s="629" t="s">
        <v>1389</v>
      </c>
      <c r="D527" s="629" t="s">
        <v>1390</v>
      </c>
      <c r="E527" s="629" t="s">
        <v>1367</v>
      </c>
      <c r="F527" s="624" t="s">
        <v>1013</v>
      </c>
      <c r="G527" s="629"/>
      <c r="H527" s="629"/>
      <c r="I527" s="629"/>
      <c r="J527" s="629"/>
      <c r="K527" s="629"/>
      <c r="L527" s="629"/>
      <c r="M527" s="629"/>
      <c r="N527" s="629"/>
      <c r="O527" s="629"/>
      <c r="P527" s="629"/>
      <c r="Q527" s="630"/>
      <c r="R527" s="631"/>
      <c r="S527" s="631">
        <v>1</v>
      </c>
      <c r="T527" s="631">
        <v>1</v>
      </c>
      <c r="U527" s="631"/>
      <c r="V527" s="629"/>
      <c r="W527" s="632">
        <f>SUM(BProvPrivEnrlmtUnder2233[[#This Row],[K4]:[Ungradable Second FTE]])</f>
        <v>2</v>
      </c>
      <c r="X527" s="629"/>
      <c r="Y527" s="629"/>
      <c r="Z527" s="629"/>
      <c r="AA527" s="629"/>
      <c r="AB527" s="629"/>
      <c r="AC527" s="629"/>
      <c r="AD527" s="629"/>
      <c r="AE527" s="629"/>
      <c r="AF527" s="629"/>
      <c r="AG527" s="629"/>
      <c r="AH527" s="630"/>
      <c r="AI527" s="631"/>
      <c r="AJ527" s="631">
        <v>1</v>
      </c>
      <c r="AK527" s="631">
        <v>1</v>
      </c>
      <c r="AL527" s="631"/>
      <c r="AM527" s="629"/>
      <c r="AN527" s="633">
        <f>SUM(BProvPrivEnrlmtUnder2233[[#This Row],[K4 H]:[Ungradable Second H]])</f>
        <v>2</v>
      </c>
      <c r="AO527" s="634">
        <v>7</v>
      </c>
      <c r="AP527" s="629" t="s">
        <v>390</v>
      </c>
      <c r="AQ527" s="629" t="str">
        <f>INDEX(TableAFNSchools[North/South of 53rd Parallel &amp; Fly-in = North],MATCH(BProvPrivEnrlmtUnder2233[[#This Row],[Band No.]],TableAFNSchools[Band No '#],0))</f>
        <v>South</v>
      </c>
      <c r="AR527" s="629" t="s">
        <v>862</v>
      </c>
      <c r="AS527" s="629" t="s">
        <v>442</v>
      </c>
      <c r="AT527" s="629" t="str">
        <f>IF(BProvPrivEnrlmtUnder2233[[#This Row],[K4]]="","None",IF(BProvPrivEnrlmtUnder2233[[#This Row],[K4]]&lt;BProvPrivEnrlmtUnder2233[[#This Row],[K4 H]],"Half-day",IF(AND(BProvPrivEnrlmtUnder2233[[#This Row],[K4]]&gt;0,BProvPrivEnrlmtUnder2233[[#This Row],[K4]]=BProvPrivEnrlmtUnder2233[[#This Row],[K4 H]]),"Full-day",0)))</f>
        <v>None</v>
      </c>
      <c r="AU527" s="629" t="str">
        <f>IF(BProvPrivEnrlmtUnder2233[[#This Row],[K5]]="","None",IF(BProvPrivEnrlmtUnder2233[[#This Row],[K5]]&lt;BProvPrivEnrlmtUnder2233[[#This Row],[K5 H]],"Half-day",IF(AND(BProvPrivEnrlmtUnder2233[[#This Row],[K5]]&gt;0,BProvPrivEnrlmtUnder2233[[#This Row],[K5]]=BProvPrivEnrlmtUnder2233[[#This Row],[K5 H]]),"Full-day",0)))</f>
        <v>None</v>
      </c>
      <c r="AV527" s="635">
        <f t="array" ref="AV527">IFERROR(INDEX($J$755:$J$818,MATCH(BProvPrivEnrlmtUnder2233[[#This Row],[Band No.]]&amp;BProvPrivEnrlmtUnder2233[[#This Row],[School No.]],$A$755:$A$818&amp;$E$755:$E$818,0)),0)</f>
        <v>2</v>
      </c>
      <c r="AW527" s="635">
        <f t="array" ref="AW527">IFERROR(INDEX($M$755:$M$818,MATCH(BProvPrivEnrlmtUnder2233[[#This Row],[Band No.]]&amp;BProvPrivEnrlmtUnder2233[[#This Row],[School No.]],$A$755:$A$818&amp;$E$755:$E$818,0)),0)</f>
        <v>0</v>
      </c>
      <c r="AX527" s="624">
        <f t="array" ref="AX527">IFERROR(INDEX($I$755:$I$818,MATCH(BProvPrivEnrlmtUnder2233[[#This Row],[Band No.]]&amp;BProvPrivEnrlmtUnder2233[[#This Row],[School No.]],$A$755:$A$818&amp;$E$755:$E$818,0)),0)</f>
        <v>0</v>
      </c>
      <c r="AY527" s="630">
        <f t="array" ref="AY527">IFERROR(INDEX($K$755:$K$818,MATCH(BProvPrivEnrlmtUnder2233[[#This Row],[Band No.]]&amp;BProvPrivEnrlmtUnder2233[[#This Row],[School No.]],$A$755:$A$818&amp;$E$755:$E$818,0)),0)</f>
        <v>0</v>
      </c>
      <c r="AZ527" s="637">
        <f t="array" ref="AZ527">IFERROR(INDEX($O$755:$O$818,MATCH(BProvPrivEnrlmtUnder2233[[#This Row],[Band No.]]&amp;BProvPrivEnrlmtUnder2233[[#This Row],[School No.]],$A$755:$A$818&amp;$E$755:$E$818,0)),0)</f>
        <v>0</v>
      </c>
      <c r="BA527" s="637">
        <f t="array" ref="BA527">IFERROR(INDEX($R$755:$R$818,MATCH(BProvPrivEnrlmtUnder2233[[#This Row],[Band No.]]&amp;BProvPrivEnrlmtUnder2233[[#This Row],[School No.]],$A$755:$A$818&amp;$E$755:$E$818,0)),0)</f>
        <v>0</v>
      </c>
      <c r="BB527" s="637">
        <f t="array" ref="BB527">IFERROR(INDEX($N$755:$N$818,MATCH(BProvPrivEnrlmtUnder2233[[#This Row],[Band No.]]&amp;BProvPrivEnrlmtUnder2233[[#This Row],[School No.]],$A$755:$A$818&amp;$E$755:$E$818,0)),0)</f>
        <v>0</v>
      </c>
      <c r="BC527" s="637">
        <f t="array" ref="BC527">IFERROR(INDEX($P$755:$P$818,MATCH(BProvPrivEnrlmtUnder2233[[#This Row],[Band No.]]&amp;BProvPrivEnrlmtUnder2233[[#This Row],[School No.]],$A$755:$A$818&amp;$E$755:$E$818,0)),0)</f>
        <v>0</v>
      </c>
    </row>
    <row r="528" spans="1:55" s="624" customFormat="1" hidden="1">
      <c r="A528" s="629">
        <v>275</v>
      </c>
      <c r="B528" s="629" t="s">
        <v>390</v>
      </c>
      <c r="C528" s="629" t="s">
        <v>1060</v>
      </c>
      <c r="D528" s="629" t="s">
        <v>969</v>
      </c>
      <c r="E528" s="629" t="s">
        <v>1355</v>
      </c>
      <c r="F528" s="624" t="s">
        <v>1013</v>
      </c>
      <c r="G528" s="629"/>
      <c r="H528" s="629"/>
      <c r="I528" s="629"/>
      <c r="J528" s="629"/>
      <c r="K528" s="629"/>
      <c r="L528" s="629"/>
      <c r="M528" s="629"/>
      <c r="N528" s="629"/>
      <c r="O528" s="629"/>
      <c r="P528" s="629"/>
      <c r="Q528" s="630"/>
      <c r="R528" s="631"/>
      <c r="S528" s="631"/>
      <c r="T528" s="631">
        <v>1</v>
      </c>
      <c r="U528" s="631">
        <v>1</v>
      </c>
      <c r="V528" s="629">
        <v>1</v>
      </c>
      <c r="W528" s="632">
        <f>SUM(BProvPrivEnrlmtUnder2233[[#This Row],[K4]:[Ungradable Second FTE]])</f>
        <v>3</v>
      </c>
      <c r="X528" s="629"/>
      <c r="Y528" s="629"/>
      <c r="Z528" s="629"/>
      <c r="AA528" s="629"/>
      <c r="AB528" s="629"/>
      <c r="AC528" s="629"/>
      <c r="AD528" s="629"/>
      <c r="AE528" s="629"/>
      <c r="AF528" s="629"/>
      <c r="AG528" s="629"/>
      <c r="AH528" s="630"/>
      <c r="AI528" s="631"/>
      <c r="AJ528" s="631"/>
      <c r="AK528" s="631">
        <v>1</v>
      </c>
      <c r="AL528" s="631">
        <v>1</v>
      </c>
      <c r="AM528" s="629">
        <v>1</v>
      </c>
      <c r="AN528" s="633">
        <f>SUM(BProvPrivEnrlmtUnder2233[[#This Row],[K4 H]:[Ungradable Second H]])</f>
        <v>3</v>
      </c>
      <c r="AO528" s="634">
        <v>2</v>
      </c>
      <c r="AP528" s="629" t="s">
        <v>390</v>
      </c>
      <c r="AQ528" s="629" t="str">
        <f>INDEX(TableAFNSchools[North/South of 53rd Parallel &amp; Fly-in = North],MATCH(BProvPrivEnrlmtUnder2233[[#This Row],[Band No.]],TableAFNSchools[Band No '#],0))</f>
        <v>South</v>
      </c>
      <c r="AR528" s="629" t="s">
        <v>1233</v>
      </c>
      <c r="AS528" s="629" t="s">
        <v>442</v>
      </c>
      <c r="AT528" s="629" t="str">
        <f>IF(BProvPrivEnrlmtUnder2233[[#This Row],[K4]]="","None",IF(BProvPrivEnrlmtUnder2233[[#This Row],[K4]]&lt;BProvPrivEnrlmtUnder2233[[#This Row],[K4 H]],"Half-day",IF(AND(BProvPrivEnrlmtUnder2233[[#This Row],[K4]]&gt;0,BProvPrivEnrlmtUnder2233[[#This Row],[K4]]=BProvPrivEnrlmtUnder2233[[#This Row],[K4 H]]),"Full-day",0)))</f>
        <v>None</v>
      </c>
      <c r="AU528" s="629" t="str">
        <f>IF(BProvPrivEnrlmtUnder2233[[#This Row],[K5]]="","None",IF(BProvPrivEnrlmtUnder2233[[#This Row],[K5]]&lt;BProvPrivEnrlmtUnder2233[[#This Row],[K5 H]],"Half-day",IF(AND(BProvPrivEnrlmtUnder2233[[#This Row],[K5]]&gt;0,BProvPrivEnrlmtUnder2233[[#This Row],[K5]]=BProvPrivEnrlmtUnder2233[[#This Row],[K5 H]]),"Full-day",0)))</f>
        <v>None</v>
      </c>
      <c r="AV528" s="635">
        <f t="array" ref="AV528">IFERROR(INDEX($J$755:$J$818,MATCH(BProvPrivEnrlmtUnder2233[[#This Row],[Band No.]]&amp;BProvPrivEnrlmtUnder2233[[#This Row],[School No.]],$A$755:$A$818&amp;$E$755:$E$818,0)),0)</f>
        <v>1</v>
      </c>
      <c r="AW528" s="635">
        <f t="array" ref="AW528">IFERROR(INDEX($M$755:$M$818,MATCH(BProvPrivEnrlmtUnder2233[[#This Row],[Band No.]]&amp;BProvPrivEnrlmtUnder2233[[#This Row],[School No.]],$A$755:$A$818&amp;$E$755:$E$818,0)),0)</f>
        <v>0</v>
      </c>
      <c r="AX528" s="624">
        <f t="array" ref="AX528">IFERROR(INDEX($I$755:$I$818,MATCH(BProvPrivEnrlmtUnder2233[[#This Row],[Band No.]]&amp;BProvPrivEnrlmtUnder2233[[#This Row],[School No.]],$A$755:$A$818&amp;$E$755:$E$818,0)),0)</f>
        <v>0</v>
      </c>
      <c r="AY528" s="630">
        <f t="array" ref="AY528">IFERROR(INDEX($K$755:$K$818,MATCH(BProvPrivEnrlmtUnder2233[[#This Row],[Band No.]]&amp;BProvPrivEnrlmtUnder2233[[#This Row],[School No.]],$A$755:$A$818&amp;$E$755:$E$818,0)),0)</f>
        <v>0</v>
      </c>
      <c r="AZ528" s="637">
        <f t="array" ref="AZ528">IFERROR(INDEX($O$755:$O$818,MATCH(BProvPrivEnrlmtUnder2233[[#This Row],[Band No.]]&amp;BProvPrivEnrlmtUnder2233[[#This Row],[School No.]],$A$755:$A$818&amp;$E$755:$E$818,0)),0)</f>
        <v>2</v>
      </c>
      <c r="BA528" s="637">
        <f t="array" ref="BA528">IFERROR(INDEX($R$755:$R$818,MATCH(BProvPrivEnrlmtUnder2233[[#This Row],[Band No.]]&amp;BProvPrivEnrlmtUnder2233[[#This Row],[School No.]],$A$755:$A$818&amp;$E$755:$E$818,0)),0)</f>
        <v>0</v>
      </c>
      <c r="BB528" s="637">
        <f t="array" ref="BB528">IFERROR(INDEX($N$755:$N$818,MATCH(BProvPrivEnrlmtUnder2233[[#This Row],[Band No.]]&amp;BProvPrivEnrlmtUnder2233[[#This Row],[School No.]],$A$755:$A$818&amp;$E$755:$E$818,0)),0)</f>
        <v>0</v>
      </c>
      <c r="BC528" s="637">
        <f t="array" ref="BC528">IFERROR(INDEX($P$755:$P$818,MATCH(BProvPrivEnrlmtUnder2233[[#This Row],[Band No.]]&amp;BProvPrivEnrlmtUnder2233[[#This Row],[School No.]],$A$755:$A$818&amp;$E$755:$E$818,0)),0)</f>
        <v>0</v>
      </c>
    </row>
    <row r="529" spans="1:55" s="624" customFormat="1" hidden="1">
      <c r="A529" s="629">
        <v>275</v>
      </c>
      <c r="B529" s="629" t="s">
        <v>390</v>
      </c>
      <c r="C529" s="629" t="s">
        <v>1062</v>
      </c>
      <c r="D529" s="629" t="s">
        <v>976</v>
      </c>
      <c r="E529" s="629" t="s">
        <v>1363</v>
      </c>
      <c r="F529" s="624" t="s">
        <v>1013</v>
      </c>
      <c r="G529" s="629"/>
      <c r="H529" s="629"/>
      <c r="I529" s="629"/>
      <c r="J529" s="629"/>
      <c r="K529" s="629"/>
      <c r="L529" s="629"/>
      <c r="M529" s="629"/>
      <c r="N529" s="629"/>
      <c r="O529" s="629"/>
      <c r="P529" s="629"/>
      <c r="Q529" s="630"/>
      <c r="R529" s="631"/>
      <c r="S529" s="631"/>
      <c r="T529" s="631">
        <v>1</v>
      </c>
      <c r="U529" s="631">
        <v>1</v>
      </c>
      <c r="V529" s="629"/>
      <c r="W529" s="632">
        <f>SUM(BProvPrivEnrlmtUnder2233[[#This Row],[K4]:[Ungradable Second FTE]])</f>
        <v>2</v>
      </c>
      <c r="X529" s="629"/>
      <c r="Y529" s="629"/>
      <c r="Z529" s="629"/>
      <c r="AA529" s="629"/>
      <c r="AB529" s="629"/>
      <c r="AC529" s="629"/>
      <c r="AD529" s="629"/>
      <c r="AE529" s="629"/>
      <c r="AF529" s="629"/>
      <c r="AG529" s="629"/>
      <c r="AH529" s="630"/>
      <c r="AI529" s="631"/>
      <c r="AJ529" s="631"/>
      <c r="AK529" s="631">
        <v>1</v>
      </c>
      <c r="AL529" s="631">
        <v>1</v>
      </c>
      <c r="AM529" s="629"/>
      <c r="AN529" s="633">
        <f>SUM(BProvPrivEnrlmtUnder2233[[#This Row],[K4 H]:[Ungradable Second H]])</f>
        <v>2</v>
      </c>
      <c r="AO529" s="634">
        <v>1</v>
      </c>
      <c r="AP529" s="629" t="s">
        <v>390</v>
      </c>
      <c r="AQ529" s="629" t="str">
        <f>INDEX(TableAFNSchools[North/South of 53rd Parallel &amp; Fly-in = North],MATCH(BProvPrivEnrlmtUnder2233[[#This Row],[Band No.]],TableAFNSchools[Band No '#],0))</f>
        <v>South</v>
      </c>
      <c r="AR529" s="629" t="s">
        <v>868</v>
      </c>
      <c r="AS529" s="629" t="s">
        <v>442</v>
      </c>
      <c r="AT529" s="629" t="str">
        <f>IF(BProvPrivEnrlmtUnder2233[[#This Row],[K4]]="","None",IF(BProvPrivEnrlmtUnder2233[[#This Row],[K4]]&lt;BProvPrivEnrlmtUnder2233[[#This Row],[K4 H]],"Half-day",IF(AND(BProvPrivEnrlmtUnder2233[[#This Row],[K4]]&gt;0,BProvPrivEnrlmtUnder2233[[#This Row],[K4]]=BProvPrivEnrlmtUnder2233[[#This Row],[K4 H]]),"Full-day",0)))</f>
        <v>None</v>
      </c>
      <c r="AU529" s="629" t="str">
        <f>IF(BProvPrivEnrlmtUnder2233[[#This Row],[K5]]="","None",IF(BProvPrivEnrlmtUnder2233[[#This Row],[K5]]&lt;BProvPrivEnrlmtUnder2233[[#This Row],[K5 H]],"Half-day",IF(AND(BProvPrivEnrlmtUnder2233[[#This Row],[K5]]&gt;0,BProvPrivEnrlmtUnder2233[[#This Row],[K5]]=BProvPrivEnrlmtUnder2233[[#This Row],[K5 H]]),"Full-day",0)))</f>
        <v>None</v>
      </c>
      <c r="AV529" s="635">
        <f t="array" ref="AV529">IFERROR(INDEX($J$755:$J$818,MATCH(BProvPrivEnrlmtUnder2233[[#This Row],[Band No.]]&amp;BProvPrivEnrlmtUnder2233[[#This Row],[School No.]],$A$755:$A$818&amp;$E$755:$E$818,0)),0)</f>
        <v>1</v>
      </c>
      <c r="AW529" s="635">
        <f t="array" ref="AW529">IFERROR(INDEX($M$755:$M$818,MATCH(BProvPrivEnrlmtUnder2233[[#This Row],[Band No.]]&amp;BProvPrivEnrlmtUnder2233[[#This Row],[School No.]],$A$755:$A$818&amp;$E$755:$E$818,0)),0)</f>
        <v>0</v>
      </c>
      <c r="AX529" s="624">
        <f t="array" ref="AX529">IFERROR(INDEX($I$755:$I$818,MATCH(BProvPrivEnrlmtUnder2233[[#This Row],[Band No.]]&amp;BProvPrivEnrlmtUnder2233[[#This Row],[School No.]],$A$755:$A$818&amp;$E$755:$E$818,0)),0)</f>
        <v>0</v>
      </c>
      <c r="AY529" s="630">
        <f t="array" ref="AY529">IFERROR(INDEX($K$755:$K$818,MATCH(BProvPrivEnrlmtUnder2233[[#This Row],[Band No.]]&amp;BProvPrivEnrlmtUnder2233[[#This Row],[School No.]],$A$755:$A$818&amp;$E$755:$E$818,0)),0)</f>
        <v>0</v>
      </c>
      <c r="AZ529" s="638">
        <f t="array" ref="AZ529">IFERROR(INDEX($O$755:$O$818,MATCH(BProvPrivEnrlmtUnder2233[[#This Row],[Band No.]]&amp;BProvPrivEnrlmtUnder2233[[#This Row],[School No.]],$A$755:$A$818&amp;$E$755:$E$818,0)),0)</f>
        <v>1</v>
      </c>
      <c r="BA529" s="637">
        <f t="array" ref="BA529">IFERROR(INDEX($R$755:$R$818,MATCH(BProvPrivEnrlmtUnder2233[[#This Row],[Band No.]]&amp;BProvPrivEnrlmtUnder2233[[#This Row],[School No.]],$A$755:$A$818&amp;$E$755:$E$818,0)),0)</f>
        <v>0</v>
      </c>
      <c r="BB529" s="637">
        <f t="array" ref="BB529">IFERROR(INDEX($N$755:$N$818,MATCH(BProvPrivEnrlmtUnder2233[[#This Row],[Band No.]]&amp;BProvPrivEnrlmtUnder2233[[#This Row],[School No.]],$A$755:$A$818&amp;$E$755:$E$818,0)),0)</f>
        <v>0</v>
      </c>
      <c r="BC529" s="637">
        <f t="array" ref="BC529">IFERROR(INDEX($P$755:$P$818,MATCH(BProvPrivEnrlmtUnder2233[[#This Row],[Band No.]]&amp;BProvPrivEnrlmtUnder2233[[#This Row],[School No.]],$A$755:$A$818&amp;$E$755:$E$818,0)),0)</f>
        <v>0</v>
      </c>
    </row>
    <row r="530" spans="1:55" s="624" customFormat="1" hidden="1">
      <c r="A530" s="629">
        <v>275</v>
      </c>
      <c r="B530" s="629" t="s">
        <v>390</v>
      </c>
      <c r="C530" s="629" t="s">
        <v>1050</v>
      </c>
      <c r="D530" s="629" t="s">
        <v>1418</v>
      </c>
      <c r="E530" s="629" t="s">
        <v>1355</v>
      </c>
      <c r="F530" s="624" t="s">
        <v>1013</v>
      </c>
      <c r="G530" s="629"/>
      <c r="H530" s="629"/>
      <c r="I530" s="629"/>
      <c r="J530" s="629"/>
      <c r="K530" s="629"/>
      <c r="L530" s="629"/>
      <c r="M530" s="629"/>
      <c r="N530" s="629"/>
      <c r="O530" s="629"/>
      <c r="P530" s="629"/>
      <c r="Q530" s="630"/>
      <c r="R530" s="631">
        <v>1</v>
      </c>
      <c r="S530" s="631"/>
      <c r="T530" s="631"/>
      <c r="U530" s="631">
        <v>1</v>
      </c>
      <c r="V530" s="629"/>
      <c r="W530" s="632">
        <f>SUM(BProvPrivEnrlmtUnder2233[[#This Row],[K4]:[Ungradable Second FTE]])</f>
        <v>2</v>
      </c>
      <c r="X530" s="629"/>
      <c r="Y530" s="629"/>
      <c r="Z530" s="629"/>
      <c r="AA530" s="629"/>
      <c r="AB530" s="629"/>
      <c r="AC530" s="629"/>
      <c r="AD530" s="629"/>
      <c r="AE530" s="629"/>
      <c r="AF530" s="629"/>
      <c r="AG530" s="629"/>
      <c r="AH530" s="630"/>
      <c r="AI530" s="631">
        <v>1</v>
      </c>
      <c r="AJ530" s="631"/>
      <c r="AK530" s="631"/>
      <c r="AL530" s="631">
        <v>1</v>
      </c>
      <c r="AM530" s="629"/>
      <c r="AN530" s="633">
        <f>SUM(BProvPrivEnrlmtUnder2233[[#This Row],[K4 H]:[Ungradable Second H]])</f>
        <v>2</v>
      </c>
      <c r="AO530" s="634">
        <v>1</v>
      </c>
      <c r="AP530" s="629" t="s">
        <v>390</v>
      </c>
      <c r="AQ530" s="629" t="str">
        <f>INDEX(TableAFNSchools[North/South of 53rd Parallel &amp; Fly-in = North],MATCH(BProvPrivEnrlmtUnder2233[[#This Row],[Band No.]],TableAFNSchools[Band No '#],0))</f>
        <v>South</v>
      </c>
      <c r="AR530" s="629" t="s">
        <v>862</v>
      </c>
      <c r="AS530" s="629" t="s">
        <v>442</v>
      </c>
      <c r="AT530" s="629" t="str">
        <f>IF(BProvPrivEnrlmtUnder2233[[#This Row],[K4]]="","None",IF(BProvPrivEnrlmtUnder2233[[#This Row],[K4]]&lt;BProvPrivEnrlmtUnder2233[[#This Row],[K4 H]],"Half-day",IF(AND(BProvPrivEnrlmtUnder2233[[#This Row],[K4]]&gt;0,BProvPrivEnrlmtUnder2233[[#This Row],[K4]]=BProvPrivEnrlmtUnder2233[[#This Row],[K4 H]]),"Full-day",0)))</f>
        <v>None</v>
      </c>
      <c r="AU530" s="629" t="str">
        <f>IF(BProvPrivEnrlmtUnder2233[[#This Row],[K5]]="","None",IF(BProvPrivEnrlmtUnder2233[[#This Row],[K5]]&lt;BProvPrivEnrlmtUnder2233[[#This Row],[K5 H]],"Half-day",IF(AND(BProvPrivEnrlmtUnder2233[[#This Row],[K5]]&gt;0,BProvPrivEnrlmtUnder2233[[#This Row],[K5]]=BProvPrivEnrlmtUnder2233[[#This Row],[K5 H]]),"Full-day",0)))</f>
        <v>None</v>
      </c>
      <c r="AV530" s="635">
        <f t="array" ref="AV530">IFERROR(INDEX($J$755:$J$818,MATCH(BProvPrivEnrlmtUnder2233[[#This Row],[Band No.]]&amp;BProvPrivEnrlmtUnder2233[[#This Row],[School No.]],$A$755:$A$818&amp;$E$755:$E$818,0)),0)</f>
        <v>1</v>
      </c>
      <c r="AW530" s="635">
        <f t="array" ref="AW530">IFERROR(INDEX($M$755:$M$818,MATCH(BProvPrivEnrlmtUnder2233[[#This Row],[Band No.]]&amp;BProvPrivEnrlmtUnder2233[[#This Row],[School No.]],$A$755:$A$818&amp;$E$755:$E$818,0)),0)</f>
        <v>0</v>
      </c>
      <c r="AX530" s="624">
        <f t="array" ref="AX530">IFERROR(INDEX($I$755:$I$818,MATCH(BProvPrivEnrlmtUnder2233[[#This Row],[Band No.]]&amp;BProvPrivEnrlmtUnder2233[[#This Row],[School No.]],$A$755:$A$818&amp;$E$755:$E$818,0)),0)</f>
        <v>0</v>
      </c>
      <c r="AY530" s="630">
        <f t="array" ref="AY530">IFERROR(INDEX($K$755:$K$818,MATCH(BProvPrivEnrlmtUnder2233[[#This Row],[Band No.]]&amp;BProvPrivEnrlmtUnder2233[[#This Row],[School No.]],$A$755:$A$818&amp;$E$755:$E$818,0)),0)</f>
        <v>0</v>
      </c>
      <c r="AZ530" s="638">
        <f t="array" ref="AZ530">IFERROR(INDEX($O$755:$O$818,MATCH(BProvPrivEnrlmtUnder2233[[#This Row],[Band No.]]&amp;BProvPrivEnrlmtUnder2233[[#This Row],[School No.]],$A$755:$A$818&amp;$E$755:$E$818,0)),0)</f>
        <v>1</v>
      </c>
      <c r="BA530" s="637">
        <f t="array" ref="BA530">IFERROR(INDEX($R$755:$R$818,MATCH(BProvPrivEnrlmtUnder2233[[#This Row],[Band No.]]&amp;BProvPrivEnrlmtUnder2233[[#This Row],[School No.]],$A$755:$A$818&amp;$E$755:$E$818,0)),0)</f>
        <v>0</v>
      </c>
      <c r="BB530" s="637">
        <f t="array" ref="BB530">IFERROR(INDEX($N$755:$N$818,MATCH(BProvPrivEnrlmtUnder2233[[#This Row],[Band No.]]&amp;BProvPrivEnrlmtUnder2233[[#This Row],[School No.]],$A$755:$A$818&amp;$E$755:$E$818,0)),0)</f>
        <v>0</v>
      </c>
      <c r="BC530" s="637">
        <f t="array" ref="BC530">IFERROR(INDEX($P$755:$P$818,MATCH(BProvPrivEnrlmtUnder2233[[#This Row],[Band No.]]&amp;BProvPrivEnrlmtUnder2233[[#This Row],[School No.]],$A$755:$A$818&amp;$E$755:$E$818,0)),0)</f>
        <v>0</v>
      </c>
    </row>
    <row r="531" spans="1:55" s="624" customFormat="1" hidden="1">
      <c r="A531" s="629">
        <v>275</v>
      </c>
      <c r="B531" s="629" t="s">
        <v>390</v>
      </c>
      <c r="C531" s="629" t="s">
        <v>1391</v>
      </c>
      <c r="D531" s="629" t="s">
        <v>970</v>
      </c>
      <c r="E531" s="629" t="s">
        <v>1355</v>
      </c>
      <c r="F531" s="624" t="s">
        <v>1013</v>
      </c>
      <c r="G531" s="629"/>
      <c r="H531" s="629"/>
      <c r="I531" s="629"/>
      <c r="J531" s="629"/>
      <c r="K531" s="629"/>
      <c r="L531" s="629"/>
      <c r="M531" s="629"/>
      <c r="N531" s="629"/>
      <c r="O531" s="629"/>
      <c r="P531" s="629"/>
      <c r="Q531" s="630"/>
      <c r="R531" s="631">
        <v>2</v>
      </c>
      <c r="S531" s="631">
        <v>1</v>
      </c>
      <c r="T531" s="631">
        <v>3</v>
      </c>
      <c r="U531" s="631">
        <v>4</v>
      </c>
      <c r="V531" s="629"/>
      <c r="W531" s="632">
        <f>SUM(BProvPrivEnrlmtUnder2233[[#This Row],[K4]:[Ungradable Second FTE]])</f>
        <v>10</v>
      </c>
      <c r="X531" s="629"/>
      <c r="Y531" s="629"/>
      <c r="Z531" s="629"/>
      <c r="AA531" s="629"/>
      <c r="AB531" s="629"/>
      <c r="AC531" s="629"/>
      <c r="AD531" s="629"/>
      <c r="AE531" s="629"/>
      <c r="AF531" s="629"/>
      <c r="AG531" s="629"/>
      <c r="AH531" s="630"/>
      <c r="AI531" s="631">
        <v>2</v>
      </c>
      <c r="AJ531" s="631">
        <v>1</v>
      </c>
      <c r="AK531" s="631">
        <v>3</v>
      </c>
      <c r="AL531" s="631">
        <v>4</v>
      </c>
      <c r="AM531" s="629"/>
      <c r="AN531" s="633">
        <f>SUM(BProvPrivEnrlmtUnder2233[[#This Row],[K4 H]:[Ungradable Second H]])</f>
        <v>10</v>
      </c>
      <c r="AO531" s="634">
        <v>2</v>
      </c>
      <c r="AP531" s="629" t="s">
        <v>390</v>
      </c>
      <c r="AQ531" s="629" t="str">
        <f>INDEX(TableAFNSchools[North/South of 53rd Parallel &amp; Fly-in = North],MATCH(BProvPrivEnrlmtUnder2233[[#This Row],[Band No.]],TableAFNSchools[Band No '#],0))</f>
        <v>South</v>
      </c>
      <c r="AR531" s="630" t="s">
        <v>844</v>
      </c>
      <c r="AS531" s="629" t="s">
        <v>442</v>
      </c>
      <c r="AT531" s="629" t="str">
        <f>IF(BProvPrivEnrlmtUnder2233[[#This Row],[K4]]="","None",IF(BProvPrivEnrlmtUnder2233[[#This Row],[K4]]&lt;BProvPrivEnrlmtUnder2233[[#This Row],[K4 H]],"Half-day",IF(AND(BProvPrivEnrlmtUnder2233[[#This Row],[K4]]&gt;0,BProvPrivEnrlmtUnder2233[[#This Row],[K4]]=BProvPrivEnrlmtUnder2233[[#This Row],[K4 H]]),"Full-day",0)))</f>
        <v>None</v>
      </c>
      <c r="AU531" s="629" t="str">
        <f>IF(BProvPrivEnrlmtUnder2233[[#This Row],[K5]]="","None",IF(BProvPrivEnrlmtUnder2233[[#This Row],[K5]]&lt;BProvPrivEnrlmtUnder2233[[#This Row],[K5 H]],"Half-day",IF(AND(BProvPrivEnrlmtUnder2233[[#This Row],[K5]]&gt;0,BProvPrivEnrlmtUnder2233[[#This Row],[K5]]=BProvPrivEnrlmtUnder2233[[#This Row],[K5 H]]),"Full-day",0)))</f>
        <v>None</v>
      </c>
      <c r="AV531" s="635">
        <f t="array" ref="AV531">IFERROR(INDEX($J$755:$J$818,MATCH(BProvPrivEnrlmtUnder2233[[#This Row],[Band No.]]&amp;BProvPrivEnrlmtUnder2233[[#This Row],[School No.]],$A$755:$A$818&amp;$E$755:$E$818,0)),0)</f>
        <v>4</v>
      </c>
      <c r="AW531" s="635">
        <f t="array" ref="AW531">IFERROR(INDEX($M$755:$M$818,MATCH(BProvPrivEnrlmtUnder2233[[#This Row],[Band No.]]&amp;BProvPrivEnrlmtUnder2233[[#This Row],[School No.]],$A$755:$A$818&amp;$E$755:$E$818,0)),0)</f>
        <v>1</v>
      </c>
      <c r="AX531" s="624">
        <f t="array" ref="AX531">IFERROR(INDEX($I$755:$I$818,MATCH(BProvPrivEnrlmtUnder2233[[#This Row],[Band No.]]&amp;BProvPrivEnrlmtUnder2233[[#This Row],[School No.]],$A$755:$A$818&amp;$E$755:$E$818,0)),0)</f>
        <v>0</v>
      </c>
      <c r="AY531" s="630">
        <f t="array" ref="AY531">IFERROR(INDEX($K$755:$K$818,MATCH(BProvPrivEnrlmtUnder2233[[#This Row],[Band No.]]&amp;BProvPrivEnrlmtUnder2233[[#This Row],[School No.]],$A$755:$A$818&amp;$E$755:$E$818,0)),0)</f>
        <v>0</v>
      </c>
      <c r="AZ531" s="637">
        <f t="array" ref="AZ531">IFERROR(INDEX($O$755:$O$818,MATCH(BProvPrivEnrlmtUnder2233[[#This Row],[Band No.]]&amp;BProvPrivEnrlmtUnder2233[[#This Row],[School No.]],$A$755:$A$818&amp;$E$755:$E$818,0)),0)</f>
        <v>5</v>
      </c>
      <c r="BA531" s="637">
        <f t="array" ref="BA531">IFERROR(INDEX($R$755:$R$818,MATCH(BProvPrivEnrlmtUnder2233[[#This Row],[Band No.]]&amp;BProvPrivEnrlmtUnder2233[[#This Row],[School No.]],$A$755:$A$818&amp;$E$755:$E$818,0)),0)</f>
        <v>0</v>
      </c>
      <c r="BB531" s="637">
        <f t="array" ref="BB531">IFERROR(INDEX($N$755:$N$818,MATCH(BProvPrivEnrlmtUnder2233[[#This Row],[Band No.]]&amp;BProvPrivEnrlmtUnder2233[[#This Row],[School No.]],$A$755:$A$818&amp;$E$755:$E$818,0)),0)</f>
        <v>0</v>
      </c>
      <c r="BC531" s="637">
        <f t="array" ref="BC531">IFERROR(INDEX($P$755:$P$818,MATCH(BProvPrivEnrlmtUnder2233[[#This Row],[Band No.]]&amp;BProvPrivEnrlmtUnder2233[[#This Row],[School No.]],$A$755:$A$818&amp;$E$755:$E$818,0)),0)</f>
        <v>0</v>
      </c>
    </row>
    <row r="532" spans="1:55" s="624" customFormat="1" hidden="1">
      <c r="A532" s="629">
        <v>275</v>
      </c>
      <c r="B532" s="629" t="s">
        <v>390</v>
      </c>
      <c r="C532" s="629" t="s">
        <v>1063</v>
      </c>
      <c r="D532" s="629" t="s">
        <v>979</v>
      </c>
      <c r="E532" s="629" t="s">
        <v>1367</v>
      </c>
      <c r="F532" s="624" t="s">
        <v>1013</v>
      </c>
      <c r="G532" s="629"/>
      <c r="H532" s="629"/>
      <c r="I532" s="629"/>
      <c r="J532" s="629"/>
      <c r="K532" s="629"/>
      <c r="L532" s="629"/>
      <c r="M532" s="629"/>
      <c r="N532" s="629"/>
      <c r="O532" s="629"/>
      <c r="P532" s="629"/>
      <c r="Q532" s="630"/>
      <c r="R532" s="631">
        <v>1</v>
      </c>
      <c r="S532" s="631">
        <v>1</v>
      </c>
      <c r="T532" s="631">
        <v>1</v>
      </c>
      <c r="U532" s="631"/>
      <c r="V532" s="629"/>
      <c r="W532" s="632">
        <f>SUM(BProvPrivEnrlmtUnder2233[[#This Row],[K4]:[Ungradable Second FTE]])</f>
        <v>3</v>
      </c>
      <c r="X532" s="629"/>
      <c r="Y532" s="629"/>
      <c r="Z532" s="629"/>
      <c r="AA532" s="629"/>
      <c r="AB532" s="629"/>
      <c r="AC532" s="629"/>
      <c r="AD532" s="629"/>
      <c r="AE532" s="629"/>
      <c r="AF532" s="629"/>
      <c r="AG532" s="629"/>
      <c r="AH532" s="630"/>
      <c r="AI532" s="631">
        <v>1</v>
      </c>
      <c r="AJ532" s="631">
        <v>1</v>
      </c>
      <c r="AK532" s="631">
        <v>1</v>
      </c>
      <c r="AL532" s="631"/>
      <c r="AM532" s="629"/>
      <c r="AN532" s="633">
        <f>SUM(BProvPrivEnrlmtUnder2233[[#This Row],[K4 H]:[Ungradable Second H]])</f>
        <v>3</v>
      </c>
      <c r="AO532" s="634">
        <v>7</v>
      </c>
      <c r="AP532" s="629" t="s">
        <v>390</v>
      </c>
      <c r="AQ532" s="629" t="str">
        <f>INDEX(TableAFNSchools[North/South of 53rd Parallel &amp; Fly-in = North],MATCH(BProvPrivEnrlmtUnder2233[[#This Row],[Band No.]],TableAFNSchools[Band No '#],0))</f>
        <v>South</v>
      </c>
      <c r="AR532" s="629" t="s">
        <v>862</v>
      </c>
      <c r="AS532" s="629" t="s">
        <v>442</v>
      </c>
      <c r="AT532" s="629" t="str">
        <f>IF(BProvPrivEnrlmtUnder2233[[#This Row],[K4]]="","None",IF(BProvPrivEnrlmtUnder2233[[#This Row],[K4]]&lt;BProvPrivEnrlmtUnder2233[[#This Row],[K4 H]],"Half-day",IF(AND(BProvPrivEnrlmtUnder2233[[#This Row],[K4]]&gt;0,BProvPrivEnrlmtUnder2233[[#This Row],[K4]]=BProvPrivEnrlmtUnder2233[[#This Row],[K4 H]]),"Full-day",0)))</f>
        <v>None</v>
      </c>
      <c r="AU532" s="629" t="str">
        <f>IF(BProvPrivEnrlmtUnder2233[[#This Row],[K5]]="","None",IF(BProvPrivEnrlmtUnder2233[[#This Row],[K5]]&lt;BProvPrivEnrlmtUnder2233[[#This Row],[K5 H]],"Half-day",IF(AND(BProvPrivEnrlmtUnder2233[[#This Row],[K5]]&gt;0,BProvPrivEnrlmtUnder2233[[#This Row],[K5]]=BProvPrivEnrlmtUnder2233[[#This Row],[K5 H]]),"Full-day",0)))</f>
        <v>None</v>
      </c>
      <c r="AV532" s="635">
        <f t="array" ref="AV532">IFERROR(INDEX($J$755:$J$818,MATCH(BProvPrivEnrlmtUnder2233[[#This Row],[Band No.]]&amp;BProvPrivEnrlmtUnder2233[[#This Row],[School No.]],$A$755:$A$818&amp;$E$755:$E$818,0)),0)</f>
        <v>3</v>
      </c>
      <c r="AW532" s="635">
        <f t="array" ref="AW532">IFERROR(INDEX($M$755:$M$818,MATCH(BProvPrivEnrlmtUnder2233[[#This Row],[Band No.]]&amp;BProvPrivEnrlmtUnder2233[[#This Row],[School No.]],$A$755:$A$818&amp;$E$755:$E$818,0)),0)</f>
        <v>0</v>
      </c>
      <c r="AX532" s="624">
        <f t="array" ref="AX532">IFERROR(INDEX($I$755:$I$818,MATCH(BProvPrivEnrlmtUnder2233[[#This Row],[Band No.]]&amp;BProvPrivEnrlmtUnder2233[[#This Row],[School No.]],$A$755:$A$818&amp;$E$755:$E$818,0)),0)</f>
        <v>0</v>
      </c>
      <c r="AY532" s="630">
        <f t="array" ref="AY532">IFERROR(INDEX($K$755:$K$818,MATCH(BProvPrivEnrlmtUnder2233[[#This Row],[Band No.]]&amp;BProvPrivEnrlmtUnder2233[[#This Row],[School No.]],$A$755:$A$818&amp;$E$755:$E$818,0)),0)</f>
        <v>0</v>
      </c>
      <c r="AZ532" s="637">
        <f t="array" ref="AZ532">IFERROR(INDEX($O$755:$O$818,MATCH(BProvPrivEnrlmtUnder2233[[#This Row],[Band No.]]&amp;BProvPrivEnrlmtUnder2233[[#This Row],[School No.]],$A$755:$A$818&amp;$E$755:$E$818,0)),0)</f>
        <v>0</v>
      </c>
      <c r="BA532" s="637">
        <f t="array" ref="BA532">IFERROR(INDEX($R$755:$R$818,MATCH(BProvPrivEnrlmtUnder2233[[#This Row],[Band No.]]&amp;BProvPrivEnrlmtUnder2233[[#This Row],[School No.]],$A$755:$A$818&amp;$E$755:$E$818,0)),0)</f>
        <v>0</v>
      </c>
      <c r="BB532" s="637">
        <f t="array" ref="BB532">IFERROR(INDEX($N$755:$N$818,MATCH(BProvPrivEnrlmtUnder2233[[#This Row],[Band No.]]&amp;BProvPrivEnrlmtUnder2233[[#This Row],[School No.]],$A$755:$A$818&amp;$E$755:$E$818,0)),0)</f>
        <v>0</v>
      </c>
      <c r="BC532" s="637">
        <f t="array" ref="BC532">IFERROR(INDEX($P$755:$P$818,MATCH(BProvPrivEnrlmtUnder2233[[#This Row],[Band No.]]&amp;BProvPrivEnrlmtUnder2233[[#This Row],[School No.]],$A$755:$A$818&amp;$E$755:$E$818,0)),0)</f>
        <v>0</v>
      </c>
    </row>
    <row r="533" spans="1:55" s="624" customFormat="1" hidden="1">
      <c r="A533" s="629">
        <v>275</v>
      </c>
      <c r="B533" s="629" t="s">
        <v>390</v>
      </c>
      <c r="C533" s="629" t="s">
        <v>1445</v>
      </c>
      <c r="D533" s="629" t="s">
        <v>980</v>
      </c>
      <c r="E533" s="629" t="s">
        <v>1359</v>
      </c>
      <c r="F533" s="624" t="s">
        <v>1013</v>
      </c>
      <c r="G533" s="629"/>
      <c r="H533" s="629"/>
      <c r="I533" s="629"/>
      <c r="J533" s="629"/>
      <c r="K533" s="629"/>
      <c r="L533" s="629"/>
      <c r="M533" s="629"/>
      <c r="N533" s="629"/>
      <c r="O533" s="629"/>
      <c r="P533" s="629"/>
      <c r="Q533" s="630"/>
      <c r="R533" s="631"/>
      <c r="S533" s="631"/>
      <c r="T533" s="631">
        <v>6</v>
      </c>
      <c r="U533" s="631">
        <v>1</v>
      </c>
      <c r="V533" s="629"/>
      <c r="W533" s="632">
        <f>SUM(BProvPrivEnrlmtUnder2233[[#This Row],[K4]:[Ungradable Second FTE]])</f>
        <v>7</v>
      </c>
      <c r="X533" s="629"/>
      <c r="Y533" s="629"/>
      <c r="Z533" s="629"/>
      <c r="AA533" s="629"/>
      <c r="AB533" s="629"/>
      <c r="AC533" s="629"/>
      <c r="AD533" s="629"/>
      <c r="AE533" s="629"/>
      <c r="AF533" s="629"/>
      <c r="AG533" s="629"/>
      <c r="AH533" s="630"/>
      <c r="AI533" s="631"/>
      <c r="AJ533" s="631"/>
      <c r="AK533" s="631">
        <v>6</v>
      </c>
      <c r="AL533" s="631">
        <v>1</v>
      </c>
      <c r="AM533" s="629"/>
      <c r="AN533" s="633">
        <f>SUM(BProvPrivEnrlmtUnder2233[[#This Row],[K4 H]:[Ungradable Second H]])</f>
        <v>7</v>
      </c>
      <c r="AO533" s="634">
        <v>1</v>
      </c>
      <c r="AP533" s="629" t="s">
        <v>390</v>
      </c>
      <c r="AQ533" s="629" t="str">
        <f>INDEX(TableAFNSchools[North/South of 53rd Parallel &amp; Fly-in = North],MATCH(BProvPrivEnrlmtUnder2233[[#This Row],[Band No.]],TableAFNSchools[Band No '#],0))</f>
        <v>South</v>
      </c>
      <c r="AR533" s="629" t="s">
        <v>1233</v>
      </c>
      <c r="AS533" s="629" t="s">
        <v>442</v>
      </c>
      <c r="AT533" s="629" t="str">
        <f>IF(BProvPrivEnrlmtUnder2233[[#This Row],[K4]]="","None",IF(BProvPrivEnrlmtUnder2233[[#This Row],[K4]]&lt;BProvPrivEnrlmtUnder2233[[#This Row],[K4 H]],"Half-day",IF(AND(BProvPrivEnrlmtUnder2233[[#This Row],[K4]]&gt;0,BProvPrivEnrlmtUnder2233[[#This Row],[K4]]=BProvPrivEnrlmtUnder2233[[#This Row],[K4 H]]),"Full-day",0)))</f>
        <v>None</v>
      </c>
      <c r="AU533" s="629" t="str">
        <f>IF(BProvPrivEnrlmtUnder2233[[#This Row],[K5]]="","None",IF(BProvPrivEnrlmtUnder2233[[#This Row],[K5]]&lt;BProvPrivEnrlmtUnder2233[[#This Row],[K5 H]],"Half-day",IF(AND(BProvPrivEnrlmtUnder2233[[#This Row],[K5]]&gt;0,BProvPrivEnrlmtUnder2233[[#This Row],[K5]]=BProvPrivEnrlmtUnder2233[[#This Row],[K5 H]]),"Full-day",0)))</f>
        <v>None</v>
      </c>
      <c r="AV533" s="635">
        <f t="array" ref="AV533">IFERROR(INDEX($J$755:$J$818,MATCH(BProvPrivEnrlmtUnder2233[[#This Row],[Band No.]]&amp;BProvPrivEnrlmtUnder2233[[#This Row],[School No.]],$A$755:$A$818&amp;$E$755:$E$818,0)),0)</f>
        <v>5</v>
      </c>
      <c r="AW533" s="635">
        <f t="array" ref="AW533">IFERROR(INDEX($M$755:$M$818,MATCH(BProvPrivEnrlmtUnder2233[[#This Row],[Band No.]]&amp;BProvPrivEnrlmtUnder2233[[#This Row],[School No.]],$A$755:$A$818&amp;$E$755:$E$818,0)),0)</f>
        <v>0</v>
      </c>
      <c r="AX533" s="624">
        <f t="array" ref="AX533">IFERROR(INDEX($I$755:$I$818,MATCH(BProvPrivEnrlmtUnder2233[[#This Row],[Band No.]]&amp;BProvPrivEnrlmtUnder2233[[#This Row],[School No.]],$A$755:$A$818&amp;$E$755:$E$818,0)),0)</f>
        <v>0</v>
      </c>
      <c r="AY533" s="630">
        <f t="array" ref="AY533">IFERROR(INDEX($K$755:$K$818,MATCH(BProvPrivEnrlmtUnder2233[[#This Row],[Band No.]]&amp;BProvPrivEnrlmtUnder2233[[#This Row],[School No.]],$A$755:$A$818&amp;$E$755:$E$818,0)),0)</f>
        <v>0</v>
      </c>
      <c r="AZ533" s="637">
        <f t="array" ref="AZ533">IFERROR(INDEX($O$755:$O$818,MATCH(BProvPrivEnrlmtUnder2233[[#This Row],[Band No.]]&amp;BProvPrivEnrlmtUnder2233[[#This Row],[School No.]],$A$755:$A$818&amp;$E$755:$E$818,0)),0)</f>
        <v>2</v>
      </c>
      <c r="BA533" s="637">
        <f t="array" ref="BA533">IFERROR(INDEX($R$755:$R$818,MATCH(BProvPrivEnrlmtUnder2233[[#This Row],[Band No.]]&amp;BProvPrivEnrlmtUnder2233[[#This Row],[School No.]],$A$755:$A$818&amp;$E$755:$E$818,0)),0)</f>
        <v>0</v>
      </c>
      <c r="BB533" s="637">
        <f t="array" ref="BB533">IFERROR(INDEX($N$755:$N$818,MATCH(BProvPrivEnrlmtUnder2233[[#This Row],[Band No.]]&amp;BProvPrivEnrlmtUnder2233[[#This Row],[School No.]],$A$755:$A$818&amp;$E$755:$E$818,0)),0)</f>
        <v>0</v>
      </c>
      <c r="BC533" s="637">
        <f t="array" ref="BC533">IFERROR(INDEX($P$755:$P$818,MATCH(BProvPrivEnrlmtUnder2233[[#This Row],[Band No.]]&amp;BProvPrivEnrlmtUnder2233[[#This Row],[School No.]],$A$755:$A$818&amp;$E$755:$E$818,0)),0)</f>
        <v>0</v>
      </c>
    </row>
    <row r="534" spans="1:55" s="624" customFormat="1" hidden="1">
      <c r="A534" s="629">
        <v>275</v>
      </c>
      <c r="B534" s="629" t="s">
        <v>390</v>
      </c>
      <c r="C534" s="629" t="s">
        <v>1446</v>
      </c>
      <c r="D534" s="629" t="s">
        <v>1447</v>
      </c>
      <c r="E534" s="629" t="s">
        <v>1355</v>
      </c>
      <c r="F534" s="624" t="s">
        <v>1013</v>
      </c>
      <c r="G534" s="629"/>
      <c r="H534" s="629"/>
      <c r="I534" s="629"/>
      <c r="J534" s="629"/>
      <c r="K534" s="629"/>
      <c r="L534" s="629"/>
      <c r="M534" s="629">
        <v>1</v>
      </c>
      <c r="N534" s="629"/>
      <c r="O534" s="629">
        <v>1</v>
      </c>
      <c r="P534" s="629"/>
      <c r="Q534" s="630"/>
      <c r="R534" s="631"/>
      <c r="S534" s="631"/>
      <c r="T534" s="631"/>
      <c r="U534" s="631"/>
      <c r="V534" s="629"/>
      <c r="W534" s="632">
        <f>SUM(BProvPrivEnrlmtUnder2233[[#This Row],[K4]:[Ungradable Second FTE]])</f>
        <v>2</v>
      </c>
      <c r="X534" s="629"/>
      <c r="Y534" s="629"/>
      <c r="Z534" s="629"/>
      <c r="AA534" s="629"/>
      <c r="AB534" s="629"/>
      <c r="AC534" s="629"/>
      <c r="AD534" s="629">
        <v>1</v>
      </c>
      <c r="AE534" s="629"/>
      <c r="AF534" s="629">
        <v>1</v>
      </c>
      <c r="AG534" s="629"/>
      <c r="AH534" s="630"/>
      <c r="AI534" s="631"/>
      <c r="AJ534" s="631"/>
      <c r="AK534" s="631"/>
      <c r="AL534" s="631"/>
      <c r="AM534" s="629"/>
      <c r="AN534" s="633">
        <f>SUM(BProvPrivEnrlmtUnder2233[[#This Row],[K4 H]:[Ungradable Second H]])</f>
        <v>2</v>
      </c>
      <c r="AO534" s="634">
        <v>3</v>
      </c>
      <c r="AP534" s="629" t="s">
        <v>390</v>
      </c>
      <c r="AQ534" s="629" t="str">
        <f>INDEX(TableAFNSchools[North/South of 53rd Parallel &amp; Fly-in = North],MATCH(BProvPrivEnrlmtUnder2233[[#This Row],[Band No.]],TableAFNSchools[Band No '#],0))</f>
        <v>South</v>
      </c>
      <c r="AR534" s="629" t="s">
        <v>868</v>
      </c>
      <c r="AS534" s="629" t="s">
        <v>442</v>
      </c>
      <c r="AT534" s="629" t="str">
        <f>IF(BProvPrivEnrlmtUnder2233[[#This Row],[K4]]="","None",IF(BProvPrivEnrlmtUnder2233[[#This Row],[K4]]&lt;BProvPrivEnrlmtUnder2233[[#This Row],[K4 H]],"Half-day",IF(AND(BProvPrivEnrlmtUnder2233[[#This Row],[K4]]&gt;0,BProvPrivEnrlmtUnder2233[[#This Row],[K4]]=BProvPrivEnrlmtUnder2233[[#This Row],[K4 H]]),"Full-day",0)))</f>
        <v>None</v>
      </c>
      <c r="AU534" s="629" t="str">
        <f>IF(BProvPrivEnrlmtUnder2233[[#This Row],[K5]]="","None",IF(BProvPrivEnrlmtUnder2233[[#This Row],[K5]]&lt;BProvPrivEnrlmtUnder2233[[#This Row],[K5 H]],"Half-day",IF(AND(BProvPrivEnrlmtUnder2233[[#This Row],[K5]]&gt;0,BProvPrivEnrlmtUnder2233[[#This Row],[K5]]=BProvPrivEnrlmtUnder2233[[#This Row],[K5 H]]),"Full-day",0)))</f>
        <v>None</v>
      </c>
      <c r="AV534" s="635">
        <f t="array" ref="AV534">IFERROR(INDEX($J$755:$J$818,MATCH(BProvPrivEnrlmtUnder2233[[#This Row],[Band No.]]&amp;BProvPrivEnrlmtUnder2233[[#This Row],[School No.]],$A$755:$A$818&amp;$E$755:$E$818,0)),0)</f>
        <v>0</v>
      </c>
      <c r="AW534" s="635">
        <f t="array" ref="AW534">IFERROR(INDEX($M$755:$M$818,MATCH(BProvPrivEnrlmtUnder2233[[#This Row],[Band No.]]&amp;BProvPrivEnrlmtUnder2233[[#This Row],[School No.]],$A$755:$A$818&amp;$E$755:$E$818,0)),0)</f>
        <v>0</v>
      </c>
      <c r="AX534" s="624">
        <f t="array" ref="AX534">IFERROR(INDEX($I$755:$I$818,MATCH(BProvPrivEnrlmtUnder2233[[#This Row],[Band No.]]&amp;BProvPrivEnrlmtUnder2233[[#This Row],[School No.]],$A$755:$A$818&amp;$E$755:$E$818,0)),0)</f>
        <v>0</v>
      </c>
      <c r="AY534" s="630">
        <f t="array" ref="AY534">IFERROR(INDEX($K$755:$K$818,MATCH(BProvPrivEnrlmtUnder2233[[#This Row],[Band No.]]&amp;BProvPrivEnrlmtUnder2233[[#This Row],[School No.]],$A$755:$A$818&amp;$E$755:$E$818,0)),0)</f>
        <v>0</v>
      </c>
      <c r="AZ534" s="637">
        <f t="array" ref="AZ534">IFERROR(INDEX($O$755:$O$818,MATCH(BProvPrivEnrlmtUnder2233[[#This Row],[Band No.]]&amp;BProvPrivEnrlmtUnder2233[[#This Row],[School No.]],$A$755:$A$818&amp;$E$755:$E$818,0)),0)</f>
        <v>0</v>
      </c>
      <c r="BA534" s="637">
        <f t="array" ref="BA534">IFERROR(INDEX($R$755:$R$818,MATCH(BProvPrivEnrlmtUnder2233[[#This Row],[Band No.]]&amp;BProvPrivEnrlmtUnder2233[[#This Row],[School No.]],$A$755:$A$818&amp;$E$755:$E$818,0)),0)</f>
        <v>0</v>
      </c>
      <c r="BB534" s="637">
        <f t="array" ref="BB534">IFERROR(INDEX($N$755:$N$818,MATCH(BProvPrivEnrlmtUnder2233[[#This Row],[Band No.]]&amp;BProvPrivEnrlmtUnder2233[[#This Row],[School No.]],$A$755:$A$818&amp;$E$755:$E$818,0)),0)</f>
        <v>0</v>
      </c>
      <c r="BC534" s="637">
        <f t="array" ref="BC534">IFERROR(INDEX($P$755:$P$818,MATCH(BProvPrivEnrlmtUnder2233[[#This Row],[Band No.]]&amp;BProvPrivEnrlmtUnder2233[[#This Row],[School No.]],$A$755:$A$818&amp;$E$755:$E$818,0)),0)</f>
        <v>0</v>
      </c>
    </row>
    <row r="535" spans="1:55" s="624" customFormat="1" hidden="1">
      <c r="A535" s="629">
        <v>275</v>
      </c>
      <c r="B535" s="629" t="s">
        <v>390</v>
      </c>
      <c r="C535" s="629" t="s">
        <v>1448</v>
      </c>
      <c r="D535" s="629" t="s">
        <v>985</v>
      </c>
      <c r="E535" s="629" t="s">
        <v>1379</v>
      </c>
      <c r="F535" s="624" t="s">
        <v>1013</v>
      </c>
      <c r="G535" s="629"/>
      <c r="H535" s="629"/>
      <c r="I535" s="629"/>
      <c r="J535" s="629"/>
      <c r="K535" s="629"/>
      <c r="L535" s="629"/>
      <c r="M535" s="629"/>
      <c r="N535" s="629"/>
      <c r="O535" s="629"/>
      <c r="P535" s="629"/>
      <c r="Q535" s="630"/>
      <c r="R535" s="631"/>
      <c r="S535" s="631"/>
      <c r="T535" s="631">
        <v>1</v>
      </c>
      <c r="U535" s="631"/>
      <c r="V535" s="629"/>
      <c r="W535" s="632">
        <f>SUM(BProvPrivEnrlmtUnder2233[[#This Row],[K4]:[Ungradable Second FTE]])</f>
        <v>1</v>
      </c>
      <c r="X535" s="629"/>
      <c r="Y535" s="629"/>
      <c r="Z535" s="629"/>
      <c r="AA535" s="629"/>
      <c r="AB535" s="629"/>
      <c r="AC535" s="629"/>
      <c r="AD535" s="629"/>
      <c r="AE535" s="629"/>
      <c r="AF535" s="629"/>
      <c r="AG535" s="629"/>
      <c r="AH535" s="630"/>
      <c r="AI535" s="631"/>
      <c r="AJ535" s="631"/>
      <c r="AK535" s="631">
        <v>1</v>
      </c>
      <c r="AL535" s="631"/>
      <c r="AM535" s="629"/>
      <c r="AN535" s="633">
        <f>SUM(BProvPrivEnrlmtUnder2233[[#This Row],[K4 H]:[Ungradable Second H]])</f>
        <v>1</v>
      </c>
      <c r="AO535" s="634">
        <v>1</v>
      </c>
      <c r="AP535" s="629" t="s">
        <v>390</v>
      </c>
      <c r="AQ535" s="629" t="str">
        <f>INDEX(TableAFNSchools[North/South of 53rd Parallel &amp; Fly-in = North],MATCH(BProvPrivEnrlmtUnder2233[[#This Row],[Band No.]],TableAFNSchools[Band No '#],0))</f>
        <v>South</v>
      </c>
      <c r="AR535" s="629" t="s">
        <v>1449</v>
      </c>
      <c r="AS535" s="629" t="s">
        <v>442</v>
      </c>
      <c r="AT535" s="629" t="str">
        <f>IF(BProvPrivEnrlmtUnder2233[[#This Row],[K4]]="","None",IF(BProvPrivEnrlmtUnder2233[[#This Row],[K4]]&lt;BProvPrivEnrlmtUnder2233[[#This Row],[K4 H]],"Half-day",IF(AND(BProvPrivEnrlmtUnder2233[[#This Row],[K4]]&gt;0,BProvPrivEnrlmtUnder2233[[#This Row],[K4]]=BProvPrivEnrlmtUnder2233[[#This Row],[K4 H]]),"Full-day",0)))</f>
        <v>None</v>
      </c>
      <c r="AU535" s="629" t="str">
        <f>IF(BProvPrivEnrlmtUnder2233[[#This Row],[K5]]="","None",IF(BProvPrivEnrlmtUnder2233[[#This Row],[K5]]&lt;BProvPrivEnrlmtUnder2233[[#This Row],[K5 H]],"Half-day",IF(AND(BProvPrivEnrlmtUnder2233[[#This Row],[K5]]&gt;0,BProvPrivEnrlmtUnder2233[[#This Row],[K5]]=BProvPrivEnrlmtUnder2233[[#This Row],[K5 H]]),"Full-day",0)))</f>
        <v>None</v>
      </c>
      <c r="AV535" s="635">
        <f t="array" ref="AV535">IFERROR(INDEX($J$755:$J$818,MATCH(BProvPrivEnrlmtUnder2233[[#This Row],[Band No.]]&amp;BProvPrivEnrlmtUnder2233[[#This Row],[School No.]],$A$755:$A$818&amp;$E$755:$E$818,0)),0)</f>
        <v>0</v>
      </c>
      <c r="AW535" s="635">
        <f t="array" ref="AW535">IFERROR(INDEX($M$755:$M$818,MATCH(BProvPrivEnrlmtUnder2233[[#This Row],[Band No.]]&amp;BProvPrivEnrlmtUnder2233[[#This Row],[School No.]],$A$755:$A$818&amp;$E$755:$E$818,0)),0)</f>
        <v>0</v>
      </c>
      <c r="AX535" s="624">
        <f t="array" ref="AX535">IFERROR(INDEX($I$755:$I$818,MATCH(BProvPrivEnrlmtUnder2233[[#This Row],[Band No.]]&amp;BProvPrivEnrlmtUnder2233[[#This Row],[School No.]],$A$755:$A$818&amp;$E$755:$E$818,0)),0)</f>
        <v>0</v>
      </c>
      <c r="AY535" s="630">
        <f t="array" ref="AY535">IFERROR(INDEX($K$755:$K$818,MATCH(BProvPrivEnrlmtUnder2233[[#This Row],[Band No.]]&amp;BProvPrivEnrlmtUnder2233[[#This Row],[School No.]],$A$755:$A$818&amp;$E$755:$E$818,0)),0)</f>
        <v>0</v>
      </c>
      <c r="AZ535" s="637">
        <f t="array" ref="AZ535">IFERROR(INDEX($O$755:$O$818,MATCH(BProvPrivEnrlmtUnder2233[[#This Row],[Band No.]]&amp;BProvPrivEnrlmtUnder2233[[#This Row],[School No.]],$A$755:$A$818&amp;$E$755:$E$818,0)),0)</f>
        <v>0</v>
      </c>
      <c r="BA535" s="637">
        <f t="array" ref="BA535">IFERROR(INDEX($R$755:$R$818,MATCH(BProvPrivEnrlmtUnder2233[[#This Row],[Band No.]]&amp;BProvPrivEnrlmtUnder2233[[#This Row],[School No.]],$A$755:$A$818&amp;$E$755:$E$818,0)),0)</f>
        <v>0</v>
      </c>
      <c r="BB535" s="637">
        <f t="array" ref="BB535">IFERROR(INDEX($N$755:$N$818,MATCH(BProvPrivEnrlmtUnder2233[[#This Row],[Band No.]]&amp;BProvPrivEnrlmtUnder2233[[#This Row],[School No.]],$A$755:$A$818&amp;$E$755:$E$818,0)),0)</f>
        <v>0</v>
      </c>
      <c r="BC535" s="637">
        <f t="array" ref="BC535">IFERROR(INDEX($P$755:$P$818,MATCH(BProvPrivEnrlmtUnder2233[[#This Row],[Band No.]]&amp;BProvPrivEnrlmtUnder2233[[#This Row],[School No.]],$A$755:$A$818&amp;$E$755:$E$818,0)),0)</f>
        <v>0</v>
      </c>
    </row>
    <row r="536" spans="1:55" s="624" customFormat="1" hidden="1">
      <c r="A536" s="629">
        <v>275</v>
      </c>
      <c r="B536" s="629" t="s">
        <v>390</v>
      </c>
      <c r="C536" s="629" t="s">
        <v>1450</v>
      </c>
      <c r="D536" s="629" t="s">
        <v>1451</v>
      </c>
      <c r="E536" s="629" t="s">
        <v>1359</v>
      </c>
      <c r="F536" s="624" t="s">
        <v>1013</v>
      </c>
      <c r="G536" s="629"/>
      <c r="H536" s="629"/>
      <c r="I536" s="629"/>
      <c r="J536" s="629"/>
      <c r="K536" s="629"/>
      <c r="L536" s="629"/>
      <c r="M536" s="629"/>
      <c r="N536" s="629"/>
      <c r="O536" s="629"/>
      <c r="P536" s="629"/>
      <c r="Q536" s="630"/>
      <c r="R536" s="631"/>
      <c r="S536" s="631">
        <v>1</v>
      </c>
      <c r="T536" s="631"/>
      <c r="U536" s="631"/>
      <c r="V536" s="629"/>
      <c r="W536" s="632">
        <f>SUM(BProvPrivEnrlmtUnder2233[[#This Row],[K4]:[Ungradable Second FTE]])</f>
        <v>1</v>
      </c>
      <c r="X536" s="629"/>
      <c r="Y536" s="629"/>
      <c r="Z536" s="629"/>
      <c r="AA536" s="629"/>
      <c r="AB536" s="629"/>
      <c r="AC536" s="629"/>
      <c r="AD536" s="629"/>
      <c r="AE536" s="629"/>
      <c r="AF536" s="629"/>
      <c r="AG536" s="629"/>
      <c r="AH536" s="630"/>
      <c r="AI536" s="631"/>
      <c r="AJ536" s="631">
        <v>1</v>
      </c>
      <c r="AK536" s="631"/>
      <c r="AL536" s="631"/>
      <c r="AM536" s="629"/>
      <c r="AN536" s="633">
        <f>SUM(BProvPrivEnrlmtUnder2233[[#This Row],[K4 H]:[Ungradable Second H]])</f>
        <v>1</v>
      </c>
      <c r="AO536" s="634">
        <v>1</v>
      </c>
      <c r="AP536" s="629" t="s">
        <v>390</v>
      </c>
      <c r="AQ536" s="629" t="str">
        <f>INDEX(TableAFNSchools[North/South of 53rd Parallel &amp; Fly-in = North],MATCH(BProvPrivEnrlmtUnder2233[[#This Row],[Band No.]],TableAFNSchools[Band No '#],0))</f>
        <v>South</v>
      </c>
      <c r="AR536" s="629" t="s">
        <v>1397</v>
      </c>
      <c r="AS536" s="629" t="s">
        <v>442</v>
      </c>
      <c r="AT536" s="629" t="str">
        <f>IF(BProvPrivEnrlmtUnder2233[[#This Row],[K4]]="","None",IF(BProvPrivEnrlmtUnder2233[[#This Row],[K4]]&lt;BProvPrivEnrlmtUnder2233[[#This Row],[K4 H]],"Half-day",IF(AND(BProvPrivEnrlmtUnder2233[[#This Row],[K4]]&gt;0,BProvPrivEnrlmtUnder2233[[#This Row],[K4]]=BProvPrivEnrlmtUnder2233[[#This Row],[K4 H]]),"Full-day",0)))</f>
        <v>None</v>
      </c>
      <c r="AU536" s="629" t="str">
        <f>IF(BProvPrivEnrlmtUnder2233[[#This Row],[K5]]="","None",IF(BProvPrivEnrlmtUnder2233[[#This Row],[K5]]&lt;BProvPrivEnrlmtUnder2233[[#This Row],[K5 H]],"Half-day",IF(AND(BProvPrivEnrlmtUnder2233[[#This Row],[K5]]&gt;0,BProvPrivEnrlmtUnder2233[[#This Row],[K5]]=BProvPrivEnrlmtUnder2233[[#This Row],[K5 H]]),"Full-day",0)))</f>
        <v>None</v>
      </c>
      <c r="AV536" s="635">
        <f t="array" ref="AV536">IFERROR(INDEX($J$755:$J$818,MATCH(BProvPrivEnrlmtUnder2233[[#This Row],[Band No.]]&amp;BProvPrivEnrlmtUnder2233[[#This Row],[School No.]],$A$755:$A$818&amp;$E$755:$E$818,0)),0)</f>
        <v>1</v>
      </c>
      <c r="AW536" s="635">
        <f t="array" ref="AW536">IFERROR(INDEX($M$755:$M$818,MATCH(BProvPrivEnrlmtUnder2233[[#This Row],[Band No.]]&amp;BProvPrivEnrlmtUnder2233[[#This Row],[School No.]],$A$755:$A$818&amp;$E$755:$E$818,0)),0)</f>
        <v>0</v>
      </c>
      <c r="AX536" s="624">
        <f t="array" ref="AX536">IFERROR(INDEX($I$755:$I$818,MATCH(BProvPrivEnrlmtUnder2233[[#This Row],[Band No.]]&amp;BProvPrivEnrlmtUnder2233[[#This Row],[School No.]],$A$755:$A$818&amp;$E$755:$E$818,0)),0)</f>
        <v>0</v>
      </c>
      <c r="AY536" s="630">
        <f t="array" ref="AY536">IFERROR(INDEX($K$755:$K$818,MATCH(BProvPrivEnrlmtUnder2233[[#This Row],[Band No.]]&amp;BProvPrivEnrlmtUnder2233[[#This Row],[School No.]],$A$755:$A$818&amp;$E$755:$E$818,0)),0)</f>
        <v>0</v>
      </c>
      <c r="AZ536" s="637">
        <f t="array" ref="AZ536">IFERROR(INDEX($O$755:$O$818,MATCH(BProvPrivEnrlmtUnder2233[[#This Row],[Band No.]]&amp;BProvPrivEnrlmtUnder2233[[#This Row],[School No.]],$A$755:$A$818&amp;$E$755:$E$818,0)),0)</f>
        <v>0</v>
      </c>
      <c r="BA536" s="637">
        <f t="array" ref="BA536">IFERROR(INDEX($R$755:$R$818,MATCH(BProvPrivEnrlmtUnder2233[[#This Row],[Band No.]]&amp;BProvPrivEnrlmtUnder2233[[#This Row],[School No.]],$A$755:$A$818&amp;$E$755:$E$818,0)),0)</f>
        <v>0</v>
      </c>
      <c r="BB536" s="637">
        <f t="array" ref="BB536">IFERROR(INDEX($N$755:$N$818,MATCH(BProvPrivEnrlmtUnder2233[[#This Row],[Band No.]]&amp;BProvPrivEnrlmtUnder2233[[#This Row],[School No.]],$A$755:$A$818&amp;$E$755:$E$818,0)),0)</f>
        <v>0</v>
      </c>
      <c r="BC536" s="637">
        <f t="array" ref="BC536">IFERROR(INDEX($P$755:$P$818,MATCH(BProvPrivEnrlmtUnder2233[[#This Row],[Band No.]]&amp;BProvPrivEnrlmtUnder2233[[#This Row],[School No.]],$A$755:$A$818&amp;$E$755:$E$818,0)),0)</f>
        <v>0</v>
      </c>
    </row>
    <row r="537" spans="1:55" s="624" customFormat="1" hidden="1">
      <c r="A537" s="629">
        <v>275</v>
      </c>
      <c r="B537" s="629" t="s">
        <v>390</v>
      </c>
      <c r="C537" s="629" t="s">
        <v>1419</v>
      </c>
      <c r="D537" s="629" t="s">
        <v>1420</v>
      </c>
      <c r="E537" s="629" t="s">
        <v>1365</v>
      </c>
      <c r="F537" s="624" t="s">
        <v>1013</v>
      </c>
      <c r="G537" s="629"/>
      <c r="H537" s="629"/>
      <c r="I537" s="629"/>
      <c r="J537" s="629"/>
      <c r="K537" s="629"/>
      <c r="L537" s="629"/>
      <c r="M537" s="629"/>
      <c r="N537" s="629"/>
      <c r="O537" s="629"/>
      <c r="P537" s="629"/>
      <c r="Q537" s="630"/>
      <c r="R537" s="631"/>
      <c r="S537" s="631"/>
      <c r="T537" s="631"/>
      <c r="U537" s="631">
        <v>2</v>
      </c>
      <c r="V537" s="629"/>
      <c r="W537" s="632">
        <f>SUM(BProvPrivEnrlmtUnder2233[[#This Row],[K4]:[Ungradable Second FTE]])</f>
        <v>2</v>
      </c>
      <c r="X537" s="629"/>
      <c r="Y537" s="629"/>
      <c r="Z537" s="629"/>
      <c r="AA537" s="629"/>
      <c r="AB537" s="629"/>
      <c r="AC537" s="629"/>
      <c r="AD537" s="629"/>
      <c r="AE537" s="629"/>
      <c r="AF537" s="629"/>
      <c r="AG537" s="629"/>
      <c r="AH537" s="630"/>
      <c r="AI537" s="631"/>
      <c r="AJ537" s="631"/>
      <c r="AK537" s="631"/>
      <c r="AL537" s="631">
        <v>2</v>
      </c>
      <c r="AM537" s="629"/>
      <c r="AN537" s="633">
        <f>SUM(BProvPrivEnrlmtUnder2233[[#This Row],[K4 H]:[Ungradable Second H]])</f>
        <v>2</v>
      </c>
      <c r="AO537" s="634">
        <v>4</v>
      </c>
      <c r="AP537" s="629" t="s">
        <v>390</v>
      </c>
      <c r="AQ537" s="629" t="str">
        <f>INDEX(TableAFNSchools[North/South of 53rd Parallel &amp; Fly-in = North],MATCH(BProvPrivEnrlmtUnder2233[[#This Row],[Band No.]],TableAFNSchools[Band No '#],0))</f>
        <v>South</v>
      </c>
      <c r="AR537" s="629" t="s">
        <v>1233</v>
      </c>
      <c r="AS537" s="629" t="s">
        <v>442</v>
      </c>
      <c r="AT537" s="629" t="str">
        <f>IF(BProvPrivEnrlmtUnder2233[[#This Row],[K4]]="","None",IF(BProvPrivEnrlmtUnder2233[[#This Row],[K4]]&lt;BProvPrivEnrlmtUnder2233[[#This Row],[K4 H]],"Half-day",IF(AND(BProvPrivEnrlmtUnder2233[[#This Row],[K4]]&gt;0,BProvPrivEnrlmtUnder2233[[#This Row],[K4]]=BProvPrivEnrlmtUnder2233[[#This Row],[K4 H]]),"Full-day",0)))</f>
        <v>None</v>
      </c>
      <c r="AU537" s="629" t="str">
        <f>IF(BProvPrivEnrlmtUnder2233[[#This Row],[K5]]="","None",IF(BProvPrivEnrlmtUnder2233[[#This Row],[K5]]&lt;BProvPrivEnrlmtUnder2233[[#This Row],[K5 H]],"Half-day",IF(AND(BProvPrivEnrlmtUnder2233[[#This Row],[K5]]&gt;0,BProvPrivEnrlmtUnder2233[[#This Row],[K5]]=BProvPrivEnrlmtUnder2233[[#This Row],[K5 H]]),"Full-day",0)))</f>
        <v>None</v>
      </c>
      <c r="AV537" s="635">
        <f t="array" ref="AV537">IFERROR(INDEX($J$755:$J$818,MATCH(BProvPrivEnrlmtUnder2233[[#This Row],[Band No.]]&amp;BProvPrivEnrlmtUnder2233[[#This Row],[School No.]],$A$755:$A$818&amp;$E$755:$E$818,0)),0)</f>
        <v>0</v>
      </c>
      <c r="AW537" s="635">
        <f t="array" ref="AW537">IFERROR(INDEX($M$755:$M$818,MATCH(BProvPrivEnrlmtUnder2233[[#This Row],[Band No.]]&amp;BProvPrivEnrlmtUnder2233[[#This Row],[School No.]],$A$755:$A$818&amp;$E$755:$E$818,0)),0)</f>
        <v>0</v>
      </c>
      <c r="AX537" s="624">
        <f t="array" ref="AX537">IFERROR(INDEX($I$755:$I$818,MATCH(BProvPrivEnrlmtUnder2233[[#This Row],[Band No.]]&amp;BProvPrivEnrlmtUnder2233[[#This Row],[School No.]],$A$755:$A$818&amp;$E$755:$E$818,0)),0)</f>
        <v>0</v>
      </c>
      <c r="AY537" s="630">
        <f t="array" ref="AY537">IFERROR(INDEX($K$755:$K$818,MATCH(BProvPrivEnrlmtUnder2233[[#This Row],[Band No.]]&amp;BProvPrivEnrlmtUnder2233[[#This Row],[School No.]],$A$755:$A$818&amp;$E$755:$E$818,0)),0)</f>
        <v>0</v>
      </c>
      <c r="AZ537" s="637">
        <f t="array" ref="AZ537">IFERROR(INDEX($O$755:$O$818,MATCH(BProvPrivEnrlmtUnder2233[[#This Row],[Band No.]]&amp;BProvPrivEnrlmtUnder2233[[#This Row],[School No.]],$A$755:$A$818&amp;$E$755:$E$818,0)),0)</f>
        <v>0</v>
      </c>
      <c r="BA537" s="637">
        <f t="array" ref="BA537">IFERROR(INDEX($R$755:$R$818,MATCH(BProvPrivEnrlmtUnder2233[[#This Row],[Band No.]]&amp;BProvPrivEnrlmtUnder2233[[#This Row],[School No.]],$A$755:$A$818&amp;$E$755:$E$818,0)),0)</f>
        <v>0</v>
      </c>
      <c r="BB537" s="637">
        <f t="array" ref="BB537">IFERROR(INDEX($N$755:$N$818,MATCH(BProvPrivEnrlmtUnder2233[[#This Row],[Band No.]]&amp;BProvPrivEnrlmtUnder2233[[#This Row],[School No.]],$A$755:$A$818&amp;$E$755:$E$818,0)),0)</f>
        <v>0</v>
      </c>
      <c r="BC537" s="637">
        <f t="array" ref="BC537">IFERROR(INDEX($P$755:$P$818,MATCH(BProvPrivEnrlmtUnder2233[[#This Row],[Band No.]]&amp;BProvPrivEnrlmtUnder2233[[#This Row],[School No.]],$A$755:$A$818&amp;$E$755:$E$818,0)),0)</f>
        <v>0</v>
      </c>
    </row>
    <row r="538" spans="1:55" s="624" customFormat="1" hidden="1">
      <c r="A538" s="629">
        <v>275</v>
      </c>
      <c r="B538" s="629" t="s">
        <v>390</v>
      </c>
      <c r="C538" s="629" t="s">
        <v>1037</v>
      </c>
      <c r="D538" s="629" t="s">
        <v>971</v>
      </c>
      <c r="E538" s="629" t="s">
        <v>1359</v>
      </c>
      <c r="F538" s="629" t="s">
        <v>1013</v>
      </c>
      <c r="G538" s="629"/>
      <c r="N538" s="639"/>
      <c r="P538" s="630"/>
      <c r="Q538" s="630"/>
      <c r="R538" s="630">
        <v>3</v>
      </c>
      <c r="S538" s="630">
        <v>1</v>
      </c>
      <c r="T538" s="630"/>
      <c r="U538" s="630">
        <v>3</v>
      </c>
      <c r="V538" s="630"/>
      <c r="W538" s="640">
        <f>SUM(BProvPrivEnrlmtUnder2233[[#This Row],[K4]:[Ungradable Second FTE]])</f>
        <v>7</v>
      </c>
      <c r="X538" s="641"/>
      <c r="Y538" s="630"/>
      <c r="Z538" s="630"/>
      <c r="AA538" s="630"/>
      <c r="AB538" s="630"/>
      <c r="AC538" s="630"/>
      <c r="AD538" s="630"/>
      <c r="AE538" s="630"/>
      <c r="AF538" s="630"/>
      <c r="AG538" s="630"/>
      <c r="AH538" s="630"/>
      <c r="AI538" s="630">
        <v>3</v>
      </c>
      <c r="AJ538" s="630">
        <v>1</v>
      </c>
      <c r="AK538" s="630"/>
      <c r="AL538" s="630">
        <v>3</v>
      </c>
      <c r="AM538" s="630"/>
      <c r="AN538" s="641">
        <f>SUM(BProvPrivEnrlmtUnder2233[[#This Row],[K4 H]:[Ungradable Second H]])</f>
        <v>7</v>
      </c>
      <c r="AO538" s="642">
        <v>2</v>
      </c>
      <c r="AP538" s="629" t="s">
        <v>390</v>
      </c>
      <c r="AQ538" s="629" t="str">
        <f>INDEX(TableAFNSchools[North/South of 53rd Parallel &amp; Fly-in = North],MATCH(BProvPrivEnrlmtUnder2233[[#This Row],[Band No.]],TableAFNSchools[Band No '#],0))</f>
        <v>South</v>
      </c>
      <c r="AR538" s="630" t="s">
        <v>1388</v>
      </c>
      <c r="AS538" s="629" t="s">
        <v>442</v>
      </c>
      <c r="AT538" s="630" t="str">
        <f>IF(BProvPrivEnrlmtUnder2233[[#This Row],[K4]]="","None",IF(BProvPrivEnrlmtUnder2233[[#This Row],[K4]]&lt;BProvPrivEnrlmtUnder2233[[#This Row],[K4 H]],"Half-day",IF(AND(BProvPrivEnrlmtUnder2233[[#This Row],[K4]]&gt;0,BProvPrivEnrlmtUnder2233[[#This Row],[K4]]=BProvPrivEnrlmtUnder2233[[#This Row],[K4 H]]),"Full-day",0)))</f>
        <v>None</v>
      </c>
      <c r="AU538" s="630" t="str">
        <f>IF(BProvPrivEnrlmtUnder2233[[#This Row],[K5]]="","None",IF(BProvPrivEnrlmtUnder2233[[#This Row],[K5]]&lt;BProvPrivEnrlmtUnder2233[[#This Row],[K5 H]],"Half-day",IF(AND(BProvPrivEnrlmtUnder2233[[#This Row],[K5]]&gt;0,BProvPrivEnrlmtUnder2233[[#This Row],[K5]]=BProvPrivEnrlmtUnder2233[[#This Row],[K5 H]]),"Full-day",0)))</f>
        <v>None</v>
      </c>
      <c r="AV538" s="635">
        <f t="array" ref="AV538">IFERROR(INDEX($J$755:$J$818,MATCH(BProvPrivEnrlmtUnder2233[[#This Row],[Band No.]]&amp;BProvPrivEnrlmtUnder2233[[#This Row],[School No.]],$A$755:$A$818&amp;$E$755:$E$818,0)),0)</f>
        <v>3</v>
      </c>
      <c r="AW538" s="635">
        <f t="array" ref="AW538">IFERROR(INDEX($M$755:$M$818,MATCH(BProvPrivEnrlmtUnder2233[[#This Row],[Band No.]]&amp;BProvPrivEnrlmtUnder2233[[#This Row],[School No.]],$A$755:$A$818&amp;$E$755:$E$818,0)),0)</f>
        <v>0</v>
      </c>
      <c r="AX538" s="624">
        <f t="array" ref="AX538">IFERROR(INDEX($I$755:$I$818,MATCH(BProvPrivEnrlmtUnder2233[[#This Row],[Band No.]]&amp;BProvPrivEnrlmtUnder2233[[#This Row],[School No.]],$A$755:$A$818&amp;$E$755:$E$818,0)),0)</f>
        <v>0</v>
      </c>
      <c r="AY538" s="624">
        <f t="array" ref="AY538">IFERROR(INDEX($K$755:$K$818,MATCH(BProvPrivEnrlmtUnder2233[[#This Row],[Band No.]]&amp;BProvPrivEnrlmtUnder2233[[#This Row],[School No.]],$A$755:$A$818&amp;$E$755:$E$818,0)),0)</f>
        <v>0</v>
      </c>
      <c r="AZ538" s="637">
        <f t="array" ref="AZ538">IFERROR(INDEX($O$755:$O$818,MATCH(BProvPrivEnrlmtUnder2233[[#This Row],[Band No.]]&amp;BProvPrivEnrlmtUnder2233[[#This Row],[School No.]],$A$755:$A$818&amp;$E$755:$E$818,0)),0)</f>
        <v>4</v>
      </c>
      <c r="BA538" s="637">
        <f t="array" ref="BA538">IFERROR(INDEX($R$755:$R$818,MATCH(BProvPrivEnrlmtUnder2233[[#This Row],[Band No.]]&amp;BProvPrivEnrlmtUnder2233[[#This Row],[School No.]],$A$755:$A$818&amp;$E$755:$E$818,0)),0)</f>
        <v>0</v>
      </c>
      <c r="BB538" s="637">
        <f t="array" ref="BB538">IFERROR(INDEX($N$755:$N$818,MATCH(BProvPrivEnrlmtUnder2233[[#This Row],[Band No.]]&amp;BProvPrivEnrlmtUnder2233[[#This Row],[School No.]],$A$755:$A$818&amp;$E$755:$E$818,0)),0)</f>
        <v>0</v>
      </c>
      <c r="BC538" s="637">
        <f t="array" ref="BC538">IFERROR(INDEX($P$755:$P$818,MATCH(BProvPrivEnrlmtUnder2233[[#This Row],[Band No.]]&amp;BProvPrivEnrlmtUnder2233[[#This Row],[School No.]],$A$755:$A$818&amp;$E$755:$E$818,0)),0)</f>
        <v>0</v>
      </c>
    </row>
    <row r="539" spans="1:55" s="624" customFormat="1" hidden="1">
      <c r="A539" s="629">
        <v>275</v>
      </c>
      <c r="B539" s="629" t="s">
        <v>390</v>
      </c>
      <c r="C539" s="629" t="s">
        <v>1065</v>
      </c>
      <c r="D539" s="629" t="s">
        <v>1452</v>
      </c>
      <c r="E539" s="629" t="s">
        <v>1355</v>
      </c>
      <c r="F539" s="624" t="s">
        <v>1013</v>
      </c>
      <c r="P539" s="630"/>
      <c r="Q539" s="630"/>
      <c r="R539" s="630"/>
      <c r="S539" s="630"/>
      <c r="T539" s="630"/>
      <c r="U539" s="630">
        <v>1</v>
      </c>
      <c r="V539" s="630"/>
      <c r="W539" s="640">
        <f>SUM(BProvPrivEnrlmtUnder2233[[#This Row],[K4]:[Ungradable Second FTE]])</f>
        <v>1</v>
      </c>
      <c r="X539" s="630"/>
      <c r="Y539" s="630"/>
      <c r="Z539" s="630"/>
      <c r="AA539" s="630"/>
      <c r="AB539" s="630"/>
      <c r="AC539" s="630"/>
      <c r="AD539" s="630"/>
      <c r="AE539" s="630"/>
      <c r="AF539" s="630"/>
      <c r="AG539" s="630"/>
      <c r="AH539" s="630"/>
      <c r="AI539" s="630"/>
      <c r="AJ539" s="630"/>
      <c r="AK539" s="630"/>
      <c r="AL539" s="630">
        <v>1</v>
      </c>
      <c r="AM539" s="630"/>
      <c r="AN539" s="641">
        <f>SUM(BProvPrivEnrlmtUnder2233[[#This Row],[K4 H]:[Ungradable Second H]])</f>
        <v>1</v>
      </c>
      <c r="AO539" s="642">
        <v>1</v>
      </c>
      <c r="AP539" s="629" t="s">
        <v>390</v>
      </c>
      <c r="AQ539" s="629" t="str">
        <f>INDEX(TableAFNSchools[North/South of 53rd Parallel &amp; Fly-in = North],MATCH(BProvPrivEnrlmtUnder2233[[#This Row],[Band No.]],TableAFNSchools[Band No '#],0))</f>
        <v>South</v>
      </c>
      <c r="AR539" s="630" t="s">
        <v>1433</v>
      </c>
      <c r="AS539" s="629" t="s">
        <v>442</v>
      </c>
      <c r="AT539" s="630" t="str">
        <f>IF(BProvPrivEnrlmtUnder2233[[#This Row],[K4]]="","None",IF(BProvPrivEnrlmtUnder2233[[#This Row],[K4]]&lt;BProvPrivEnrlmtUnder2233[[#This Row],[K4 H]],"Half-day",IF(AND(BProvPrivEnrlmtUnder2233[[#This Row],[K4]]&gt;0,BProvPrivEnrlmtUnder2233[[#This Row],[K4]]=BProvPrivEnrlmtUnder2233[[#This Row],[K4 H]]),"Full-day",0)))</f>
        <v>None</v>
      </c>
      <c r="AU539" s="630" t="str">
        <f>IF(BProvPrivEnrlmtUnder2233[[#This Row],[K5]]="","None",IF(BProvPrivEnrlmtUnder2233[[#This Row],[K5]]&lt;BProvPrivEnrlmtUnder2233[[#This Row],[K5 H]],"Half-day",IF(AND(BProvPrivEnrlmtUnder2233[[#This Row],[K5]]&gt;0,BProvPrivEnrlmtUnder2233[[#This Row],[K5]]=BProvPrivEnrlmtUnder2233[[#This Row],[K5 H]]),"Full-day",0)))</f>
        <v>None</v>
      </c>
      <c r="AV539" s="635">
        <f t="array" ref="AV539">IFERROR(INDEX($J$755:$J$818,MATCH(BProvPrivEnrlmtUnder2233[[#This Row],[Band No.]]&amp;BProvPrivEnrlmtUnder2233[[#This Row],[School No.]],$A$755:$A$818&amp;$E$755:$E$818,0)),0)</f>
        <v>0</v>
      </c>
      <c r="AW539" s="635">
        <f t="array" ref="AW539">IFERROR(INDEX($M$755:$M$818,MATCH(BProvPrivEnrlmtUnder2233[[#This Row],[Band No.]]&amp;BProvPrivEnrlmtUnder2233[[#This Row],[School No.]],$A$755:$A$818&amp;$E$755:$E$818,0)),0)</f>
        <v>0</v>
      </c>
      <c r="AX539" s="624">
        <f t="array" ref="AX539">IFERROR(INDEX($I$755:$I$818,MATCH(BProvPrivEnrlmtUnder2233[[#This Row],[Band No.]]&amp;BProvPrivEnrlmtUnder2233[[#This Row],[School No.]],$A$755:$A$818&amp;$E$755:$E$818,0)),0)</f>
        <v>0</v>
      </c>
      <c r="AY539" s="624">
        <f t="array" ref="AY539">IFERROR(INDEX($K$755:$K$818,MATCH(BProvPrivEnrlmtUnder2233[[#This Row],[Band No.]]&amp;BProvPrivEnrlmtUnder2233[[#This Row],[School No.]],$A$755:$A$818&amp;$E$755:$E$818,0)),0)</f>
        <v>0</v>
      </c>
      <c r="AZ539" s="637">
        <f t="array" ref="AZ539">IFERROR(INDEX($O$755:$O$818,MATCH(BProvPrivEnrlmtUnder2233[[#This Row],[Band No.]]&amp;BProvPrivEnrlmtUnder2233[[#This Row],[School No.]],$A$755:$A$818&amp;$E$755:$E$818,0)),0)</f>
        <v>1</v>
      </c>
      <c r="BA539" s="637">
        <f t="array" ref="BA539">IFERROR(INDEX($R$755:$R$818,MATCH(BProvPrivEnrlmtUnder2233[[#This Row],[Band No.]]&amp;BProvPrivEnrlmtUnder2233[[#This Row],[School No.]],$A$755:$A$818&amp;$E$755:$E$818,0)),0)</f>
        <v>0</v>
      </c>
      <c r="BB539" s="637">
        <f t="array" ref="BB539">IFERROR(INDEX($N$755:$N$818,MATCH(BProvPrivEnrlmtUnder2233[[#This Row],[Band No.]]&amp;BProvPrivEnrlmtUnder2233[[#This Row],[School No.]],$A$755:$A$818&amp;$E$755:$E$818,0)),0)</f>
        <v>0</v>
      </c>
      <c r="BC539" s="637">
        <f t="array" ref="BC539">IFERROR(INDEX($P$755:$P$818,MATCH(BProvPrivEnrlmtUnder2233[[#This Row],[Band No.]]&amp;BProvPrivEnrlmtUnder2233[[#This Row],[School No.]],$A$755:$A$818&amp;$E$755:$E$818,0)),0)</f>
        <v>0</v>
      </c>
    </row>
    <row r="540" spans="1:55" s="624" customFormat="1" hidden="1">
      <c r="A540" s="629">
        <v>275</v>
      </c>
      <c r="B540" s="629" t="s">
        <v>390</v>
      </c>
      <c r="C540" s="629" t="s">
        <v>1071</v>
      </c>
      <c r="D540" s="629" t="s">
        <v>1453</v>
      </c>
      <c r="E540" s="629" t="s">
        <v>1379</v>
      </c>
      <c r="F540" s="624" t="s">
        <v>1013</v>
      </c>
      <c r="P540" s="630"/>
      <c r="Q540" s="630"/>
      <c r="R540" s="630"/>
      <c r="S540" s="630">
        <v>1</v>
      </c>
      <c r="T540" s="630"/>
      <c r="U540" s="630">
        <v>2</v>
      </c>
      <c r="V540" s="630"/>
      <c r="W540" s="640">
        <f>SUM(BProvPrivEnrlmtUnder2233[[#This Row],[K4]:[Ungradable Second FTE]])</f>
        <v>3</v>
      </c>
      <c r="X540" s="630"/>
      <c r="Y540" s="630"/>
      <c r="Z540" s="630"/>
      <c r="AA540" s="630"/>
      <c r="AB540" s="630"/>
      <c r="AC540" s="630"/>
      <c r="AD540" s="630"/>
      <c r="AE540" s="630"/>
      <c r="AF540" s="630"/>
      <c r="AG540" s="630"/>
      <c r="AH540" s="630"/>
      <c r="AI540" s="630"/>
      <c r="AJ540" s="630">
        <v>1</v>
      </c>
      <c r="AK540" s="630"/>
      <c r="AL540" s="630">
        <v>2</v>
      </c>
      <c r="AM540" s="630"/>
      <c r="AN540" s="641">
        <f>SUM(BProvPrivEnrlmtUnder2233[[#This Row],[K4 H]:[Ungradable Second H]])</f>
        <v>3</v>
      </c>
      <c r="AO540" s="642">
        <v>26</v>
      </c>
      <c r="AP540" s="629" t="s">
        <v>390</v>
      </c>
      <c r="AQ540" s="629" t="str">
        <f>INDEX(TableAFNSchools[North/South of 53rd Parallel &amp; Fly-in = North],MATCH(BProvPrivEnrlmtUnder2233[[#This Row],[Band No.]],TableAFNSchools[Band No '#],0))</f>
        <v>South</v>
      </c>
      <c r="AR540" s="630" t="s">
        <v>1454</v>
      </c>
      <c r="AS540" s="629" t="s">
        <v>442</v>
      </c>
      <c r="AT540" s="630" t="str">
        <f>IF(BProvPrivEnrlmtUnder2233[[#This Row],[K4]]="","None",IF(BProvPrivEnrlmtUnder2233[[#This Row],[K4]]&lt;BProvPrivEnrlmtUnder2233[[#This Row],[K4 H]],"Half-day",IF(AND(BProvPrivEnrlmtUnder2233[[#This Row],[K4]]&gt;0,BProvPrivEnrlmtUnder2233[[#This Row],[K4]]=BProvPrivEnrlmtUnder2233[[#This Row],[K4 H]]),"Full-day",0)))</f>
        <v>None</v>
      </c>
      <c r="AU540" s="630" t="str">
        <f>IF(BProvPrivEnrlmtUnder2233[[#This Row],[K5]]="","None",IF(BProvPrivEnrlmtUnder2233[[#This Row],[K5]]&lt;BProvPrivEnrlmtUnder2233[[#This Row],[K5 H]],"Half-day",IF(AND(BProvPrivEnrlmtUnder2233[[#This Row],[K5]]&gt;0,BProvPrivEnrlmtUnder2233[[#This Row],[K5]]=BProvPrivEnrlmtUnder2233[[#This Row],[K5 H]]),"Full-day",0)))</f>
        <v>None</v>
      </c>
      <c r="AV540" s="635">
        <f t="array" ref="AV540">IFERROR(INDEX($J$755:$J$818,MATCH(BProvPrivEnrlmtUnder2233[[#This Row],[Band No.]]&amp;BProvPrivEnrlmtUnder2233[[#This Row],[School No.]],$A$755:$A$818&amp;$E$755:$E$818,0)),0)</f>
        <v>1</v>
      </c>
      <c r="AW540" s="635">
        <f t="array" ref="AW540">IFERROR(INDEX($M$755:$M$818,MATCH(BProvPrivEnrlmtUnder2233[[#This Row],[Band No.]]&amp;BProvPrivEnrlmtUnder2233[[#This Row],[School No.]],$A$755:$A$818&amp;$E$755:$E$818,0)),0)</f>
        <v>0</v>
      </c>
      <c r="AX540" s="624">
        <f t="array" ref="AX540">IFERROR(INDEX($I$755:$I$818,MATCH(BProvPrivEnrlmtUnder2233[[#This Row],[Band No.]]&amp;BProvPrivEnrlmtUnder2233[[#This Row],[School No.]],$A$755:$A$818&amp;$E$755:$E$818,0)),0)</f>
        <v>0</v>
      </c>
      <c r="AY540" s="624">
        <f t="array" ref="AY540">IFERROR(INDEX($K$755:$K$818,MATCH(BProvPrivEnrlmtUnder2233[[#This Row],[Band No.]]&amp;BProvPrivEnrlmtUnder2233[[#This Row],[School No.]],$A$755:$A$818&amp;$E$755:$E$818,0)),0)</f>
        <v>0</v>
      </c>
      <c r="AZ540" s="637">
        <f t="array" ref="AZ540">IFERROR(INDEX($O$755:$O$818,MATCH(BProvPrivEnrlmtUnder2233[[#This Row],[Band No.]]&amp;BProvPrivEnrlmtUnder2233[[#This Row],[School No.]],$A$755:$A$818&amp;$E$755:$E$818,0)),0)</f>
        <v>1</v>
      </c>
      <c r="BA540" s="637">
        <f t="array" ref="BA540">IFERROR(INDEX($R$755:$R$818,MATCH(BProvPrivEnrlmtUnder2233[[#This Row],[Band No.]]&amp;BProvPrivEnrlmtUnder2233[[#This Row],[School No.]],$A$755:$A$818&amp;$E$755:$E$818,0)),0)</f>
        <v>1</v>
      </c>
      <c r="BB540" s="637">
        <f t="array" ref="BB540">IFERROR(INDEX($N$755:$N$818,MATCH(BProvPrivEnrlmtUnder2233[[#This Row],[Band No.]]&amp;BProvPrivEnrlmtUnder2233[[#This Row],[School No.]],$A$755:$A$818&amp;$E$755:$E$818,0)),0)</f>
        <v>0</v>
      </c>
      <c r="BC540" s="637">
        <f t="array" ref="BC540">IFERROR(INDEX($P$755:$P$818,MATCH(BProvPrivEnrlmtUnder2233[[#This Row],[Band No.]]&amp;BProvPrivEnrlmtUnder2233[[#This Row],[School No.]],$A$755:$A$818&amp;$E$755:$E$818,0)),0)</f>
        <v>0</v>
      </c>
    </row>
    <row r="541" spans="1:55" s="624" customFormat="1" hidden="1">
      <c r="A541" s="629">
        <v>275</v>
      </c>
      <c r="B541" s="629" t="s">
        <v>390</v>
      </c>
      <c r="C541" s="629" t="s">
        <v>1455</v>
      </c>
      <c r="D541" s="629" t="s">
        <v>1456</v>
      </c>
      <c r="E541" s="629" t="s">
        <v>1387</v>
      </c>
      <c r="F541" s="624" t="s">
        <v>1013</v>
      </c>
      <c r="P541" s="630"/>
      <c r="Q541" s="630"/>
      <c r="R541" s="630"/>
      <c r="S541" s="630"/>
      <c r="T541" s="630"/>
      <c r="U541" s="630"/>
      <c r="V541" s="630"/>
      <c r="W541" s="640">
        <f>SUM(BProvPrivEnrlmtUnder2233[[#This Row],[K4]:[Ungradable Second FTE]])</f>
        <v>0</v>
      </c>
      <c r="X541" s="630"/>
      <c r="Y541" s="630"/>
      <c r="Z541" s="630"/>
      <c r="AA541" s="630"/>
      <c r="AB541" s="630"/>
      <c r="AC541" s="630"/>
      <c r="AD541" s="630"/>
      <c r="AE541" s="630"/>
      <c r="AF541" s="630"/>
      <c r="AG541" s="630"/>
      <c r="AH541" s="630"/>
      <c r="AI541" s="630"/>
      <c r="AJ541" s="630"/>
      <c r="AK541" s="630"/>
      <c r="AL541" s="630"/>
      <c r="AM541" s="630"/>
      <c r="AN541" s="641">
        <f>SUM(BProvPrivEnrlmtUnder2233[[#This Row],[K4 H]:[Ungradable Second H]])</f>
        <v>0</v>
      </c>
      <c r="AO541" s="642">
        <v>14</v>
      </c>
      <c r="AP541" s="629" t="s">
        <v>390</v>
      </c>
      <c r="AQ541" s="629" t="str">
        <f>INDEX(TableAFNSchools[North/South of 53rd Parallel &amp; Fly-in = North],MATCH(BProvPrivEnrlmtUnder2233[[#This Row],[Band No.]],TableAFNSchools[Band No '#],0))</f>
        <v>South</v>
      </c>
      <c r="AR541" s="630" t="s">
        <v>1397</v>
      </c>
      <c r="AS541" s="629" t="s">
        <v>442</v>
      </c>
      <c r="AT541" s="630" t="str">
        <f>IF(BProvPrivEnrlmtUnder2233[[#This Row],[K4]]="","None",IF(BProvPrivEnrlmtUnder2233[[#This Row],[K4]]&lt;BProvPrivEnrlmtUnder2233[[#This Row],[K4 H]],"Half-day",IF(AND(BProvPrivEnrlmtUnder2233[[#This Row],[K4]]&gt;0,BProvPrivEnrlmtUnder2233[[#This Row],[K4]]=BProvPrivEnrlmtUnder2233[[#This Row],[K4 H]]),"Full-day",0)))</f>
        <v>None</v>
      </c>
      <c r="AU541" s="630" t="str">
        <f>IF(BProvPrivEnrlmtUnder2233[[#This Row],[K5]]="","None",IF(BProvPrivEnrlmtUnder2233[[#This Row],[K5]]&lt;BProvPrivEnrlmtUnder2233[[#This Row],[K5 H]],"Half-day",IF(AND(BProvPrivEnrlmtUnder2233[[#This Row],[K5]]&gt;0,BProvPrivEnrlmtUnder2233[[#This Row],[K5]]=BProvPrivEnrlmtUnder2233[[#This Row],[K5 H]]),"Full-day",0)))</f>
        <v>None</v>
      </c>
      <c r="AV541" s="635">
        <f t="array" ref="AV541">IFERROR(INDEX($J$755:$J$818,MATCH(BProvPrivEnrlmtUnder2233[[#This Row],[Band No.]]&amp;BProvPrivEnrlmtUnder2233[[#This Row],[School No.]],$A$755:$A$818&amp;$E$755:$E$818,0)),0)</f>
        <v>0</v>
      </c>
      <c r="AW541" s="635">
        <f t="array" ref="AW541">IFERROR(INDEX($M$755:$M$818,MATCH(BProvPrivEnrlmtUnder2233[[#This Row],[Band No.]]&amp;BProvPrivEnrlmtUnder2233[[#This Row],[School No.]],$A$755:$A$818&amp;$E$755:$E$818,0)),0)</f>
        <v>0</v>
      </c>
      <c r="AX541" s="624">
        <f t="array" ref="AX541">IFERROR(INDEX($I$755:$I$818,MATCH(BProvPrivEnrlmtUnder2233[[#This Row],[Band No.]]&amp;BProvPrivEnrlmtUnder2233[[#This Row],[School No.]],$A$755:$A$818&amp;$E$755:$E$818,0)),0)</f>
        <v>0</v>
      </c>
      <c r="AY541" s="624">
        <f t="array" ref="AY541">IFERROR(INDEX($K$755:$K$818,MATCH(BProvPrivEnrlmtUnder2233[[#This Row],[Band No.]]&amp;BProvPrivEnrlmtUnder2233[[#This Row],[School No.]],$A$755:$A$818&amp;$E$755:$E$818,0)),0)</f>
        <v>0</v>
      </c>
      <c r="AZ541" s="637">
        <f t="array" ref="AZ541">IFERROR(INDEX($O$755:$O$818,MATCH(BProvPrivEnrlmtUnder2233[[#This Row],[Band No.]]&amp;BProvPrivEnrlmtUnder2233[[#This Row],[School No.]],$A$755:$A$818&amp;$E$755:$E$818,0)),0)</f>
        <v>0</v>
      </c>
      <c r="BA541" s="637">
        <f t="array" ref="BA541">IFERROR(INDEX($R$755:$R$818,MATCH(BProvPrivEnrlmtUnder2233[[#This Row],[Band No.]]&amp;BProvPrivEnrlmtUnder2233[[#This Row],[School No.]],$A$755:$A$818&amp;$E$755:$E$818,0)),0)</f>
        <v>0</v>
      </c>
      <c r="BB541" s="637">
        <f t="array" ref="BB541">IFERROR(INDEX($N$755:$N$818,MATCH(BProvPrivEnrlmtUnder2233[[#This Row],[Band No.]]&amp;BProvPrivEnrlmtUnder2233[[#This Row],[School No.]],$A$755:$A$818&amp;$E$755:$E$818,0)),0)</f>
        <v>0</v>
      </c>
      <c r="BC541" s="637">
        <f t="array" ref="BC541">IFERROR(INDEX($P$755:$P$818,MATCH(BProvPrivEnrlmtUnder2233[[#This Row],[Band No.]]&amp;BProvPrivEnrlmtUnder2233[[#This Row],[School No.]],$A$755:$A$818&amp;$E$755:$E$818,0)),0)</f>
        <v>0</v>
      </c>
    </row>
    <row r="542" spans="1:55" s="624" customFormat="1" hidden="1">
      <c r="A542" s="629">
        <v>275</v>
      </c>
      <c r="B542" s="629" t="s">
        <v>390</v>
      </c>
      <c r="C542" s="629" t="s">
        <v>1457</v>
      </c>
      <c r="D542" s="629" t="s">
        <v>1458</v>
      </c>
      <c r="E542" s="629" t="s">
        <v>1459</v>
      </c>
      <c r="F542" s="624" t="s">
        <v>1013</v>
      </c>
      <c r="P542" s="630"/>
      <c r="Q542" s="630"/>
      <c r="R542" s="630"/>
      <c r="S542" s="630"/>
      <c r="T542" s="630"/>
      <c r="U542" s="630">
        <v>1</v>
      </c>
      <c r="V542" s="630"/>
      <c r="W542" s="640">
        <f>SUM(BProvPrivEnrlmtUnder2233[[#This Row],[K4]:[Ungradable Second FTE]])</f>
        <v>1</v>
      </c>
      <c r="X542" s="630"/>
      <c r="Y542" s="630"/>
      <c r="Z542" s="630"/>
      <c r="AA542" s="630"/>
      <c r="AB542" s="630"/>
      <c r="AC542" s="630"/>
      <c r="AD542" s="630"/>
      <c r="AE542" s="630"/>
      <c r="AF542" s="630"/>
      <c r="AG542" s="630"/>
      <c r="AH542" s="630"/>
      <c r="AI542" s="630"/>
      <c r="AJ542" s="630"/>
      <c r="AK542" s="630"/>
      <c r="AL542" s="630">
        <v>1</v>
      </c>
      <c r="AM542" s="630"/>
      <c r="AN542" s="641">
        <f>SUM(BProvPrivEnrlmtUnder2233[[#This Row],[K4 H]:[Ungradable Second H]])</f>
        <v>1</v>
      </c>
      <c r="AO542" s="642">
        <v>5</v>
      </c>
      <c r="AP542" s="629" t="s">
        <v>390</v>
      </c>
      <c r="AQ542" s="629" t="str">
        <f>INDEX(TableAFNSchools[North/South of 53rd Parallel &amp; Fly-in = North],MATCH(BProvPrivEnrlmtUnder2233[[#This Row],[Band No.]],TableAFNSchools[Band No '#],0))</f>
        <v>South</v>
      </c>
      <c r="AR542" s="630" t="s">
        <v>856</v>
      </c>
      <c r="AS542" s="629" t="s">
        <v>442</v>
      </c>
      <c r="AT542" s="630" t="str">
        <f>IF(BProvPrivEnrlmtUnder2233[[#This Row],[K4]]="","None",IF(BProvPrivEnrlmtUnder2233[[#This Row],[K4]]&lt;BProvPrivEnrlmtUnder2233[[#This Row],[K4 H]],"Half-day",IF(AND(BProvPrivEnrlmtUnder2233[[#This Row],[K4]]&gt;0,BProvPrivEnrlmtUnder2233[[#This Row],[K4]]=BProvPrivEnrlmtUnder2233[[#This Row],[K4 H]]),"Full-day",0)))</f>
        <v>None</v>
      </c>
      <c r="AU542" s="630" t="str">
        <f>IF(BProvPrivEnrlmtUnder2233[[#This Row],[K5]]="","None",IF(BProvPrivEnrlmtUnder2233[[#This Row],[K5]]&lt;BProvPrivEnrlmtUnder2233[[#This Row],[K5 H]],"Half-day",IF(AND(BProvPrivEnrlmtUnder2233[[#This Row],[K5]]&gt;0,BProvPrivEnrlmtUnder2233[[#This Row],[K5]]=BProvPrivEnrlmtUnder2233[[#This Row],[K5 H]]),"Full-day",0)))</f>
        <v>None</v>
      </c>
      <c r="AV542" s="635">
        <f t="array" ref="AV542">IFERROR(INDEX($J$755:$J$818,MATCH(BProvPrivEnrlmtUnder2233[[#This Row],[Band No.]]&amp;BProvPrivEnrlmtUnder2233[[#This Row],[School No.]],$A$755:$A$818&amp;$E$755:$E$818,0)),0)</f>
        <v>0</v>
      </c>
      <c r="AW542" s="635">
        <f t="array" ref="AW542">IFERROR(INDEX($M$755:$M$818,MATCH(BProvPrivEnrlmtUnder2233[[#This Row],[Band No.]]&amp;BProvPrivEnrlmtUnder2233[[#This Row],[School No.]],$A$755:$A$818&amp;$E$755:$E$818,0)),0)</f>
        <v>0</v>
      </c>
      <c r="AX542" s="624">
        <f t="array" ref="AX542">IFERROR(INDEX($I$755:$I$818,MATCH(BProvPrivEnrlmtUnder2233[[#This Row],[Band No.]]&amp;BProvPrivEnrlmtUnder2233[[#This Row],[School No.]],$A$755:$A$818&amp;$E$755:$E$818,0)),0)</f>
        <v>0</v>
      </c>
      <c r="AY542" s="624">
        <f t="array" ref="AY542">IFERROR(INDEX($K$755:$K$818,MATCH(BProvPrivEnrlmtUnder2233[[#This Row],[Band No.]]&amp;BProvPrivEnrlmtUnder2233[[#This Row],[School No.]],$A$755:$A$818&amp;$E$755:$E$818,0)),0)</f>
        <v>0</v>
      </c>
      <c r="AZ542" s="637">
        <f t="array" ref="AZ542">IFERROR(INDEX($O$755:$O$818,MATCH(BProvPrivEnrlmtUnder2233[[#This Row],[Band No.]]&amp;BProvPrivEnrlmtUnder2233[[#This Row],[School No.]],$A$755:$A$818&amp;$E$755:$E$818,0)),0)</f>
        <v>1</v>
      </c>
      <c r="BA542" s="637">
        <f t="array" ref="BA542">IFERROR(INDEX($R$755:$R$818,MATCH(BProvPrivEnrlmtUnder2233[[#This Row],[Band No.]]&amp;BProvPrivEnrlmtUnder2233[[#This Row],[School No.]],$A$755:$A$818&amp;$E$755:$E$818,0)),0)</f>
        <v>0</v>
      </c>
      <c r="BB542" s="637">
        <f t="array" ref="BB542">IFERROR(INDEX($N$755:$N$818,MATCH(BProvPrivEnrlmtUnder2233[[#This Row],[Band No.]]&amp;BProvPrivEnrlmtUnder2233[[#This Row],[School No.]],$A$755:$A$818&amp;$E$755:$E$818,0)),0)</f>
        <v>0</v>
      </c>
      <c r="BC542" s="637">
        <f t="array" ref="BC542">IFERROR(INDEX($P$755:$P$818,MATCH(BProvPrivEnrlmtUnder2233[[#This Row],[Band No.]]&amp;BProvPrivEnrlmtUnder2233[[#This Row],[School No.]],$A$755:$A$818&amp;$E$755:$E$818,0)),0)</f>
        <v>0</v>
      </c>
    </row>
    <row r="543" spans="1:55" s="624" customFormat="1" hidden="1">
      <c r="A543" s="629">
        <v>275</v>
      </c>
      <c r="B543" s="629" t="s">
        <v>390</v>
      </c>
      <c r="C543" s="629" t="s">
        <v>1398</v>
      </c>
      <c r="D543" s="629" t="s">
        <v>1399</v>
      </c>
      <c r="E543" s="629" t="s">
        <v>1399</v>
      </c>
      <c r="F543" s="624" t="s">
        <v>1027</v>
      </c>
      <c r="P543" s="630"/>
      <c r="Q543" s="630"/>
      <c r="R543" s="630">
        <v>1</v>
      </c>
      <c r="S543" s="630"/>
      <c r="T543" s="630"/>
      <c r="U543" s="630"/>
      <c r="V543" s="630"/>
      <c r="W543" s="640">
        <f>SUM(BProvPrivEnrlmtUnder2233[[#This Row],[K4]:[Ungradable Second FTE]])</f>
        <v>1</v>
      </c>
      <c r="X543" s="630"/>
      <c r="Y543" s="630"/>
      <c r="Z543" s="630"/>
      <c r="AA543" s="630"/>
      <c r="AB543" s="630"/>
      <c r="AC543" s="630"/>
      <c r="AD543" s="630"/>
      <c r="AE543" s="630"/>
      <c r="AF543" s="630"/>
      <c r="AG543" s="630"/>
      <c r="AH543" s="630"/>
      <c r="AI543" s="630">
        <v>1</v>
      </c>
      <c r="AJ543" s="630"/>
      <c r="AK543" s="630"/>
      <c r="AL543" s="630"/>
      <c r="AM543" s="630"/>
      <c r="AN543" s="641">
        <f>SUM(BProvPrivEnrlmtUnder2233[[#This Row],[K4 H]:[Ungradable Second H]])</f>
        <v>1</v>
      </c>
      <c r="AO543" s="642">
        <v>11</v>
      </c>
      <c r="AP543" s="629" t="s">
        <v>390</v>
      </c>
      <c r="AQ543" s="629" t="str">
        <f>INDEX(TableAFNSchools[North/South of 53rd Parallel &amp; Fly-in = North],MATCH(BProvPrivEnrlmtUnder2233[[#This Row],[Band No.]],TableAFNSchools[Band No '#],0))</f>
        <v>South</v>
      </c>
      <c r="AR543" s="630" t="s">
        <v>441</v>
      </c>
      <c r="AS543" s="629" t="s">
        <v>442</v>
      </c>
      <c r="AT543" s="630" t="str">
        <f>IF(BProvPrivEnrlmtUnder2233[[#This Row],[K4]]="","None",IF(BProvPrivEnrlmtUnder2233[[#This Row],[K4]]&lt;BProvPrivEnrlmtUnder2233[[#This Row],[K4 H]],"Half-day",IF(AND(BProvPrivEnrlmtUnder2233[[#This Row],[K4]]&gt;0,BProvPrivEnrlmtUnder2233[[#This Row],[K4]]=BProvPrivEnrlmtUnder2233[[#This Row],[K4 H]]),"Full-day",0)))</f>
        <v>None</v>
      </c>
      <c r="AU543" s="630" t="str">
        <f>IF(BProvPrivEnrlmtUnder2233[[#This Row],[K5]]="","None",IF(BProvPrivEnrlmtUnder2233[[#This Row],[K5]]&lt;BProvPrivEnrlmtUnder2233[[#This Row],[K5 H]],"Half-day",IF(AND(BProvPrivEnrlmtUnder2233[[#This Row],[K5]]&gt;0,BProvPrivEnrlmtUnder2233[[#This Row],[K5]]=BProvPrivEnrlmtUnder2233[[#This Row],[K5 H]]),"Full-day",0)))</f>
        <v>None</v>
      </c>
      <c r="AV543" s="635">
        <f t="array" ref="AV543">IFERROR(INDEX($J$755:$J$818,MATCH(BProvPrivEnrlmtUnder2233[[#This Row],[Band No.]]&amp;BProvPrivEnrlmtUnder2233[[#This Row],[School No.]],$A$755:$A$818&amp;$E$755:$E$818,0)),0)</f>
        <v>1</v>
      </c>
      <c r="AW543" s="635">
        <f t="array" ref="AW543">IFERROR(INDEX($M$755:$M$818,MATCH(BProvPrivEnrlmtUnder2233[[#This Row],[Band No.]]&amp;BProvPrivEnrlmtUnder2233[[#This Row],[School No.]],$A$755:$A$818&amp;$E$755:$E$818,0)),0)</f>
        <v>0</v>
      </c>
      <c r="AX543" s="624">
        <f t="array" ref="AX543">IFERROR(INDEX($I$755:$I$818,MATCH(BProvPrivEnrlmtUnder2233[[#This Row],[Band No.]]&amp;BProvPrivEnrlmtUnder2233[[#This Row],[School No.]],$A$755:$A$818&amp;$E$755:$E$818,0)),0)</f>
        <v>0</v>
      </c>
      <c r="AY543" s="624">
        <f t="array" ref="AY543">IFERROR(INDEX($K$755:$K$818,MATCH(BProvPrivEnrlmtUnder2233[[#This Row],[Band No.]]&amp;BProvPrivEnrlmtUnder2233[[#This Row],[School No.]],$A$755:$A$818&amp;$E$755:$E$818,0)),0)</f>
        <v>0</v>
      </c>
      <c r="AZ543" s="637">
        <f t="array" ref="AZ543">IFERROR(INDEX($O$755:$O$818,MATCH(BProvPrivEnrlmtUnder2233[[#This Row],[Band No.]]&amp;BProvPrivEnrlmtUnder2233[[#This Row],[School No.]],$A$755:$A$818&amp;$E$755:$E$818,0)),0)</f>
        <v>0</v>
      </c>
      <c r="BA543" s="637">
        <f t="array" ref="BA543">IFERROR(INDEX($R$755:$R$818,MATCH(BProvPrivEnrlmtUnder2233[[#This Row],[Band No.]]&amp;BProvPrivEnrlmtUnder2233[[#This Row],[School No.]],$A$755:$A$818&amp;$E$755:$E$818,0)),0)</f>
        <v>0</v>
      </c>
      <c r="BB543" s="637">
        <f t="array" ref="BB543">IFERROR(INDEX($N$755:$N$818,MATCH(BProvPrivEnrlmtUnder2233[[#This Row],[Band No.]]&amp;BProvPrivEnrlmtUnder2233[[#This Row],[School No.]],$A$755:$A$818&amp;$E$755:$E$818,0)),0)</f>
        <v>0</v>
      </c>
      <c r="BC543" s="637">
        <f t="array" ref="BC543">IFERROR(INDEX($P$755:$P$818,MATCH(BProvPrivEnrlmtUnder2233[[#This Row],[Band No.]]&amp;BProvPrivEnrlmtUnder2233[[#This Row],[School No.]],$A$755:$A$818&amp;$E$755:$E$818,0)),0)</f>
        <v>0</v>
      </c>
    </row>
    <row r="544" spans="1:55" s="624" customFormat="1" hidden="1">
      <c r="A544" s="629">
        <v>275</v>
      </c>
      <c r="B544" s="629" t="s">
        <v>390</v>
      </c>
      <c r="C544" s="629" t="s">
        <v>1028</v>
      </c>
      <c r="D544" s="629" t="s">
        <v>1460</v>
      </c>
      <c r="E544" s="629" t="s">
        <v>1363</v>
      </c>
      <c r="F544" s="624" t="s">
        <v>1013</v>
      </c>
      <c r="P544" s="630"/>
      <c r="Q544" s="630"/>
      <c r="R544" s="630"/>
      <c r="S544" s="630"/>
      <c r="T544" s="630"/>
      <c r="U544" s="630"/>
      <c r="V544" s="630"/>
      <c r="W544" s="640">
        <f>SUM(BProvPrivEnrlmtUnder2233[[#This Row],[K4]:[Ungradable Second FTE]])</f>
        <v>0</v>
      </c>
      <c r="X544" s="630"/>
      <c r="Y544" s="630"/>
      <c r="Z544" s="630"/>
      <c r="AA544" s="630"/>
      <c r="AB544" s="630"/>
      <c r="AC544" s="630"/>
      <c r="AD544" s="630"/>
      <c r="AE544" s="630"/>
      <c r="AF544" s="630"/>
      <c r="AG544" s="630"/>
      <c r="AH544" s="630"/>
      <c r="AI544" s="630"/>
      <c r="AJ544" s="630"/>
      <c r="AK544" s="630"/>
      <c r="AL544" s="630"/>
      <c r="AM544" s="630"/>
      <c r="AN544" s="641">
        <f>SUM(BProvPrivEnrlmtUnder2233[[#This Row],[K4 H]:[Ungradable Second H]])</f>
        <v>0</v>
      </c>
      <c r="AO544" s="642">
        <v>1</v>
      </c>
      <c r="AP544" s="629" t="s">
        <v>390</v>
      </c>
      <c r="AQ544" s="629" t="str">
        <f>INDEX(TableAFNSchools[North/South of 53rd Parallel &amp; Fly-in = North],MATCH(BProvPrivEnrlmtUnder2233[[#This Row],[Band No.]],TableAFNSchools[Band No '#],0))</f>
        <v>South</v>
      </c>
      <c r="AR544" s="630" t="s">
        <v>441</v>
      </c>
      <c r="AS544" s="629" t="s">
        <v>442</v>
      </c>
      <c r="AT544" s="630" t="str">
        <f>IF(BProvPrivEnrlmtUnder2233[[#This Row],[K4]]="","None",IF(BProvPrivEnrlmtUnder2233[[#This Row],[K4]]&lt;BProvPrivEnrlmtUnder2233[[#This Row],[K4 H]],"Half-day",IF(AND(BProvPrivEnrlmtUnder2233[[#This Row],[K4]]&gt;0,BProvPrivEnrlmtUnder2233[[#This Row],[K4]]=BProvPrivEnrlmtUnder2233[[#This Row],[K4 H]]),"Full-day",0)))</f>
        <v>None</v>
      </c>
      <c r="AU544" s="630" t="str">
        <f>IF(BProvPrivEnrlmtUnder2233[[#This Row],[K5]]="","None",IF(BProvPrivEnrlmtUnder2233[[#This Row],[K5]]&lt;BProvPrivEnrlmtUnder2233[[#This Row],[K5 H]],"Half-day",IF(AND(BProvPrivEnrlmtUnder2233[[#This Row],[K5]]&gt;0,BProvPrivEnrlmtUnder2233[[#This Row],[K5]]=BProvPrivEnrlmtUnder2233[[#This Row],[K5 H]]),"Full-day",0)))</f>
        <v>None</v>
      </c>
      <c r="AV544" s="635">
        <f t="array" ref="AV544">IFERROR(INDEX($J$755:$J$818,MATCH(BProvPrivEnrlmtUnder2233[[#This Row],[Band No.]]&amp;BProvPrivEnrlmtUnder2233[[#This Row],[School No.]],$A$755:$A$818&amp;$E$755:$E$818,0)),0)</f>
        <v>0</v>
      </c>
      <c r="AW544" s="635">
        <f t="array" ref="AW544">IFERROR(INDEX($M$755:$M$818,MATCH(BProvPrivEnrlmtUnder2233[[#This Row],[Band No.]]&amp;BProvPrivEnrlmtUnder2233[[#This Row],[School No.]],$A$755:$A$818&amp;$E$755:$E$818,0)),0)</f>
        <v>0</v>
      </c>
      <c r="AX544" s="624">
        <f t="array" ref="AX544">IFERROR(INDEX($I$755:$I$818,MATCH(BProvPrivEnrlmtUnder2233[[#This Row],[Band No.]]&amp;BProvPrivEnrlmtUnder2233[[#This Row],[School No.]],$A$755:$A$818&amp;$E$755:$E$818,0)),0)</f>
        <v>0</v>
      </c>
      <c r="AY544" s="624">
        <f t="array" ref="AY544">IFERROR(INDEX($K$755:$K$818,MATCH(BProvPrivEnrlmtUnder2233[[#This Row],[Band No.]]&amp;BProvPrivEnrlmtUnder2233[[#This Row],[School No.]],$A$755:$A$818&amp;$E$755:$E$818,0)),0)</f>
        <v>0</v>
      </c>
      <c r="AZ544" s="643">
        <f t="array" ref="AZ544">IFERROR(INDEX($O$755:$O$818,MATCH(BProvPrivEnrlmtUnder2233[[#This Row],[Band No.]]&amp;BProvPrivEnrlmtUnder2233[[#This Row],[School No.]],$A$755:$A$818&amp;$E$755:$E$818,0)),0)</f>
        <v>0</v>
      </c>
      <c r="BA544" s="637">
        <f t="array" ref="BA544">IFERROR(INDEX($R$755:$R$818,MATCH(BProvPrivEnrlmtUnder2233[[#This Row],[Band No.]]&amp;BProvPrivEnrlmtUnder2233[[#This Row],[School No.]],$A$755:$A$818&amp;$E$755:$E$818,0)),0)</f>
        <v>0</v>
      </c>
      <c r="BB544" s="637">
        <f t="array" ref="BB544">IFERROR(INDEX($N$755:$N$818,MATCH(BProvPrivEnrlmtUnder2233[[#This Row],[Band No.]]&amp;BProvPrivEnrlmtUnder2233[[#This Row],[School No.]],$A$755:$A$818&amp;$E$755:$E$818,0)),0)</f>
        <v>0</v>
      </c>
      <c r="BC544" s="637">
        <f t="array" ref="BC544">IFERROR(INDEX($P$755:$P$818,MATCH(BProvPrivEnrlmtUnder2233[[#This Row],[Band No.]]&amp;BProvPrivEnrlmtUnder2233[[#This Row],[School No.]],$A$755:$A$818&amp;$E$755:$E$818,0)),0)</f>
        <v>0</v>
      </c>
    </row>
    <row r="545" spans="1:55" s="624" customFormat="1" hidden="1">
      <c r="A545" s="629">
        <v>275</v>
      </c>
      <c r="B545" s="629" t="s">
        <v>390</v>
      </c>
      <c r="C545" s="629" t="s">
        <v>1039</v>
      </c>
      <c r="D545" s="629" t="s">
        <v>1400</v>
      </c>
      <c r="E545" s="629" t="s">
        <v>1355</v>
      </c>
      <c r="F545" s="624" t="s">
        <v>1013</v>
      </c>
      <c r="P545" s="630"/>
      <c r="Q545" s="630"/>
      <c r="R545" s="630"/>
      <c r="S545" s="630"/>
      <c r="T545" s="630"/>
      <c r="U545" s="630">
        <v>2</v>
      </c>
      <c r="V545" s="630"/>
      <c r="W545" s="640">
        <f>SUM(BProvPrivEnrlmtUnder2233[[#This Row],[K4]:[Ungradable Second FTE]])</f>
        <v>2</v>
      </c>
      <c r="X545" s="630"/>
      <c r="Y545" s="630"/>
      <c r="Z545" s="630"/>
      <c r="AA545" s="630"/>
      <c r="AB545" s="630"/>
      <c r="AC545" s="630"/>
      <c r="AD545" s="630"/>
      <c r="AE545" s="630"/>
      <c r="AF545" s="630"/>
      <c r="AG545" s="630"/>
      <c r="AH545" s="630"/>
      <c r="AI545" s="630"/>
      <c r="AJ545" s="630"/>
      <c r="AK545" s="630"/>
      <c r="AL545" s="630">
        <v>4</v>
      </c>
      <c r="AM545" s="630"/>
      <c r="AN545" s="641">
        <f>SUM(BProvPrivEnrlmtUnder2233[[#This Row],[K4 H]:[Ungradable Second H]])</f>
        <v>4</v>
      </c>
      <c r="AO545" s="642">
        <v>1</v>
      </c>
      <c r="AP545" s="629" t="s">
        <v>390</v>
      </c>
      <c r="AQ545" s="629" t="str">
        <f>INDEX(TableAFNSchools[North/South of 53rd Parallel &amp; Fly-in = North],MATCH(BProvPrivEnrlmtUnder2233[[#This Row],[Band No.]],TableAFNSchools[Band No '#],0))</f>
        <v>South</v>
      </c>
      <c r="AR545" s="630" t="s">
        <v>1233</v>
      </c>
      <c r="AS545" s="629" t="s">
        <v>442</v>
      </c>
      <c r="AT545" s="630" t="str">
        <f>IF(BProvPrivEnrlmtUnder2233[[#This Row],[K4]]="","None",IF(BProvPrivEnrlmtUnder2233[[#This Row],[K4]]&lt;BProvPrivEnrlmtUnder2233[[#This Row],[K4 H]],"Half-day",IF(AND(BProvPrivEnrlmtUnder2233[[#This Row],[K4]]&gt;0,BProvPrivEnrlmtUnder2233[[#This Row],[K4]]=BProvPrivEnrlmtUnder2233[[#This Row],[K4 H]]),"Full-day",0)))</f>
        <v>None</v>
      </c>
      <c r="AU545" s="630" t="str">
        <f>IF(BProvPrivEnrlmtUnder2233[[#This Row],[K5]]="","None",IF(BProvPrivEnrlmtUnder2233[[#This Row],[K5]]&lt;BProvPrivEnrlmtUnder2233[[#This Row],[K5 H]],"Half-day",IF(AND(BProvPrivEnrlmtUnder2233[[#This Row],[K5]]&gt;0,BProvPrivEnrlmtUnder2233[[#This Row],[K5]]=BProvPrivEnrlmtUnder2233[[#This Row],[K5 H]]),"Full-day",0)))</f>
        <v>None</v>
      </c>
      <c r="AV545" s="635">
        <f t="array" ref="AV545">IFERROR(INDEX($J$755:$J$818,MATCH(BProvPrivEnrlmtUnder2233[[#This Row],[Band No.]]&amp;BProvPrivEnrlmtUnder2233[[#This Row],[School No.]],$A$755:$A$818&amp;$E$755:$E$818,0)),0)</f>
        <v>1</v>
      </c>
      <c r="AW545" s="635">
        <f t="array" ref="AW545">IFERROR(INDEX($M$755:$M$818,MATCH(BProvPrivEnrlmtUnder2233[[#This Row],[Band No.]]&amp;BProvPrivEnrlmtUnder2233[[#This Row],[School No.]],$A$755:$A$818&amp;$E$755:$E$818,0)),0)</f>
        <v>0</v>
      </c>
      <c r="AX545" s="624">
        <f t="array" ref="AX545">IFERROR(INDEX($I$755:$I$818,MATCH(BProvPrivEnrlmtUnder2233[[#This Row],[Band No.]]&amp;BProvPrivEnrlmtUnder2233[[#This Row],[School No.]],$A$755:$A$818&amp;$E$755:$E$818,0)),0)</f>
        <v>0</v>
      </c>
      <c r="AY545" s="624">
        <f t="array" ref="AY545">IFERROR(INDEX($K$755:$K$818,MATCH(BProvPrivEnrlmtUnder2233[[#This Row],[Band No.]]&amp;BProvPrivEnrlmtUnder2233[[#This Row],[School No.]],$A$755:$A$818&amp;$E$755:$E$818,0)),0)</f>
        <v>0</v>
      </c>
      <c r="AZ545" s="638">
        <f t="array" ref="AZ545">IFERROR(INDEX($O$755:$O$818,MATCH(BProvPrivEnrlmtUnder2233[[#This Row],[Band No.]]&amp;BProvPrivEnrlmtUnder2233[[#This Row],[School No.]],$A$755:$A$818&amp;$E$755:$E$818,0)),0)</f>
        <v>3</v>
      </c>
      <c r="BA545" s="637">
        <f t="array" ref="BA545">IFERROR(INDEX($R$755:$R$818,MATCH(BProvPrivEnrlmtUnder2233[[#This Row],[Band No.]]&amp;BProvPrivEnrlmtUnder2233[[#This Row],[School No.]],$A$755:$A$818&amp;$E$755:$E$818,0)),0)</f>
        <v>0</v>
      </c>
      <c r="BB545" s="637">
        <f t="array" ref="BB545">IFERROR(INDEX($N$755:$N$818,MATCH(BProvPrivEnrlmtUnder2233[[#This Row],[Band No.]]&amp;BProvPrivEnrlmtUnder2233[[#This Row],[School No.]],$A$755:$A$818&amp;$E$755:$E$818,0)),0)</f>
        <v>0</v>
      </c>
      <c r="BC545" s="637">
        <f t="array" ref="BC545">IFERROR(INDEX($P$755:$P$818,MATCH(BProvPrivEnrlmtUnder2233[[#This Row],[Band No.]]&amp;BProvPrivEnrlmtUnder2233[[#This Row],[School No.]],$A$755:$A$818&amp;$E$755:$E$818,0)),0)</f>
        <v>0</v>
      </c>
    </row>
    <row r="546" spans="1:55" s="624" customFormat="1" hidden="1">
      <c r="A546" s="629">
        <v>286</v>
      </c>
      <c r="B546" s="629" t="s">
        <v>406</v>
      </c>
      <c r="C546" s="629" t="s">
        <v>1044</v>
      </c>
      <c r="D546" s="629" t="s">
        <v>968</v>
      </c>
      <c r="E546" s="629" t="s">
        <v>1355</v>
      </c>
      <c r="F546" s="624" t="s">
        <v>1013</v>
      </c>
      <c r="P546" s="630"/>
      <c r="Q546" s="630"/>
      <c r="R546" s="630"/>
      <c r="S546" s="630">
        <v>1</v>
      </c>
      <c r="T546" s="630"/>
      <c r="U546" s="630">
        <v>1</v>
      </c>
      <c r="V546" s="630"/>
      <c r="W546" s="640">
        <f>SUM(BProvPrivEnrlmtUnder2233[[#This Row],[K4]:[Ungradable Second FTE]])</f>
        <v>2</v>
      </c>
      <c r="X546" s="630"/>
      <c r="Y546" s="630"/>
      <c r="Z546" s="630"/>
      <c r="AA546" s="630"/>
      <c r="AB546" s="630"/>
      <c r="AC546" s="630"/>
      <c r="AD546" s="630"/>
      <c r="AE546" s="630"/>
      <c r="AF546" s="630"/>
      <c r="AG546" s="630"/>
      <c r="AH546" s="630"/>
      <c r="AI546" s="630"/>
      <c r="AJ546" s="630">
        <v>1</v>
      </c>
      <c r="AK546" s="630"/>
      <c r="AL546" s="630">
        <v>1</v>
      </c>
      <c r="AM546" s="630"/>
      <c r="AN546" s="641">
        <f>SUM(BProvPrivEnrlmtUnder2233[[#This Row],[K4 H]:[Ungradable Second H]])</f>
        <v>2</v>
      </c>
      <c r="AO546" s="642">
        <v>16</v>
      </c>
      <c r="AP546" s="630" t="s">
        <v>406</v>
      </c>
      <c r="AQ546" s="629" t="str">
        <f>INDEX(TableAFNSchools[North/South of 53rd Parallel &amp; Fly-in = North],MATCH(BProvPrivEnrlmtUnder2233[[#This Row],[Band No.]],TableAFNSchools[Band No '#],0))</f>
        <v>South</v>
      </c>
      <c r="AR546" s="630" t="s">
        <v>854</v>
      </c>
      <c r="AS546" s="630" t="s">
        <v>446</v>
      </c>
      <c r="AT546" s="630" t="str">
        <f>IF(BProvPrivEnrlmtUnder2233[[#This Row],[K4]]="","None",IF(BProvPrivEnrlmtUnder2233[[#This Row],[K4]]&lt;BProvPrivEnrlmtUnder2233[[#This Row],[K4 H]],"Half-day",IF(AND(BProvPrivEnrlmtUnder2233[[#This Row],[K4]]&gt;0,BProvPrivEnrlmtUnder2233[[#This Row],[K4]]=BProvPrivEnrlmtUnder2233[[#This Row],[K4 H]]),"Full-day",0)))</f>
        <v>None</v>
      </c>
      <c r="AU546" s="630" t="str">
        <f>IF(BProvPrivEnrlmtUnder2233[[#This Row],[K5]]="","None",IF(BProvPrivEnrlmtUnder2233[[#This Row],[K5]]&lt;BProvPrivEnrlmtUnder2233[[#This Row],[K5 H]],"Half-day",IF(AND(BProvPrivEnrlmtUnder2233[[#This Row],[K5]]&gt;0,BProvPrivEnrlmtUnder2233[[#This Row],[K5]]=BProvPrivEnrlmtUnder2233[[#This Row],[K5 H]]),"Full-day",0)))</f>
        <v>None</v>
      </c>
      <c r="AV546" s="635">
        <f t="array" ref="AV546">IFERROR(INDEX($J$755:$J$818,MATCH(BProvPrivEnrlmtUnder2233[[#This Row],[Band No.]]&amp;BProvPrivEnrlmtUnder2233[[#This Row],[School No.]],$A$755:$A$818&amp;$E$755:$E$818,0)),0)</f>
        <v>2</v>
      </c>
      <c r="AW546" s="635">
        <f t="array" ref="AW546">IFERROR(INDEX($M$755:$M$818,MATCH(BProvPrivEnrlmtUnder2233[[#This Row],[Band No.]]&amp;BProvPrivEnrlmtUnder2233[[#This Row],[School No.]],$A$755:$A$818&amp;$E$755:$E$818,0)),0)</f>
        <v>0</v>
      </c>
      <c r="AX546" s="624">
        <f t="array" ref="AX546">IFERROR(INDEX($I$755:$I$818,MATCH(BProvPrivEnrlmtUnder2233[[#This Row],[Band No.]]&amp;BProvPrivEnrlmtUnder2233[[#This Row],[School No.]],$A$755:$A$818&amp;$E$755:$E$818,0)),0)</f>
        <v>0</v>
      </c>
      <c r="AY546" s="624">
        <f t="array" ref="AY546">IFERROR(INDEX($K$755:$K$818,MATCH(BProvPrivEnrlmtUnder2233[[#This Row],[Band No.]]&amp;BProvPrivEnrlmtUnder2233[[#This Row],[School No.]],$A$755:$A$818&amp;$E$755:$E$818,0)),0)</f>
        <v>0</v>
      </c>
      <c r="AZ546" s="638">
        <f t="array" ref="AZ546">IFERROR(INDEX($O$755:$O$818,MATCH(BProvPrivEnrlmtUnder2233[[#This Row],[Band No.]]&amp;BProvPrivEnrlmtUnder2233[[#This Row],[School No.]],$A$755:$A$818&amp;$E$755:$E$818,0)),0)</f>
        <v>0</v>
      </c>
      <c r="BA546" s="637">
        <f t="array" ref="BA546">IFERROR(INDEX($R$755:$R$818,MATCH(BProvPrivEnrlmtUnder2233[[#This Row],[Band No.]]&amp;BProvPrivEnrlmtUnder2233[[#This Row],[School No.]],$A$755:$A$818&amp;$E$755:$E$818,0)),0)</f>
        <v>0</v>
      </c>
      <c r="BB546" s="637">
        <f t="array" ref="BB546">IFERROR(INDEX($N$755:$N$818,MATCH(BProvPrivEnrlmtUnder2233[[#This Row],[Band No.]]&amp;BProvPrivEnrlmtUnder2233[[#This Row],[School No.]],$A$755:$A$818&amp;$E$755:$E$818,0)),0)</f>
        <v>0</v>
      </c>
      <c r="BC546" s="637">
        <f t="array" ref="BC546">IFERROR(INDEX($P$755:$P$818,MATCH(BProvPrivEnrlmtUnder2233[[#This Row],[Band No.]]&amp;BProvPrivEnrlmtUnder2233[[#This Row],[School No.]],$A$755:$A$818&amp;$E$755:$E$818,0)),0)</f>
        <v>0</v>
      </c>
    </row>
    <row r="547" spans="1:55" s="624" customFormat="1" hidden="1">
      <c r="A547" s="629">
        <v>286</v>
      </c>
      <c r="B547" s="629" t="s">
        <v>406</v>
      </c>
      <c r="C547" s="629" t="s">
        <v>1461</v>
      </c>
      <c r="D547" s="629" t="s">
        <v>981</v>
      </c>
      <c r="E547" s="629" t="s">
        <v>1366</v>
      </c>
      <c r="F547" s="624" t="s">
        <v>1013</v>
      </c>
      <c r="P547" s="630"/>
      <c r="Q547" s="630"/>
      <c r="R547" s="630"/>
      <c r="S547" s="630"/>
      <c r="T547" s="630">
        <v>1</v>
      </c>
      <c r="U547" s="630"/>
      <c r="V547" s="630"/>
      <c r="W547" s="640">
        <f>SUM(BProvPrivEnrlmtUnder2233[[#This Row],[K4]:[Ungradable Second FTE]])</f>
        <v>1</v>
      </c>
      <c r="X547" s="630"/>
      <c r="Y547" s="630"/>
      <c r="Z547" s="630"/>
      <c r="AA547" s="630"/>
      <c r="AB547" s="630"/>
      <c r="AC547" s="630"/>
      <c r="AD547" s="630"/>
      <c r="AE547" s="630"/>
      <c r="AF547" s="630"/>
      <c r="AG547" s="630"/>
      <c r="AH547" s="630"/>
      <c r="AI547" s="630"/>
      <c r="AJ547" s="630"/>
      <c r="AK547" s="630">
        <v>1</v>
      </c>
      <c r="AL547" s="630"/>
      <c r="AM547" s="630"/>
      <c r="AN547" s="641">
        <f>SUM(BProvPrivEnrlmtUnder2233[[#This Row],[K4 H]:[Ungradable Second H]])</f>
        <v>1</v>
      </c>
      <c r="AO547" s="642">
        <v>1</v>
      </c>
      <c r="AP547" s="630" t="s">
        <v>406</v>
      </c>
      <c r="AQ547" s="629" t="str">
        <f>INDEX(TableAFNSchools[North/South of 53rd Parallel &amp; Fly-in = North],MATCH(BProvPrivEnrlmtUnder2233[[#This Row],[Band No.]],TableAFNSchools[Band No '#],0))</f>
        <v>South</v>
      </c>
      <c r="AR547" s="630" t="s">
        <v>844</v>
      </c>
      <c r="AS547" s="630" t="s">
        <v>446</v>
      </c>
      <c r="AT547" s="630" t="str">
        <f>IF(BProvPrivEnrlmtUnder2233[[#This Row],[K4]]="","None",IF(BProvPrivEnrlmtUnder2233[[#This Row],[K4]]&lt;BProvPrivEnrlmtUnder2233[[#This Row],[K4 H]],"Half-day",IF(AND(BProvPrivEnrlmtUnder2233[[#This Row],[K4]]&gt;0,BProvPrivEnrlmtUnder2233[[#This Row],[K4]]=BProvPrivEnrlmtUnder2233[[#This Row],[K4 H]]),"Full-day",0)))</f>
        <v>None</v>
      </c>
      <c r="AU547" s="630" t="str">
        <f>IF(BProvPrivEnrlmtUnder2233[[#This Row],[K5]]="","None",IF(BProvPrivEnrlmtUnder2233[[#This Row],[K5]]&lt;BProvPrivEnrlmtUnder2233[[#This Row],[K5 H]],"Half-day",IF(AND(BProvPrivEnrlmtUnder2233[[#This Row],[K5]]&gt;0,BProvPrivEnrlmtUnder2233[[#This Row],[K5]]=BProvPrivEnrlmtUnder2233[[#This Row],[K5 H]]),"Full-day",0)))</f>
        <v>None</v>
      </c>
      <c r="AV547" s="635">
        <f t="array" ref="AV547">IFERROR(INDEX($J$755:$J$818,MATCH(BProvPrivEnrlmtUnder2233[[#This Row],[Band No.]]&amp;BProvPrivEnrlmtUnder2233[[#This Row],[School No.]],$A$755:$A$818&amp;$E$755:$E$818,0)),0)</f>
        <v>1</v>
      </c>
      <c r="AW547" s="635">
        <f t="array" ref="AW547">IFERROR(INDEX($M$755:$M$818,MATCH(BProvPrivEnrlmtUnder2233[[#This Row],[Band No.]]&amp;BProvPrivEnrlmtUnder2233[[#This Row],[School No.]],$A$755:$A$818&amp;$E$755:$E$818,0)),0)</f>
        <v>0</v>
      </c>
      <c r="AX547" s="624">
        <f t="array" ref="AX547">IFERROR(INDEX($I$755:$I$818,MATCH(BProvPrivEnrlmtUnder2233[[#This Row],[Band No.]]&amp;BProvPrivEnrlmtUnder2233[[#This Row],[School No.]],$A$755:$A$818&amp;$E$755:$E$818,0)),0)</f>
        <v>0</v>
      </c>
      <c r="AY547" s="624">
        <f t="array" ref="AY547">IFERROR(INDEX($K$755:$K$818,MATCH(BProvPrivEnrlmtUnder2233[[#This Row],[Band No.]]&amp;BProvPrivEnrlmtUnder2233[[#This Row],[School No.]],$A$755:$A$818&amp;$E$755:$E$818,0)),0)</f>
        <v>0</v>
      </c>
      <c r="AZ547" s="643">
        <f t="array" ref="AZ547">IFERROR(INDEX($O$755:$O$818,MATCH(BProvPrivEnrlmtUnder2233[[#This Row],[Band No.]]&amp;BProvPrivEnrlmtUnder2233[[#This Row],[School No.]],$A$755:$A$818&amp;$E$755:$E$818,0)),0)</f>
        <v>0</v>
      </c>
      <c r="BA547" s="637">
        <f t="array" ref="BA547">IFERROR(INDEX($R$755:$R$818,MATCH(BProvPrivEnrlmtUnder2233[[#This Row],[Band No.]]&amp;BProvPrivEnrlmtUnder2233[[#This Row],[School No.]],$A$755:$A$818&amp;$E$755:$E$818,0)),0)</f>
        <v>0</v>
      </c>
      <c r="BB547" s="637">
        <f t="array" ref="BB547">IFERROR(INDEX($N$755:$N$818,MATCH(BProvPrivEnrlmtUnder2233[[#This Row],[Band No.]]&amp;BProvPrivEnrlmtUnder2233[[#This Row],[School No.]],$A$755:$A$818&amp;$E$755:$E$818,0)),0)</f>
        <v>0</v>
      </c>
      <c r="BC547" s="637">
        <f t="array" ref="BC547">IFERROR(INDEX($P$755:$P$818,MATCH(BProvPrivEnrlmtUnder2233[[#This Row],[Band No.]]&amp;BProvPrivEnrlmtUnder2233[[#This Row],[School No.]],$A$755:$A$818&amp;$E$755:$E$818,0)),0)</f>
        <v>0</v>
      </c>
    </row>
    <row r="548" spans="1:55" s="624" customFormat="1" hidden="1">
      <c r="A548" s="629">
        <v>286</v>
      </c>
      <c r="B548" s="629" t="s">
        <v>406</v>
      </c>
      <c r="C548" s="629" t="s">
        <v>1462</v>
      </c>
      <c r="D548" s="629" t="s">
        <v>1368</v>
      </c>
      <c r="E548" s="629" t="s">
        <v>1369</v>
      </c>
      <c r="F548" s="624" t="s">
        <v>1013</v>
      </c>
      <c r="P548" s="630"/>
      <c r="Q548" s="630"/>
      <c r="R548" s="630">
        <v>11</v>
      </c>
      <c r="S548" s="630">
        <v>5</v>
      </c>
      <c r="T548" s="630">
        <v>6</v>
      </c>
      <c r="U548" s="630">
        <v>6</v>
      </c>
      <c r="V548" s="630"/>
      <c r="W548" s="640">
        <f>SUM(BProvPrivEnrlmtUnder2233[[#This Row],[K4]:[Ungradable Second FTE]])</f>
        <v>28</v>
      </c>
      <c r="X548" s="630"/>
      <c r="Y548" s="630"/>
      <c r="Z548" s="630"/>
      <c r="AA548" s="630"/>
      <c r="AB548" s="630"/>
      <c r="AC548" s="630"/>
      <c r="AD548" s="630"/>
      <c r="AE548" s="630"/>
      <c r="AF548" s="630"/>
      <c r="AG548" s="630"/>
      <c r="AH548" s="630"/>
      <c r="AI548" s="630">
        <v>11</v>
      </c>
      <c r="AJ548" s="630">
        <v>5</v>
      </c>
      <c r="AK548" s="630">
        <v>6</v>
      </c>
      <c r="AL548" s="630">
        <v>6</v>
      </c>
      <c r="AM548" s="630"/>
      <c r="AN548" s="641">
        <f>SUM(BProvPrivEnrlmtUnder2233[[#This Row],[K4 H]:[Ungradable Second H]])</f>
        <v>28</v>
      </c>
      <c r="AO548" s="642">
        <v>16</v>
      </c>
      <c r="AP548" s="630" t="s">
        <v>406</v>
      </c>
      <c r="AQ548" s="629" t="str">
        <f>INDEX(TableAFNSchools[North/South of 53rd Parallel &amp; Fly-in = North],MATCH(BProvPrivEnrlmtUnder2233[[#This Row],[Band No.]],TableAFNSchools[Band No '#],0))</f>
        <v>South</v>
      </c>
      <c r="AR548" s="630" t="s">
        <v>1463</v>
      </c>
      <c r="AS548" s="630" t="s">
        <v>446</v>
      </c>
      <c r="AT548" s="630" t="str">
        <f>IF(BProvPrivEnrlmtUnder2233[[#This Row],[K4]]="","None",IF(BProvPrivEnrlmtUnder2233[[#This Row],[K4]]&lt;BProvPrivEnrlmtUnder2233[[#This Row],[K4 H]],"Half-day",IF(AND(BProvPrivEnrlmtUnder2233[[#This Row],[K4]]&gt;0,BProvPrivEnrlmtUnder2233[[#This Row],[K4]]=BProvPrivEnrlmtUnder2233[[#This Row],[K4 H]]),"Full-day",0)))</f>
        <v>None</v>
      </c>
      <c r="AU548" s="630" t="str">
        <f>IF(BProvPrivEnrlmtUnder2233[[#This Row],[K5]]="","None",IF(BProvPrivEnrlmtUnder2233[[#This Row],[K5]]&lt;BProvPrivEnrlmtUnder2233[[#This Row],[K5 H]],"Half-day",IF(AND(BProvPrivEnrlmtUnder2233[[#This Row],[K5]]&gt;0,BProvPrivEnrlmtUnder2233[[#This Row],[K5]]=BProvPrivEnrlmtUnder2233[[#This Row],[K5 H]]),"Full-day",0)))</f>
        <v>None</v>
      </c>
      <c r="AV548" s="635">
        <f t="array" ref="AV548">IFERROR(INDEX($J$755:$J$818,MATCH(BProvPrivEnrlmtUnder2233[[#This Row],[Band No.]]&amp;BProvPrivEnrlmtUnder2233[[#This Row],[School No.]],$A$755:$A$818&amp;$E$755:$E$818,0)),0)</f>
        <v>0</v>
      </c>
      <c r="AW548" s="635">
        <f t="array" ref="AW548">IFERROR(INDEX($M$755:$M$818,MATCH(BProvPrivEnrlmtUnder2233[[#This Row],[Band No.]]&amp;BProvPrivEnrlmtUnder2233[[#This Row],[School No.]],$A$755:$A$818&amp;$E$755:$E$818,0)),0)</f>
        <v>1</v>
      </c>
      <c r="AX548" s="624">
        <f t="array" ref="AX548">IFERROR(INDEX($I$755:$I$818,MATCH(BProvPrivEnrlmtUnder2233[[#This Row],[Band No.]]&amp;BProvPrivEnrlmtUnder2233[[#This Row],[School No.]],$A$755:$A$818&amp;$E$755:$E$818,0)),0)</f>
        <v>0</v>
      </c>
      <c r="AY548" s="624">
        <f t="array" ref="AY548">IFERROR(INDEX($K$755:$K$818,MATCH(BProvPrivEnrlmtUnder2233[[#This Row],[Band No.]]&amp;BProvPrivEnrlmtUnder2233[[#This Row],[School No.]],$A$755:$A$818&amp;$E$755:$E$818,0)),0)</f>
        <v>0</v>
      </c>
      <c r="AZ548" s="638">
        <f t="array" ref="AZ548">IFERROR(INDEX($O$755:$O$818,MATCH(BProvPrivEnrlmtUnder2233[[#This Row],[Band No.]]&amp;BProvPrivEnrlmtUnder2233[[#This Row],[School No.]],$A$755:$A$818&amp;$E$755:$E$818,0)),0)</f>
        <v>0</v>
      </c>
      <c r="BA548" s="637">
        <f t="array" ref="BA548">IFERROR(INDEX($R$755:$R$818,MATCH(BProvPrivEnrlmtUnder2233[[#This Row],[Band No.]]&amp;BProvPrivEnrlmtUnder2233[[#This Row],[School No.]],$A$755:$A$818&amp;$E$755:$E$818,0)),0)</f>
        <v>0</v>
      </c>
      <c r="BB548" s="637">
        <f t="array" ref="BB548">IFERROR(INDEX($N$755:$N$818,MATCH(BProvPrivEnrlmtUnder2233[[#This Row],[Band No.]]&amp;BProvPrivEnrlmtUnder2233[[#This Row],[School No.]],$A$755:$A$818&amp;$E$755:$E$818,0)),0)</f>
        <v>0</v>
      </c>
      <c r="BC548" s="637">
        <f t="array" ref="BC548">IFERROR(INDEX($P$755:$P$818,MATCH(BProvPrivEnrlmtUnder2233[[#This Row],[Band No.]]&amp;BProvPrivEnrlmtUnder2233[[#This Row],[School No.]],$A$755:$A$818&amp;$E$755:$E$818,0)),0)</f>
        <v>0</v>
      </c>
    </row>
    <row r="549" spans="1:55" s="624" customFormat="1" hidden="1">
      <c r="A549" s="629">
        <v>288</v>
      </c>
      <c r="B549" s="629" t="s">
        <v>398</v>
      </c>
      <c r="C549" s="629" t="s">
        <v>1464</v>
      </c>
      <c r="D549" s="629" t="s">
        <v>1373</v>
      </c>
      <c r="E549" s="629" t="s">
        <v>1373</v>
      </c>
      <c r="F549" s="624" t="s">
        <v>1027</v>
      </c>
      <c r="I549" s="639"/>
      <c r="K549" s="624">
        <v>1</v>
      </c>
      <c r="L549" s="639"/>
      <c r="P549" s="630"/>
      <c r="Q549" s="630"/>
      <c r="R549" s="630">
        <v>3</v>
      </c>
      <c r="S549" s="630">
        <v>4</v>
      </c>
      <c r="T549" s="630">
        <v>5</v>
      </c>
      <c r="U549" s="630">
        <v>1</v>
      </c>
      <c r="V549" s="630"/>
      <c r="W549" s="640">
        <f>SUM(BProvPrivEnrlmtUnder2233[[#This Row],[K4]:[Ungradable Second FTE]])</f>
        <v>14</v>
      </c>
      <c r="X549" s="630"/>
      <c r="Y549" s="630"/>
      <c r="Z549" s="630"/>
      <c r="AA549" s="630"/>
      <c r="AB549" s="630">
        <v>1</v>
      </c>
      <c r="AC549" s="630"/>
      <c r="AD549" s="630"/>
      <c r="AE549" s="630"/>
      <c r="AF549" s="630"/>
      <c r="AG549" s="630"/>
      <c r="AH549" s="630"/>
      <c r="AI549" s="630">
        <v>3</v>
      </c>
      <c r="AJ549" s="630">
        <v>4</v>
      </c>
      <c r="AK549" s="630">
        <v>5</v>
      </c>
      <c r="AL549" s="630">
        <v>1</v>
      </c>
      <c r="AM549" s="630"/>
      <c r="AN549" s="641">
        <f>SUM(BProvPrivEnrlmtUnder2233[[#This Row],[K4 H]:[Ungradable Second H]])</f>
        <v>14</v>
      </c>
      <c r="AO549" s="642">
        <f>IF(BProvPrivEnrlmtUnder2233[[#This Row],[School Type]]="Adult",0,BProvPrivEnrlmtUnder2233[[#This Row],[TOTAL &lt;22 HEADCOUNT]])</f>
        <v>14</v>
      </c>
      <c r="AP549" s="630" t="s">
        <v>398</v>
      </c>
      <c r="AQ549" s="630" t="str">
        <f>INDEX(TableAFNSchools[North/South of 53rd Parallel &amp; Fly-in = North],MATCH(BProvPrivEnrlmtUnder2233[[#This Row],[Band No.]],TableAFNSchools[Band No '#],0))</f>
        <v>South</v>
      </c>
      <c r="AR549" s="630" t="s">
        <v>856</v>
      </c>
      <c r="AS549" s="630" t="s">
        <v>445</v>
      </c>
      <c r="AT549" s="630" t="str">
        <f>IF(BProvPrivEnrlmtUnder2233[[#This Row],[K4]]="","None",IF(BProvPrivEnrlmtUnder2233[[#This Row],[K4]]&lt;BProvPrivEnrlmtUnder2233[[#This Row],[K4 H]],"Half-day",IF(AND(BProvPrivEnrlmtUnder2233[[#This Row],[K4]]&gt;0,BProvPrivEnrlmtUnder2233[[#This Row],[K4]]=BProvPrivEnrlmtUnder2233[[#This Row],[K4 H]]),"Full-day",0)))</f>
        <v>None</v>
      </c>
      <c r="AU549" s="630" t="str">
        <f>IF(BProvPrivEnrlmtUnder2233[[#This Row],[K5]]="","None",IF(BProvPrivEnrlmtUnder2233[[#This Row],[K5]]&lt;BProvPrivEnrlmtUnder2233[[#This Row],[K5 H]],"Half-day",IF(AND(BProvPrivEnrlmtUnder2233[[#This Row],[K5]]&gt;0,BProvPrivEnrlmtUnder2233[[#This Row],[K5]]=BProvPrivEnrlmtUnder2233[[#This Row],[K5 H]]),"Full-day",0)))</f>
        <v>None</v>
      </c>
      <c r="AV549" s="624">
        <f t="array" ref="AV549">IFERROR(INDEX($J$755:$J$818,MATCH(BProvPrivEnrlmtUnder2233[[#This Row],[Band No.]]&amp;BProvPrivEnrlmtUnder2233[[#This Row],[School No.]],$A$755:$A$818&amp;$E$755:$E$818,0)),0)</f>
        <v>0</v>
      </c>
      <c r="AW549" s="624">
        <f t="array" ref="AW549">IFERROR(INDEX($M$755:$M$818,MATCH(BProvPrivEnrlmtUnder2233[[#This Row],[Band No.]]&amp;BProvPrivEnrlmtUnder2233[[#This Row],[School No.]],$A$755:$A$818&amp;$E$755:$E$818,0)),0)</f>
        <v>0</v>
      </c>
      <c r="AX549" s="624">
        <f t="array" ref="AX549">IFERROR(INDEX($I$755:$I$818,MATCH(BProvPrivEnrlmtUnder2233[[#This Row],[Band No.]]&amp;BProvPrivEnrlmtUnder2233[[#This Row],[School No.]],$A$755:$A$818&amp;$E$755:$E$818,0)),0)</f>
        <v>0</v>
      </c>
      <c r="AY549" s="624">
        <f t="array" ref="AY549">IFERROR(INDEX($K$755:$K$818,MATCH(BProvPrivEnrlmtUnder2233[[#This Row],[Band No.]]&amp;BProvPrivEnrlmtUnder2233[[#This Row],[School No.]],$A$755:$A$818&amp;$E$755:$E$818,0)),0)</f>
        <v>0</v>
      </c>
      <c r="AZ549" s="637">
        <f t="array" ref="AZ549">IFERROR(INDEX($O$755:$O$818,MATCH(BProvPrivEnrlmtUnder2233[[#This Row],[Band No.]]&amp;BProvPrivEnrlmtUnder2233[[#This Row],[School No.]],$A$755:$A$818&amp;$E$755:$E$818,0)),0)</f>
        <v>0</v>
      </c>
      <c r="BA549" s="637">
        <f t="array" ref="BA549">IFERROR(INDEX($R$755:$R$818,MATCH(BProvPrivEnrlmtUnder2233[[#This Row],[Band No.]]&amp;BProvPrivEnrlmtUnder2233[[#This Row],[School No.]],$A$755:$A$818&amp;$E$755:$E$818,0)),0)</f>
        <v>0</v>
      </c>
      <c r="BB549" s="637">
        <f t="array" ref="BB549">IFERROR(INDEX($N$755:$N$818,MATCH(BProvPrivEnrlmtUnder2233[[#This Row],[Band No.]]&amp;BProvPrivEnrlmtUnder2233[[#This Row],[School No.]],$A$755:$A$818&amp;$E$755:$E$818,0)),0)</f>
        <v>0</v>
      </c>
      <c r="BC549" s="637">
        <f t="array" ref="BC549">IFERROR(INDEX($P$755:$P$818,MATCH(BProvPrivEnrlmtUnder2233[[#This Row],[Band No.]]&amp;BProvPrivEnrlmtUnder2233[[#This Row],[School No.]],$A$755:$A$818&amp;$E$755:$E$818,0)),0)</f>
        <v>0</v>
      </c>
    </row>
    <row r="550" spans="1:55" s="624" customFormat="1" hidden="1">
      <c r="A550" s="629">
        <v>288</v>
      </c>
      <c r="B550" s="629" t="s">
        <v>398</v>
      </c>
      <c r="C550" s="629" t="s">
        <v>1465</v>
      </c>
      <c r="D550" s="629" t="s">
        <v>1372</v>
      </c>
      <c r="E550" s="629" t="s">
        <v>1371</v>
      </c>
      <c r="F550" s="624" t="s">
        <v>1013</v>
      </c>
      <c r="I550" s="639"/>
      <c r="L550" s="639"/>
      <c r="P550" s="630"/>
      <c r="Q550" s="630"/>
      <c r="R550" s="630">
        <v>1</v>
      </c>
      <c r="S550" s="630">
        <v>1</v>
      </c>
      <c r="T550" s="630">
        <v>1</v>
      </c>
      <c r="U550" s="630">
        <v>2</v>
      </c>
      <c r="V550" s="630"/>
      <c r="W550" s="640">
        <f>SUM(BProvPrivEnrlmtUnder2233[[#This Row],[K4]:[Ungradable Second FTE]])</f>
        <v>5</v>
      </c>
      <c r="X550" s="630"/>
      <c r="Y550" s="630"/>
      <c r="Z550" s="630"/>
      <c r="AA550" s="630"/>
      <c r="AB550" s="630"/>
      <c r="AC550" s="630"/>
      <c r="AD550" s="630"/>
      <c r="AE550" s="630"/>
      <c r="AF550" s="630"/>
      <c r="AG550" s="630"/>
      <c r="AH550" s="630"/>
      <c r="AI550" s="630">
        <v>1</v>
      </c>
      <c r="AJ550" s="630">
        <v>1</v>
      </c>
      <c r="AK550" s="630">
        <v>1</v>
      </c>
      <c r="AL550" s="630">
        <v>2</v>
      </c>
      <c r="AM550" s="630"/>
      <c r="AN550" s="641">
        <f>SUM(BProvPrivEnrlmtUnder2233[[#This Row],[K4 H]:[Ungradable Second H]])</f>
        <v>5</v>
      </c>
      <c r="AO550" s="642">
        <f>IF(BProvPrivEnrlmtUnder2233[[#This Row],[School Type]]="Adult",0,BProvPrivEnrlmtUnder2233[[#This Row],[TOTAL &lt;22 HEADCOUNT]])</f>
        <v>5</v>
      </c>
      <c r="AP550" s="630" t="s">
        <v>398</v>
      </c>
      <c r="AQ550" s="630" t="str">
        <f>INDEX(TableAFNSchools[North/South of 53rd Parallel &amp; Fly-in = North],MATCH(BProvPrivEnrlmtUnder2233[[#This Row],[Band No.]],TableAFNSchools[Band No '#],0))</f>
        <v>South</v>
      </c>
      <c r="AR550" s="630" t="s">
        <v>856</v>
      </c>
      <c r="AS550" s="630" t="s">
        <v>445</v>
      </c>
      <c r="AT550" s="630" t="str">
        <f>IF(BProvPrivEnrlmtUnder2233[[#This Row],[K4]]="","None",IF(BProvPrivEnrlmtUnder2233[[#This Row],[K4]]&lt;BProvPrivEnrlmtUnder2233[[#This Row],[K4 H]],"Half-day",IF(AND(BProvPrivEnrlmtUnder2233[[#This Row],[K4]]&gt;0,BProvPrivEnrlmtUnder2233[[#This Row],[K4]]=BProvPrivEnrlmtUnder2233[[#This Row],[K4 H]]),"Full-day",0)))</f>
        <v>None</v>
      </c>
      <c r="AU550" s="630" t="str">
        <f>IF(BProvPrivEnrlmtUnder2233[[#This Row],[K5]]="","None",IF(BProvPrivEnrlmtUnder2233[[#This Row],[K5]]&lt;BProvPrivEnrlmtUnder2233[[#This Row],[K5 H]],"Half-day",IF(AND(BProvPrivEnrlmtUnder2233[[#This Row],[K5]]&gt;0,BProvPrivEnrlmtUnder2233[[#This Row],[K5]]=BProvPrivEnrlmtUnder2233[[#This Row],[K5 H]]),"Full-day",0)))</f>
        <v>None</v>
      </c>
      <c r="AV550" s="624">
        <f t="array" ref="AV550">IFERROR(INDEX($J$755:$J$818,MATCH(BProvPrivEnrlmtUnder2233[[#This Row],[Band No.]]&amp;BProvPrivEnrlmtUnder2233[[#This Row],[School No.]],$A$755:$A$818&amp;$E$755:$E$818,0)),0)</f>
        <v>0</v>
      </c>
      <c r="AW550" s="624">
        <f t="array" ref="AW550">IFERROR(INDEX($M$755:$M$818,MATCH(BProvPrivEnrlmtUnder2233[[#This Row],[Band No.]]&amp;BProvPrivEnrlmtUnder2233[[#This Row],[School No.]],$A$755:$A$818&amp;$E$755:$E$818,0)),0)</f>
        <v>2</v>
      </c>
      <c r="AX550" s="624">
        <f t="array" ref="AX550">IFERROR(INDEX($I$755:$I$818,MATCH(BProvPrivEnrlmtUnder2233[[#This Row],[Band No.]]&amp;BProvPrivEnrlmtUnder2233[[#This Row],[School No.]],$A$755:$A$818&amp;$E$755:$E$818,0)),0)</f>
        <v>0</v>
      </c>
      <c r="AY550" s="624">
        <f t="array" ref="AY550">IFERROR(INDEX($K$755:$K$818,MATCH(BProvPrivEnrlmtUnder2233[[#This Row],[Band No.]]&amp;BProvPrivEnrlmtUnder2233[[#This Row],[School No.]],$A$755:$A$818&amp;$E$755:$E$818,0)),0)</f>
        <v>0</v>
      </c>
      <c r="AZ550" s="637">
        <f t="array" ref="AZ550">IFERROR(INDEX($O$755:$O$818,MATCH(BProvPrivEnrlmtUnder2233[[#This Row],[Band No.]]&amp;BProvPrivEnrlmtUnder2233[[#This Row],[School No.]],$A$755:$A$818&amp;$E$755:$E$818,0)),0)</f>
        <v>0</v>
      </c>
      <c r="BA550" s="637">
        <f t="array" ref="BA550">IFERROR(INDEX($R$755:$R$818,MATCH(BProvPrivEnrlmtUnder2233[[#This Row],[Band No.]]&amp;BProvPrivEnrlmtUnder2233[[#This Row],[School No.]],$A$755:$A$818&amp;$E$755:$E$818,0)),0)</f>
        <v>0</v>
      </c>
      <c r="BB550" s="637">
        <f t="array" ref="BB550">IFERROR(INDEX($N$755:$N$818,MATCH(BProvPrivEnrlmtUnder2233[[#This Row],[Band No.]]&amp;BProvPrivEnrlmtUnder2233[[#This Row],[School No.]],$A$755:$A$818&amp;$E$755:$E$818,0)),0)</f>
        <v>0</v>
      </c>
      <c r="BC550" s="637">
        <f t="array" ref="BC550">IFERROR(INDEX($P$755:$P$818,MATCH(BProvPrivEnrlmtUnder2233[[#This Row],[Band No.]]&amp;BProvPrivEnrlmtUnder2233[[#This Row],[School No.]],$A$755:$A$818&amp;$E$755:$E$818,0)),0)</f>
        <v>0</v>
      </c>
    </row>
    <row r="551" spans="1:55" s="624" customFormat="1" hidden="1">
      <c r="A551" s="629">
        <v>304</v>
      </c>
      <c r="B551" s="629" t="s">
        <v>641</v>
      </c>
      <c r="C551" s="629" t="s">
        <v>1019</v>
      </c>
      <c r="D551" s="629" t="s">
        <v>982</v>
      </c>
      <c r="E551" s="629" t="s">
        <v>1377</v>
      </c>
      <c r="F551" s="624" t="s">
        <v>1013</v>
      </c>
      <c r="I551" s="639"/>
      <c r="L551" s="639"/>
      <c r="P551" s="630"/>
      <c r="Q551" s="630"/>
      <c r="R551" s="630">
        <v>1</v>
      </c>
      <c r="S551" s="630">
        <v>7</v>
      </c>
      <c r="T551" s="630">
        <v>3</v>
      </c>
      <c r="U551" s="630"/>
      <c r="V551" s="630"/>
      <c r="W551" s="640">
        <f>SUM(BProvPrivEnrlmtUnder2233[[#This Row],[K4]:[Ungradable Second FTE]])</f>
        <v>11</v>
      </c>
      <c r="X551" s="630"/>
      <c r="Y551" s="630"/>
      <c r="Z551" s="630"/>
      <c r="AA551" s="630"/>
      <c r="AB551" s="630"/>
      <c r="AC551" s="630"/>
      <c r="AD551" s="630"/>
      <c r="AE551" s="630"/>
      <c r="AF551" s="630"/>
      <c r="AG551" s="630"/>
      <c r="AH551" s="630"/>
      <c r="AI551" s="630">
        <v>1</v>
      </c>
      <c r="AJ551" s="630">
        <v>7</v>
      </c>
      <c r="AK551" s="630">
        <v>3</v>
      </c>
      <c r="AL551" s="630"/>
      <c r="AM551" s="630"/>
      <c r="AN551" s="641">
        <f>SUM(BProvPrivEnrlmtUnder2233[[#This Row],[K4 H]:[Ungradable Second H]])</f>
        <v>11</v>
      </c>
      <c r="AO551" s="642">
        <f>IF(BProvPrivEnrlmtUnder2233[[#This Row],[School Type]]="Adult",0,BProvPrivEnrlmtUnder2233[[#This Row],[TOTAL &lt;22 HEADCOUNT]])</f>
        <v>11</v>
      </c>
      <c r="AP551" s="630" t="s">
        <v>394</v>
      </c>
      <c r="AQ551" s="630" t="str">
        <f>INDEX(TableAFNSchools[North/South of 53rd Parallel &amp; Fly-in = North],MATCH(BProvPrivEnrlmtUnder2233[[#This Row],[Band No.]],TableAFNSchools[Band No '#],0))</f>
        <v>North</v>
      </c>
      <c r="AR551" s="630" t="s">
        <v>1463</v>
      </c>
      <c r="AS551" s="629" t="s">
        <v>441</v>
      </c>
      <c r="AT551" s="630" t="str">
        <f>IF(BProvPrivEnrlmtUnder2233[[#This Row],[K4]]="","None",IF(BProvPrivEnrlmtUnder2233[[#This Row],[K4]]&lt;BProvPrivEnrlmtUnder2233[[#This Row],[K4 H]],"Half-day",IF(AND(BProvPrivEnrlmtUnder2233[[#This Row],[K4]]&gt;0,BProvPrivEnrlmtUnder2233[[#This Row],[K4]]=BProvPrivEnrlmtUnder2233[[#This Row],[K4 H]]),"Full-day",0)))</f>
        <v>None</v>
      </c>
      <c r="AU551" s="630" t="str">
        <f>IF(BProvPrivEnrlmtUnder2233[[#This Row],[K5]]="","None",IF(BProvPrivEnrlmtUnder2233[[#This Row],[K5]]&lt;BProvPrivEnrlmtUnder2233[[#This Row],[K5 H]],"Half-day",IF(AND(BProvPrivEnrlmtUnder2233[[#This Row],[K5]]&gt;0,BProvPrivEnrlmtUnder2233[[#This Row],[K5]]=BProvPrivEnrlmtUnder2233[[#This Row],[K5 H]]),"Full-day",0)))</f>
        <v>None</v>
      </c>
      <c r="AV551" s="624">
        <f t="array" ref="AV551">IFERROR(INDEX($J$755:$J$818,MATCH(BProvPrivEnrlmtUnder2233[[#This Row],[Band No.]]&amp;BProvPrivEnrlmtUnder2233[[#This Row],[School No.]],$A$755:$A$818&amp;$E$755:$E$818,0)),0)</f>
        <v>1</v>
      </c>
      <c r="AW551" s="624">
        <f t="array" ref="AW551">IFERROR(INDEX($M$755:$M$818,MATCH(BProvPrivEnrlmtUnder2233[[#This Row],[Band No.]]&amp;BProvPrivEnrlmtUnder2233[[#This Row],[School No.]],$A$755:$A$818&amp;$E$755:$E$818,0)),0)</f>
        <v>8</v>
      </c>
      <c r="AX551" s="624">
        <f t="array" ref="AX551">IFERROR(INDEX($I$755:$I$818,MATCH(BProvPrivEnrlmtUnder2233[[#This Row],[Band No.]]&amp;BProvPrivEnrlmtUnder2233[[#This Row],[School No.]],$A$755:$A$818&amp;$E$755:$E$818,0)),0)</f>
        <v>0</v>
      </c>
      <c r="AY551" s="624">
        <f t="array" ref="AY551">IFERROR(INDEX($K$755:$K$818,MATCH(BProvPrivEnrlmtUnder2233[[#This Row],[Band No.]]&amp;BProvPrivEnrlmtUnder2233[[#This Row],[School No.]],$A$755:$A$818&amp;$E$755:$E$818,0)),0)</f>
        <v>0</v>
      </c>
      <c r="AZ551" s="637">
        <f t="array" ref="AZ551">IFERROR(INDEX($O$755:$O$818,MATCH(BProvPrivEnrlmtUnder2233[[#This Row],[Band No.]]&amp;BProvPrivEnrlmtUnder2233[[#This Row],[School No.]],$A$755:$A$818&amp;$E$755:$E$818,0)),0)</f>
        <v>1</v>
      </c>
      <c r="BA551" s="637">
        <f t="array" ref="BA551">IFERROR(INDEX($R$755:$R$818,MATCH(BProvPrivEnrlmtUnder2233[[#This Row],[Band No.]]&amp;BProvPrivEnrlmtUnder2233[[#This Row],[School No.]],$A$755:$A$818&amp;$E$755:$E$818,0)),0)</f>
        <v>1</v>
      </c>
      <c r="BB551" s="637">
        <f t="array" ref="BB551">IFERROR(INDEX($N$755:$N$818,MATCH(BProvPrivEnrlmtUnder2233[[#This Row],[Band No.]]&amp;BProvPrivEnrlmtUnder2233[[#This Row],[School No.]],$A$755:$A$818&amp;$E$755:$E$818,0)),0)</f>
        <v>0</v>
      </c>
      <c r="BC551" s="637">
        <f t="array" ref="BC551">IFERROR(INDEX($P$755:$P$818,MATCH(BProvPrivEnrlmtUnder2233[[#This Row],[Band No.]]&amp;BProvPrivEnrlmtUnder2233[[#This Row],[School No.]],$A$755:$A$818&amp;$E$755:$E$818,0)),0)</f>
        <v>0</v>
      </c>
    </row>
    <row r="552" spans="1:55" s="624" customFormat="1" hidden="1">
      <c r="A552" s="629">
        <v>304</v>
      </c>
      <c r="B552" s="629" t="s">
        <v>641</v>
      </c>
      <c r="C552" s="629" t="s">
        <v>1079</v>
      </c>
      <c r="D552" s="629" t="s">
        <v>984</v>
      </c>
      <c r="E552" s="629" t="s">
        <v>1377</v>
      </c>
      <c r="F552" s="624" t="s">
        <v>1013</v>
      </c>
      <c r="I552" s="639"/>
      <c r="L552" s="639"/>
      <c r="P552" s="630"/>
      <c r="Q552" s="630"/>
      <c r="R552" s="630"/>
      <c r="S552" s="630">
        <v>1</v>
      </c>
      <c r="T552" s="630"/>
      <c r="U552" s="630"/>
      <c r="V552" s="630"/>
      <c r="W552" s="640">
        <f>SUM(BProvPrivEnrlmtUnder2233[[#This Row],[K4]:[Ungradable Second FTE]])</f>
        <v>1</v>
      </c>
      <c r="X552" s="630"/>
      <c r="Y552" s="630"/>
      <c r="Z552" s="630"/>
      <c r="AA552" s="630"/>
      <c r="AB552" s="630"/>
      <c r="AC552" s="630"/>
      <c r="AD552" s="630"/>
      <c r="AE552" s="630"/>
      <c r="AF552" s="630"/>
      <c r="AG552" s="630"/>
      <c r="AH552" s="630"/>
      <c r="AI552" s="630"/>
      <c r="AJ552" s="630">
        <v>1</v>
      </c>
      <c r="AK552" s="630"/>
      <c r="AL552" s="630"/>
      <c r="AM552" s="630"/>
      <c r="AN552" s="641">
        <f>SUM(BProvPrivEnrlmtUnder2233[[#This Row],[K4 H]:[Ungradable Second H]])</f>
        <v>1</v>
      </c>
      <c r="AO552" s="642">
        <f>IF(BProvPrivEnrlmtUnder2233[[#This Row],[School Type]]="Adult",0,BProvPrivEnrlmtUnder2233[[#This Row],[TOTAL &lt;22 HEADCOUNT]])</f>
        <v>1</v>
      </c>
      <c r="AP552" s="630" t="s">
        <v>394</v>
      </c>
      <c r="AQ552" s="630" t="str">
        <f>INDEX(TableAFNSchools[North/South of 53rd Parallel &amp; Fly-in = North],MATCH(BProvPrivEnrlmtUnder2233[[#This Row],[Band No.]],TableAFNSchools[Band No '#],0))</f>
        <v>North</v>
      </c>
      <c r="AR552" s="630" t="s">
        <v>1463</v>
      </c>
      <c r="AS552" s="629" t="s">
        <v>441</v>
      </c>
      <c r="AT552" s="630" t="str">
        <f>IF(BProvPrivEnrlmtUnder2233[[#This Row],[K4]]="","None",IF(BProvPrivEnrlmtUnder2233[[#This Row],[K4]]&lt;BProvPrivEnrlmtUnder2233[[#This Row],[K4 H]],"Half-day",IF(AND(BProvPrivEnrlmtUnder2233[[#This Row],[K4]]&gt;0,BProvPrivEnrlmtUnder2233[[#This Row],[K4]]=BProvPrivEnrlmtUnder2233[[#This Row],[K4 H]]),"Full-day",0)))</f>
        <v>None</v>
      </c>
      <c r="AU552" s="630" t="str">
        <f>IF(BProvPrivEnrlmtUnder2233[[#This Row],[K5]]="","None",IF(BProvPrivEnrlmtUnder2233[[#This Row],[K5]]&lt;BProvPrivEnrlmtUnder2233[[#This Row],[K5 H]],"Half-day",IF(AND(BProvPrivEnrlmtUnder2233[[#This Row],[K5]]&gt;0,BProvPrivEnrlmtUnder2233[[#This Row],[K5]]=BProvPrivEnrlmtUnder2233[[#This Row],[K5 H]]),"Full-day",0)))</f>
        <v>None</v>
      </c>
      <c r="AV552" s="624">
        <f t="array" ref="AV552">IFERROR(INDEX($J$755:$J$818,MATCH(BProvPrivEnrlmtUnder2233[[#This Row],[Band No.]]&amp;BProvPrivEnrlmtUnder2233[[#This Row],[School No.]],$A$755:$A$818&amp;$E$755:$E$818,0)),0)</f>
        <v>1</v>
      </c>
      <c r="AW552" s="624">
        <f t="array" ref="AW552">IFERROR(INDEX($M$755:$M$818,MATCH(BProvPrivEnrlmtUnder2233[[#This Row],[Band No.]]&amp;BProvPrivEnrlmtUnder2233[[#This Row],[School No.]],$A$755:$A$818&amp;$E$755:$E$818,0)),0)</f>
        <v>0</v>
      </c>
      <c r="AX552" s="624">
        <f t="array" ref="AX552">IFERROR(INDEX($I$755:$I$818,MATCH(BProvPrivEnrlmtUnder2233[[#This Row],[Band No.]]&amp;BProvPrivEnrlmtUnder2233[[#This Row],[School No.]],$A$755:$A$818&amp;$E$755:$E$818,0)),0)</f>
        <v>0</v>
      </c>
      <c r="AY552" s="624">
        <f t="array" ref="AY552">IFERROR(INDEX($K$755:$K$818,MATCH(BProvPrivEnrlmtUnder2233[[#This Row],[Band No.]]&amp;BProvPrivEnrlmtUnder2233[[#This Row],[School No.]],$A$755:$A$818&amp;$E$755:$E$818,0)),0)</f>
        <v>0</v>
      </c>
      <c r="AZ552" s="637">
        <f t="array" ref="AZ552">IFERROR(INDEX($O$755:$O$818,MATCH(BProvPrivEnrlmtUnder2233[[#This Row],[Band No.]]&amp;BProvPrivEnrlmtUnder2233[[#This Row],[School No.]],$A$755:$A$818&amp;$E$755:$E$818,0)),0)</f>
        <v>0</v>
      </c>
      <c r="BA552" s="637">
        <f t="array" ref="BA552">IFERROR(INDEX($R$755:$R$818,MATCH(BProvPrivEnrlmtUnder2233[[#This Row],[Band No.]]&amp;BProvPrivEnrlmtUnder2233[[#This Row],[School No.]],$A$755:$A$818&amp;$E$755:$E$818,0)),0)</f>
        <v>0</v>
      </c>
      <c r="BB552" s="637">
        <f t="array" ref="BB552">IFERROR(INDEX($N$755:$N$818,MATCH(BProvPrivEnrlmtUnder2233[[#This Row],[Band No.]]&amp;BProvPrivEnrlmtUnder2233[[#This Row],[School No.]],$A$755:$A$818&amp;$E$755:$E$818,0)),0)</f>
        <v>0</v>
      </c>
      <c r="BC552" s="637">
        <f t="array" ref="BC552">IFERROR(INDEX($P$755:$P$818,MATCH(BProvPrivEnrlmtUnder2233[[#This Row],[Band No.]]&amp;BProvPrivEnrlmtUnder2233[[#This Row],[School No.]],$A$755:$A$818&amp;$E$755:$E$818,0)),0)</f>
        <v>0</v>
      </c>
    </row>
    <row r="553" spans="1:55" s="624" customFormat="1" hidden="1">
      <c r="A553" s="629">
        <v>304</v>
      </c>
      <c r="B553" s="629" t="s">
        <v>641</v>
      </c>
      <c r="C553" s="629" t="s">
        <v>1443</v>
      </c>
      <c r="D553" s="629" t="s">
        <v>1444</v>
      </c>
      <c r="E553" s="629" t="s">
        <v>1355</v>
      </c>
      <c r="F553" s="624" t="s">
        <v>1013</v>
      </c>
      <c r="I553" s="639"/>
      <c r="L553" s="639"/>
      <c r="P553" s="630"/>
      <c r="Q553" s="630"/>
      <c r="R553" s="630"/>
      <c r="S553" s="630">
        <v>1</v>
      </c>
      <c r="T553" s="630"/>
      <c r="U553" s="630"/>
      <c r="V553" s="630"/>
      <c r="W553" s="640">
        <f>SUM(BProvPrivEnrlmtUnder2233[[#This Row],[K4]:[Ungradable Second FTE]])</f>
        <v>1</v>
      </c>
      <c r="X553" s="630"/>
      <c r="Y553" s="630"/>
      <c r="Z553" s="630"/>
      <c r="AA553" s="630"/>
      <c r="AB553" s="630"/>
      <c r="AC553" s="630"/>
      <c r="AD553" s="630"/>
      <c r="AE553" s="630"/>
      <c r="AF553" s="630"/>
      <c r="AG553" s="630"/>
      <c r="AH553" s="630"/>
      <c r="AI553" s="630"/>
      <c r="AJ553" s="630">
        <v>1</v>
      </c>
      <c r="AK553" s="630"/>
      <c r="AL553" s="630"/>
      <c r="AM553" s="630"/>
      <c r="AN553" s="641">
        <f>SUM(BProvPrivEnrlmtUnder2233[[#This Row],[K4 H]:[Ungradable Second H]])</f>
        <v>1</v>
      </c>
      <c r="AO553" s="642">
        <f>IF(BProvPrivEnrlmtUnder2233[[#This Row],[School Type]]="Adult",0,BProvPrivEnrlmtUnder2233[[#This Row],[TOTAL &lt;22 HEADCOUNT]])</f>
        <v>1</v>
      </c>
      <c r="AP553" s="630" t="s">
        <v>394</v>
      </c>
      <c r="AQ553" s="630" t="str">
        <f>INDEX(TableAFNSchools[North/South of 53rd Parallel &amp; Fly-in = North],MATCH(BProvPrivEnrlmtUnder2233[[#This Row],[Band No.]],TableAFNSchools[Band No '#],0))</f>
        <v>North</v>
      </c>
      <c r="AR553" s="630" t="s">
        <v>1405</v>
      </c>
      <c r="AS553" s="629" t="s">
        <v>441</v>
      </c>
      <c r="AT553" s="630" t="str">
        <f>IF(BProvPrivEnrlmtUnder2233[[#This Row],[K4]]="","None",IF(BProvPrivEnrlmtUnder2233[[#This Row],[K4]]&lt;BProvPrivEnrlmtUnder2233[[#This Row],[K4 H]],"Half-day",IF(AND(BProvPrivEnrlmtUnder2233[[#This Row],[K4]]&gt;0,BProvPrivEnrlmtUnder2233[[#This Row],[K4]]=BProvPrivEnrlmtUnder2233[[#This Row],[K4 H]]),"Full-day",0)))</f>
        <v>None</v>
      </c>
      <c r="AU553" s="630" t="str">
        <f>IF(BProvPrivEnrlmtUnder2233[[#This Row],[K5]]="","None",IF(BProvPrivEnrlmtUnder2233[[#This Row],[K5]]&lt;BProvPrivEnrlmtUnder2233[[#This Row],[K5 H]],"Half-day",IF(AND(BProvPrivEnrlmtUnder2233[[#This Row],[K5]]&gt;0,BProvPrivEnrlmtUnder2233[[#This Row],[K5]]=BProvPrivEnrlmtUnder2233[[#This Row],[K5 H]]),"Full-day",0)))</f>
        <v>None</v>
      </c>
      <c r="AV553" s="624">
        <f t="array" ref="AV553">IFERROR(INDEX($J$755:$J$818,MATCH(BProvPrivEnrlmtUnder2233[[#This Row],[Band No.]]&amp;BProvPrivEnrlmtUnder2233[[#This Row],[School No.]],$A$755:$A$818&amp;$E$755:$E$818,0)),0)</f>
        <v>1</v>
      </c>
      <c r="AW553" s="624">
        <f t="array" ref="AW553">IFERROR(INDEX($M$755:$M$818,MATCH(BProvPrivEnrlmtUnder2233[[#This Row],[Band No.]]&amp;BProvPrivEnrlmtUnder2233[[#This Row],[School No.]],$A$755:$A$818&amp;$E$755:$E$818,0)),0)</f>
        <v>0</v>
      </c>
      <c r="AX553" s="624">
        <f t="array" ref="AX553">IFERROR(INDEX($I$755:$I$818,MATCH(BProvPrivEnrlmtUnder2233[[#This Row],[Band No.]]&amp;BProvPrivEnrlmtUnder2233[[#This Row],[School No.]],$A$755:$A$818&amp;$E$755:$E$818,0)),0)</f>
        <v>0</v>
      </c>
      <c r="AY553" s="624">
        <f t="array" ref="AY553">IFERROR(INDEX($K$755:$K$818,MATCH(BProvPrivEnrlmtUnder2233[[#This Row],[Band No.]]&amp;BProvPrivEnrlmtUnder2233[[#This Row],[School No.]],$A$755:$A$818&amp;$E$755:$E$818,0)),0)</f>
        <v>0</v>
      </c>
      <c r="AZ553" s="637">
        <f t="array" ref="AZ553">IFERROR(INDEX($O$755:$O$818,MATCH(BProvPrivEnrlmtUnder2233[[#This Row],[Band No.]]&amp;BProvPrivEnrlmtUnder2233[[#This Row],[School No.]],$A$755:$A$818&amp;$E$755:$E$818,0)),0)</f>
        <v>0</v>
      </c>
      <c r="BA553" s="637">
        <f t="array" ref="BA553">IFERROR(INDEX($R$755:$R$818,MATCH(BProvPrivEnrlmtUnder2233[[#This Row],[Band No.]]&amp;BProvPrivEnrlmtUnder2233[[#This Row],[School No.]],$A$755:$A$818&amp;$E$755:$E$818,0)),0)</f>
        <v>0</v>
      </c>
      <c r="BB553" s="637">
        <f t="array" ref="BB553">IFERROR(INDEX($N$755:$N$818,MATCH(BProvPrivEnrlmtUnder2233[[#This Row],[Band No.]]&amp;BProvPrivEnrlmtUnder2233[[#This Row],[School No.]],$A$755:$A$818&amp;$E$755:$E$818,0)),0)</f>
        <v>0</v>
      </c>
      <c r="BC553" s="637">
        <f t="array" ref="BC553">IFERROR(INDEX($P$755:$P$818,MATCH(BProvPrivEnrlmtUnder2233[[#This Row],[Band No.]]&amp;BProvPrivEnrlmtUnder2233[[#This Row],[School No.]],$A$755:$A$818&amp;$E$755:$E$818,0)),0)</f>
        <v>0</v>
      </c>
    </row>
    <row r="554" spans="1:55" s="624" customFormat="1" hidden="1">
      <c r="A554" s="629">
        <v>304</v>
      </c>
      <c r="B554" s="629" t="s">
        <v>641</v>
      </c>
      <c r="C554" s="629" t="s">
        <v>318</v>
      </c>
      <c r="D554" s="629" t="s">
        <v>986</v>
      </c>
      <c r="E554" s="629" t="s">
        <v>1380</v>
      </c>
      <c r="F554" s="624" t="s">
        <v>1013</v>
      </c>
      <c r="I554" s="639"/>
      <c r="L554" s="639"/>
      <c r="P554" s="630"/>
      <c r="Q554" s="630"/>
      <c r="R554" s="630"/>
      <c r="S554" s="630">
        <v>7</v>
      </c>
      <c r="T554" s="630">
        <v>5</v>
      </c>
      <c r="U554" s="630">
        <v>4</v>
      </c>
      <c r="V554" s="630"/>
      <c r="W554" s="640">
        <f>SUM(BProvPrivEnrlmtUnder2233[[#This Row],[K4]:[Ungradable Second FTE]])</f>
        <v>16</v>
      </c>
      <c r="X554" s="630"/>
      <c r="Y554" s="630"/>
      <c r="Z554" s="630"/>
      <c r="AA554" s="630"/>
      <c r="AB554" s="630"/>
      <c r="AC554" s="630"/>
      <c r="AD554" s="630"/>
      <c r="AE554" s="630"/>
      <c r="AF554" s="630"/>
      <c r="AG554" s="630"/>
      <c r="AH554" s="630"/>
      <c r="AI554" s="630"/>
      <c r="AJ554" s="630">
        <v>7</v>
      </c>
      <c r="AK554" s="630">
        <v>5</v>
      </c>
      <c r="AL554" s="630">
        <v>4</v>
      </c>
      <c r="AM554" s="630"/>
      <c r="AN554" s="641">
        <f>SUM(BProvPrivEnrlmtUnder2233[[#This Row],[K4 H]:[Ungradable Second H]])</f>
        <v>16</v>
      </c>
      <c r="AO554" s="642">
        <f>IF(BProvPrivEnrlmtUnder2233[[#This Row],[School Type]]="Adult",0,BProvPrivEnrlmtUnder2233[[#This Row],[TOTAL &lt;22 HEADCOUNT]])</f>
        <v>16</v>
      </c>
      <c r="AP554" s="630" t="s">
        <v>394</v>
      </c>
      <c r="AQ554" s="630" t="str">
        <f>INDEX(TableAFNSchools[North/South of 53rd Parallel &amp; Fly-in = North],MATCH(BProvPrivEnrlmtUnder2233[[#This Row],[Band No.]],TableAFNSchools[Band No '#],0))</f>
        <v>North</v>
      </c>
      <c r="AR554" s="630" t="s">
        <v>854</v>
      </c>
      <c r="AS554" s="629" t="s">
        <v>441</v>
      </c>
      <c r="AT554" s="630" t="str">
        <f>IF(BProvPrivEnrlmtUnder2233[[#This Row],[K4]]="","None",IF(BProvPrivEnrlmtUnder2233[[#This Row],[K4]]&lt;BProvPrivEnrlmtUnder2233[[#This Row],[K4 H]],"Half-day",IF(AND(BProvPrivEnrlmtUnder2233[[#This Row],[K4]]&gt;0,BProvPrivEnrlmtUnder2233[[#This Row],[K4]]=BProvPrivEnrlmtUnder2233[[#This Row],[K4 H]]),"Full-day",0)))</f>
        <v>None</v>
      </c>
      <c r="AU554" s="630" t="str">
        <f>IF(BProvPrivEnrlmtUnder2233[[#This Row],[K5]]="","None",IF(BProvPrivEnrlmtUnder2233[[#This Row],[K5]]&lt;BProvPrivEnrlmtUnder2233[[#This Row],[K5 H]],"Half-day",IF(AND(BProvPrivEnrlmtUnder2233[[#This Row],[K5]]&gt;0,BProvPrivEnrlmtUnder2233[[#This Row],[K5]]=BProvPrivEnrlmtUnder2233[[#This Row],[K5 H]]),"Full-day",0)))</f>
        <v>None</v>
      </c>
      <c r="AV554" s="624">
        <f t="array" ref="AV554">IFERROR(INDEX($J$755:$J$818,MATCH(BProvPrivEnrlmtUnder2233[[#This Row],[Band No.]]&amp;BProvPrivEnrlmtUnder2233[[#This Row],[School No.]],$A$755:$A$818&amp;$E$755:$E$818,0)),0)</f>
        <v>0</v>
      </c>
      <c r="AW554" s="624">
        <f t="array" ref="AW554">IFERROR(INDEX($M$755:$M$818,MATCH(BProvPrivEnrlmtUnder2233[[#This Row],[Band No.]]&amp;BProvPrivEnrlmtUnder2233[[#This Row],[School No.]],$A$755:$A$818&amp;$E$755:$E$818,0)),0)</f>
        <v>0</v>
      </c>
      <c r="AX554" s="624">
        <f t="array" ref="AX554">IFERROR(INDEX($I$755:$I$818,MATCH(BProvPrivEnrlmtUnder2233[[#This Row],[Band No.]]&amp;BProvPrivEnrlmtUnder2233[[#This Row],[School No.]],$A$755:$A$818&amp;$E$755:$E$818,0)),0)</f>
        <v>0</v>
      </c>
      <c r="AY554" s="624">
        <f t="array" ref="AY554">IFERROR(INDEX($K$755:$K$818,MATCH(BProvPrivEnrlmtUnder2233[[#This Row],[Band No.]]&amp;BProvPrivEnrlmtUnder2233[[#This Row],[School No.]],$A$755:$A$818&amp;$E$755:$E$818,0)),0)</f>
        <v>0</v>
      </c>
      <c r="AZ554" s="637">
        <f t="array" ref="AZ554">IFERROR(INDEX($O$755:$O$818,MATCH(BProvPrivEnrlmtUnder2233[[#This Row],[Band No.]]&amp;BProvPrivEnrlmtUnder2233[[#This Row],[School No.]],$A$755:$A$818&amp;$E$755:$E$818,0)),0)</f>
        <v>0</v>
      </c>
      <c r="BA554" s="637">
        <f t="array" ref="BA554">IFERROR(INDEX($R$755:$R$818,MATCH(BProvPrivEnrlmtUnder2233[[#This Row],[Band No.]]&amp;BProvPrivEnrlmtUnder2233[[#This Row],[School No.]],$A$755:$A$818&amp;$E$755:$E$818,0)),0)</f>
        <v>0</v>
      </c>
      <c r="BB554" s="637">
        <f t="array" ref="BB554">IFERROR(INDEX($N$755:$N$818,MATCH(BProvPrivEnrlmtUnder2233[[#This Row],[Band No.]]&amp;BProvPrivEnrlmtUnder2233[[#This Row],[School No.]],$A$755:$A$818&amp;$E$755:$E$818,0)),0)</f>
        <v>0</v>
      </c>
      <c r="BC554" s="637">
        <f t="array" ref="BC554">IFERROR(INDEX($P$755:$P$818,MATCH(BProvPrivEnrlmtUnder2233[[#This Row],[Band No.]]&amp;BProvPrivEnrlmtUnder2233[[#This Row],[School No.]],$A$755:$A$818&amp;$E$755:$E$818,0)),0)</f>
        <v>0</v>
      </c>
    </row>
    <row r="555" spans="1:55" s="624" customFormat="1" hidden="1">
      <c r="A555" s="629">
        <v>304</v>
      </c>
      <c r="B555" s="629" t="s">
        <v>641</v>
      </c>
      <c r="C555" s="629" t="s">
        <v>1419</v>
      </c>
      <c r="D555" s="629" t="s">
        <v>1420</v>
      </c>
      <c r="E555" s="629" t="s">
        <v>1365</v>
      </c>
      <c r="F555" s="624" t="s">
        <v>1013</v>
      </c>
      <c r="I555" s="639"/>
      <c r="L555" s="639"/>
      <c r="P555" s="630"/>
      <c r="Q555" s="630"/>
      <c r="R555" s="630"/>
      <c r="S555" s="630"/>
      <c r="T555" s="630"/>
      <c r="U555" s="630"/>
      <c r="V555" s="630"/>
      <c r="W555" s="640">
        <f>SUM(BProvPrivEnrlmtUnder2233[[#This Row],[K4]:[Ungradable Second FTE]])</f>
        <v>0</v>
      </c>
      <c r="X555" s="630"/>
      <c r="Y555" s="630"/>
      <c r="Z555" s="630"/>
      <c r="AA555" s="630"/>
      <c r="AB555" s="630"/>
      <c r="AC555" s="630"/>
      <c r="AD555" s="630"/>
      <c r="AE555" s="630"/>
      <c r="AF555" s="630"/>
      <c r="AG555" s="630"/>
      <c r="AH555" s="630"/>
      <c r="AI555" s="630"/>
      <c r="AJ555" s="630"/>
      <c r="AK555" s="630"/>
      <c r="AL555" s="630"/>
      <c r="AM555" s="630"/>
      <c r="AN555" s="641">
        <f>SUM(BProvPrivEnrlmtUnder2233[[#This Row],[K4 H]:[Ungradable Second H]])</f>
        <v>0</v>
      </c>
      <c r="AO555" s="642">
        <f>IF(BProvPrivEnrlmtUnder2233[[#This Row],[School Type]]="Adult",0,BProvPrivEnrlmtUnder2233[[#This Row],[TOTAL &lt;22 HEADCOUNT]])</f>
        <v>0</v>
      </c>
      <c r="AP555" s="630" t="s">
        <v>394</v>
      </c>
      <c r="AQ555" s="630" t="str">
        <f>INDEX(TableAFNSchools[North/South of 53rd Parallel &amp; Fly-in = North],MATCH(BProvPrivEnrlmtUnder2233[[#This Row],[Band No.]],TableAFNSchools[Band No '#],0))</f>
        <v>North</v>
      </c>
      <c r="AR555" s="630" t="s">
        <v>1233</v>
      </c>
      <c r="AS555" s="629" t="s">
        <v>441</v>
      </c>
      <c r="AT555" s="630" t="str">
        <f>IF(BProvPrivEnrlmtUnder2233[[#This Row],[K4]]="","None",IF(BProvPrivEnrlmtUnder2233[[#This Row],[K4]]&lt;BProvPrivEnrlmtUnder2233[[#This Row],[K4 H]],"Half-day",IF(AND(BProvPrivEnrlmtUnder2233[[#This Row],[K4]]&gt;0,BProvPrivEnrlmtUnder2233[[#This Row],[K4]]=BProvPrivEnrlmtUnder2233[[#This Row],[K4 H]]),"Full-day",0)))</f>
        <v>None</v>
      </c>
      <c r="AU555" s="630" t="str">
        <f>IF(BProvPrivEnrlmtUnder2233[[#This Row],[K5]]="","None",IF(BProvPrivEnrlmtUnder2233[[#This Row],[K5]]&lt;BProvPrivEnrlmtUnder2233[[#This Row],[K5 H]],"Half-day",IF(AND(BProvPrivEnrlmtUnder2233[[#This Row],[K5]]&gt;0,BProvPrivEnrlmtUnder2233[[#This Row],[K5]]=BProvPrivEnrlmtUnder2233[[#This Row],[K5 H]]),"Full-day",0)))</f>
        <v>None</v>
      </c>
      <c r="AV555" s="624">
        <f t="array" ref="AV555">IFERROR(INDEX($J$755:$J$818,MATCH(BProvPrivEnrlmtUnder2233[[#This Row],[Band No.]]&amp;BProvPrivEnrlmtUnder2233[[#This Row],[School No.]],$A$755:$A$818&amp;$E$755:$E$818,0)),0)</f>
        <v>0</v>
      </c>
      <c r="AW555" s="624">
        <f t="array" ref="AW555">IFERROR(INDEX($M$755:$M$818,MATCH(BProvPrivEnrlmtUnder2233[[#This Row],[Band No.]]&amp;BProvPrivEnrlmtUnder2233[[#This Row],[School No.]],$A$755:$A$818&amp;$E$755:$E$818,0)),0)</f>
        <v>0</v>
      </c>
      <c r="AX555" s="624">
        <f t="array" ref="AX555">IFERROR(INDEX($I$755:$I$818,MATCH(BProvPrivEnrlmtUnder2233[[#This Row],[Band No.]]&amp;BProvPrivEnrlmtUnder2233[[#This Row],[School No.]],$A$755:$A$818&amp;$E$755:$E$818,0)),0)</f>
        <v>0</v>
      </c>
      <c r="AY555" s="624">
        <f t="array" ref="AY555">IFERROR(INDEX($K$755:$K$818,MATCH(BProvPrivEnrlmtUnder2233[[#This Row],[Band No.]]&amp;BProvPrivEnrlmtUnder2233[[#This Row],[School No.]],$A$755:$A$818&amp;$E$755:$E$818,0)),0)</f>
        <v>0</v>
      </c>
      <c r="AZ555" s="637">
        <f t="array" ref="AZ555">IFERROR(INDEX($O$755:$O$818,MATCH(BProvPrivEnrlmtUnder2233[[#This Row],[Band No.]]&amp;BProvPrivEnrlmtUnder2233[[#This Row],[School No.]],$A$755:$A$818&amp;$E$755:$E$818,0)),0)</f>
        <v>0</v>
      </c>
      <c r="BA555" s="637">
        <f t="array" ref="BA555">IFERROR(INDEX($R$755:$R$818,MATCH(BProvPrivEnrlmtUnder2233[[#This Row],[Band No.]]&amp;BProvPrivEnrlmtUnder2233[[#This Row],[School No.]],$A$755:$A$818&amp;$E$755:$E$818,0)),0)</f>
        <v>0</v>
      </c>
      <c r="BB555" s="637">
        <f t="array" ref="BB555">IFERROR(INDEX($N$755:$N$818,MATCH(BProvPrivEnrlmtUnder2233[[#This Row],[Band No.]]&amp;BProvPrivEnrlmtUnder2233[[#This Row],[School No.]],$A$755:$A$818&amp;$E$755:$E$818,0)),0)</f>
        <v>0</v>
      </c>
      <c r="BC555" s="637">
        <f t="array" ref="BC555">IFERROR(INDEX($P$755:$P$818,MATCH(BProvPrivEnrlmtUnder2233[[#This Row],[Band No.]]&amp;BProvPrivEnrlmtUnder2233[[#This Row],[School No.]],$A$755:$A$818&amp;$E$755:$E$818,0)),0)</f>
        <v>0</v>
      </c>
    </row>
    <row r="556" spans="1:55" s="624" customFormat="1" hidden="1">
      <c r="A556" s="629">
        <v>305</v>
      </c>
      <c r="B556" s="629" t="s">
        <v>404</v>
      </c>
      <c r="C556" s="629" t="s">
        <v>1466</v>
      </c>
      <c r="D556" s="629" t="s">
        <v>1095</v>
      </c>
      <c r="E556" s="629" t="s">
        <v>1377</v>
      </c>
      <c r="F556" s="624" t="s">
        <v>1013</v>
      </c>
      <c r="H556" s="624">
        <v>0.5</v>
      </c>
      <c r="I556" s="639"/>
      <c r="L556" s="639"/>
      <c r="M556" s="624">
        <v>1</v>
      </c>
      <c r="O556" s="624">
        <v>1</v>
      </c>
      <c r="P556" s="630">
        <v>1</v>
      </c>
      <c r="Q556" s="630"/>
      <c r="R556" s="630">
        <v>2</v>
      </c>
      <c r="S556" s="630">
        <v>2</v>
      </c>
      <c r="T556" s="630">
        <v>4</v>
      </c>
      <c r="U556" s="630">
        <v>4</v>
      </c>
      <c r="V556" s="630"/>
      <c r="W556" s="640">
        <f>SUM(BProvPrivEnrlmtUnder2233[[#This Row],[K4]:[Ungradable Second FTE]])</f>
        <v>15.5</v>
      </c>
      <c r="X556" s="630"/>
      <c r="Y556" s="630">
        <v>1</v>
      </c>
      <c r="Z556" s="630"/>
      <c r="AA556" s="630"/>
      <c r="AB556" s="630"/>
      <c r="AC556" s="630"/>
      <c r="AD556" s="630">
        <v>1</v>
      </c>
      <c r="AE556" s="630"/>
      <c r="AF556" s="630">
        <v>1</v>
      </c>
      <c r="AG556" s="630">
        <v>1</v>
      </c>
      <c r="AH556" s="630"/>
      <c r="AI556" s="630">
        <v>2</v>
      </c>
      <c r="AJ556" s="630">
        <v>2</v>
      </c>
      <c r="AK556" s="630">
        <v>4</v>
      </c>
      <c r="AL556" s="630">
        <v>4</v>
      </c>
      <c r="AM556" s="630"/>
      <c r="AN556" s="641">
        <f>SUM(BProvPrivEnrlmtUnder2233[[#This Row],[K4 H]:[Ungradable Second H]])</f>
        <v>16</v>
      </c>
      <c r="AO556" s="642">
        <f>IF(BProvPrivEnrlmtUnder2233[[#This Row],[School Type]]="Adult",0,BProvPrivEnrlmtUnder2233[[#This Row],[TOTAL &lt;22 HEADCOUNT]])</f>
        <v>16</v>
      </c>
      <c r="AP556" s="630" t="s">
        <v>1467</v>
      </c>
      <c r="AQ556" s="630" t="str">
        <f>INDEX(TableAFNSchools[North/South of 53rd Parallel &amp; Fly-in = North],MATCH(BProvPrivEnrlmtUnder2233[[#This Row],[Band No.]],TableAFNSchools[Band No '#],0))</f>
        <v>North</v>
      </c>
      <c r="AR556" s="630" t="s">
        <v>1463</v>
      </c>
      <c r="AS556" s="629" t="s">
        <v>441</v>
      </c>
      <c r="AT556" s="630" t="str">
        <f>IF(BProvPrivEnrlmtUnder2233[[#This Row],[K4]]="","None",IF(BProvPrivEnrlmtUnder2233[[#This Row],[K4]]&lt;BProvPrivEnrlmtUnder2233[[#This Row],[K4 H]],"Half-day",IF(AND(BProvPrivEnrlmtUnder2233[[#This Row],[K4]]&gt;0,BProvPrivEnrlmtUnder2233[[#This Row],[K4]]=BProvPrivEnrlmtUnder2233[[#This Row],[K4 H]]),"Full-day",0)))</f>
        <v>None</v>
      </c>
      <c r="AU556" s="630" t="str">
        <f>IF(BProvPrivEnrlmtUnder2233[[#This Row],[K5]]="","None",IF(BProvPrivEnrlmtUnder2233[[#This Row],[K5]]&lt;BProvPrivEnrlmtUnder2233[[#This Row],[K5 H]],"Half-day",IF(AND(BProvPrivEnrlmtUnder2233[[#This Row],[K5]]&gt;0,BProvPrivEnrlmtUnder2233[[#This Row],[K5]]=BProvPrivEnrlmtUnder2233[[#This Row],[K5 H]]),"Full-day",0)))</f>
        <v>Half-day</v>
      </c>
      <c r="AV556" s="624">
        <f t="array" ref="AV556">IFERROR(INDEX($J$755:$J$818,MATCH(BProvPrivEnrlmtUnder2233[[#This Row],[Band No.]]&amp;BProvPrivEnrlmtUnder2233[[#This Row],[School No.]],$A$755:$A$818&amp;$E$755:$E$818,0)),0)</f>
        <v>0</v>
      </c>
      <c r="AW556" s="624">
        <f t="array" ref="AW556">IFERROR(INDEX($M$755:$M$818,MATCH(BProvPrivEnrlmtUnder2233[[#This Row],[Band No.]]&amp;BProvPrivEnrlmtUnder2233[[#This Row],[School No.]],$A$755:$A$818&amp;$E$755:$E$818,0)),0)</f>
        <v>0</v>
      </c>
      <c r="AX556" s="624">
        <f t="array" ref="AX556">IFERROR(INDEX($I$755:$I$818,MATCH(BProvPrivEnrlmtUnder2233[[#This Row],[Band No.]]&amp;BProvPrivEnrlmtUnder2233[[#This Row],[School No.]],$A$755:$A$818&amp;$E$755:$E$818,0)),0)</f>
        <v>0</v>
      </c>
      <c r="AY556" s="624">
        <f t="array" ref="AY556">IFERROR(INDEX($K$755:$K$818,MATCH(BProvPrivEnrlmtUnder2233[[#This Row],[Band No.]]&amp;BProvPrivEnrlmtUnder2233[[#This Row],[School No.]],$A$755:$A$818&amp;$E$755:$E$818,0)),0)</f>
        <v>0</v>
      </c>
      <c r="AZ556" s="637">
        <f t="array" ref="AZ556">IFERROR(INDEX($O$755:$O$818,MATCH(BProvPrivEnrlmtUnder2233[[#This Row],[Band No.]]&amp;BProvPrivEnrlmtUnder2233[[#This Row],[School No.]],$A$755:$A$818&amp;$E$755:$E$818,0)),0)</f>
        <v>0</v>
      </c>
      <c r="BA556" s="637">
        <f t="array" ref="BA556">IFERROR(INDEX($R$755:$R$818,MATCH(BProvPrivEnrlmtUnder2233[[#This Row],[Band No.]]&amp;BProvPrivEnrlmtUnder2233[[#This Row],[School No.]],$A$755:$A$818&amp;$E$755:$E$818,0)),0)</f>
        <v>0</v>
      </c>
      <c r="BB556" s="637">
        <f t="array" ref="BB556">IFERROR(INDEX($N$755:$N$818,MATCH(BProvPrivEnrlmtUnder2233[[#This Row],[Band No.]]&amp;BProvPrivEnrlmtUnder2233[[#This Row],[School No.]],$A$755:$A$818&amp;$E$755:$E$818,0)),0)</f>
        <v>0</v>
      </c>
      <c r="BC556" s="637">
        <f t="array" ref="BC556">IFERROR(INDEX($P$755:$P$818,MATCH(BProvPrivEnrlmtUnder2233[[#This Row],[Band No.]]&amp;BProvPrivEnrlmtUnder2233[[#This Row],[School No.]],$A$755:$A$818&amp;$E$755:$E$818,0)),0)</f>
        <v>0</v>
      </c>
    </row>
    <row r="557" spans="1:55" s="624" customFormat="1" hidden="1">
      <c r="G557" s="624">
        <f>SUBTOTAL(109,BProvPrivEnrlmtUnder2233[K4])</f>
        <v>0</v>
      </c>
      <c r="H557" s="624">
        <f>SUBTOTAL(109,BProvPrivEnrlmtUnder2233[K5])</f>
        <v>0</v>
      </c>
      <c r="I557" s="624">
        <f>SUBTOTAL(109,BProvPrivEnrlmtUnder2233[Grade 1])</f>
        <v>0</v>
      </c>
      <c r="J557" s="624">
        <f>SUBTOTAL(109,BProvPrivEnrlmtUnder2233[Grade 2])</f>
        <v>0</v>
      </c>
      <c r="K557" s="624">
        <f>SUBTOTAL(109,BProvPrivEnrlmtUnder2233[Grade 3])</f>
        <v>0</v>
      </c>
      <c r="L557" s="624">
        <f>SUBTOTAL(109,BProvPrivEnrlmtUnder2233[Grade 4])</f>
        <v>0</v>
      </c>
      <c r="M557" s="624">
        <f>SUBTOTAL(109,BProvPrivEnrlmtUnder2233[Grade 5])</f>
        <v>0</v>
      </c>
      <c r="N557" s="624">
        <f>SUBTOTAL(109,BProvPrivEnrlmtUnder2233[Grade 6])</f>
        <v>0</v>
      </c>
      <c r="O557" s="624">
        <f>SUBTOTAL(109,BProvPrivEnrlmtUnder2233[Grade 7])</f>
        <v>0</v>
      </c>
      <c r="P557" s="624">
        <f>SUBTOTAL(109,BProvPrivEnrlmtUnder2233[Grade 8])</f>
        <v>0</v>
      </c>
      <c r="Q557" s="624">
        <f>SUBTOTAL(109,BProvPrivEnrlmtUnder2233[Ungradable Elem FTE])</f>
        <v>0</v>
      </c>
      <c r="R557" s="624">
        <f>SUBTOTAL(109,BProvPrivEnrlmtUnder2233[Grade 9])</f>
        <v>0</v>
      </c>
      <c r="S557" s="624">
        <f>SUBTOTAL(109,BProvPrivEnrlmtUnder2233[Grade 10])</f>
        <v>0</v>
      </c>
      <c r="T557" s="624">
        <f>SUBTOTAL(109,BProvPrivEnrlmtUnder2233[Grade 11])</f>
        <v>0</v>
      </c>
      <c r="U557" s="624">
        <f>SUBTOTAL(109,BProvPrivEnrlmtUnder2233[Grade 12])</f>
        <v>0</v>
      </c>
      <c r="V557" s="624">
        <f>SUBTOTAL(109,BProvPrivEnrlmtUnder2233[Ungradable Second FTE])</f>
        <v>0</v>
      </c>
      <c r="W557" s="644">
        <f>SUBTOTAL(109,BProvPrivEnrlmtUnder2233[TOTAL &lt;22 FTE])</f>
        <v>0</v>
      </c>
      <c r="X557" s="624">
        <f>SUBTOTAL(109,BProvPrivEnrlmtUnder2233[K4 H])</f>
        <v>0</v>
      </c>
      <c r="Y557" s="624">
        <f>SUBTOTAL(109,BProvPrivEnrlmtUnder2233[K5 H])</f>
        <v>0</v>
      </c>
      <c r="Z557" s="624">
        <f>SUBTOTAL(109,BProvPrivEnrlmtUnder2233[Grade 1 H])</f>
        <v>0</v>
      </c>
      <c r="AA557" s="624">
        <f>SUBTOTAL(109,BProvPrivEnrlmtUnder2233[Grade 2 H])</f>
        <v>0</v>
      </c>
      <c r="AB557" s="624">
        <f>SUBTOTAL(109,BProvPrivEnrlmtUnder2233[Grade 3 H])</f>
        <v>0</v>
      </c>
      <c r="AC557" s="624">
        <f>SUBTOTAL(109,BProvPrivEnrlmtUnder2233[Grade 4 H])</f>
        <v>0</v>
      </c>
      <c r="AD557" s="624">
        <f>SUBTOTAL(109,BProvPrivEnrlmtUnder2233[Grade 5 H])</f>
        <v>0</v>
      </c>
      <c r="AE557" s="624">
        <f>SUBTOTAL(109,BProvPrivEnrlmtUnder2233[Grade 6 H])</f>
        <v>0</v>
      </c>
      <c r="AF557" s="624">
        <f>SUBTOTAL(109,BProvPrivEnrlmtUnder2233[Grade 7 H])</f>
        <v>0</v>
      </c>
      <c r="AG557" s="624">
        <f>SUBTOTAL(109,BProvPrivEnrlmtUnder2233[Grade 8 H])</f>
        <v>0</v>
      </c>
      <c r="AH557" s="624">
        <f>SUBTOTAL(109,BProvPrivEnrlmtUnder2233[Ungradable Elem H])</f>
        <v>0</v>
      </c>
      <c r="AI557" s="624">
        <f>SUBTOTAL(109,BProvPrivEnrlmtUnder2233[Grade 9 H])</f>
        <v>0</v>
      </c>
      <c r="AJ557" s="624">
        <f>SUBTOTAL(109,BProvPrivEnrlmtUnder2233[Grade 10 H])</f>
        <v>0</v>
      </c>
      <c r="AK557" s="624">
        <f>SUBTOTAL(109,BProvPrivEnrlmtUnder2233[Grade 11 H])</f>
        <v>0</v>
      </c>
      <c r="AL557" s="624">
        <f>SUBTOTAL(109,BProvPrivEnrlmtUnder2233[Grade 12 H])</f>
        <v>0</v>
      </c>
      <c r="AM557" s="624">
        <f>SUBTOTAL(109,BProvPrivEnrlmtUnder2233[Ungradable Second H])</f>
        <v>0</v>
      </c>
      <c r="AN557" s="624">
        <f>SUBTOTAL(109,BProvPrivEnrlmtUnder2233[TOTAL &lt;22 HEADCOUNT])</f>
        <v>0</v>
      </c>
      <c r="AO557" s="624">
        <f>SUBTOTAL(109,BProvPrivEnrlmtUnder2233[ADJUSTED HEADCOUNT FOR TRANSPORTATION])</f>
        <v>0</v>
      </c>
      <c r="AV557" s="624">
        <f>SUBTOTAL(109,BProvPrivEnrlmtUnder2233[Mandatory room &amp; board &lt;18])</f>
        <v>0</v>
      </c>
      <c r="AW557" s="624">
        <f>SUBTOTAL(109,BProvPrivEnrlmtUnder2233[Student residence &lt;18])</f>
        <v>0</v>
      </c>
      <c r="AX557" s="624">
        <f>SUBTOTAL(109,BProvPrivEnrlmtUnder2233[Boarding school &lt;18])</f>
        <v>0</v>
      </c>
      <c r="AY557" s="624">
        <f>SUBTOTAL(109,BProvPrivEnrlmtUnder2233[Room and board (5 days) &lt;18])</f>
        <v>0</v>
      </c>
      <c r="AZ557" s="624">
        <f>SUBTOTAL(109,BProvPrivEnrlmtUnder2233[Mandatory room &amp; board 18-21])</f>
        <v>0</v>
      </c>
      <c r="BA557" s="624">
        <f>SUBTOTAL(109,BProvPrivEnrlmtUnder2233[Student residence 18-21])</f>
        <v>0</v>
      </c>
      <c r="BB557" s="624">
        <f>SUBTOTAL(109,BProvPrivEnrlmtUnder2233[Boarding school 18-21])</f>
        <v>0</v>
      </c>
      <c r="BC557" s="624">
        <f>SUBTOTAL(109,BProvPrivEnrlmtUnder2233[Room and board (5 days) 18-21])</f>
        <v>0</v>
      </c>
    </row>
    <row r="558" spans="1:55" hidden="1"/>
    <row r="559" spans="1:55" hidden="1"/>
    <row r="560" spans="1:55" s="425" customFormat="1" hidden="1">
      <c r="A560" s="618" t="s">
        <v>1468</v>
      </c>
      <c r="B560" s="383"/>
      <c r="C560" s="383"/>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1:53" s="425" customFormat="1" hidden="1">
      <c r="K561" s="1730"/>
      <c r="L561" s="1730"/>
      <c r="M561" s="1730"/>
      <c r="AX561" s="612" t="s">
        <v>1469</v>
      </c>
    </row>
    <row r="562" spans="1:53" s="425" customFormat="1" ht="45" hidden="1">
      <c r="A562" s="603" t="s">
        <v>739</v>
      </c>
      <c r="B562" s="603" t="s">
        <v>481</v>
      </c>
      <c r="C562" s="603" t="s">
        <v>375</v>
      </c>
      <c r="D562" s="603" t="s">
        <v>331</v>
      </c>
      <c r="E562" s="611" t="s">
        <v>338</v>
      </c>
      <c r="F562" s="1315" t="s">
        <v>1276</v>
      </c>
      <c r="G562" s="1315" t="s">
        <v>1277</v>
      </c>
      <c r="H562" s="1315" t="s">
        <v>1320</v>
      </c>
      <c r="I562" s="1315" t="s">
        <v>1321</v>
      </c>
      <c r="J562" s="1315" t="s">
        <v>1322</v>
      </c>
      <c r="K562" s="1315" t="s">
        <v>1323</v>
      </c>
      <c r="L562" s="1315" t="s">
        <v>1324</v>
      </c>
      <c r="M562" s="1315" t="s">
        <v>1325</v>
      </c>
      <c r="N562" s="1315" t="s">
        <v>1326</v>
      </c>
      <c r="O562" s="1315" t="s">
        <v>1327</v>
      </c>
      <c r="P562" s="1315" t="s">
        <v>1328</v>
      </c>
      <c r="Q562" s="1315" t="s">
        <v>1329</v>
      </c>
      <c r="R562" s="1315" t="s">
        <v>1330</v>
      </c>
      <c r="S562" s="1315" t="s">
        <v>1331</v>
      </c>
      <c r="T562" s="1315" t="s">
        <v>1332</v>
      </c>
      <c r="U562" s="1315" t="s">
        <v>1333</v>
      </c>
      <c r="V562" s="1316" t="s">
        <v>1334</v>
      </c>
      <c r="W562" s="1317" t="s">
        <v>1278</v>
      </c>
      <c r="X562" s="1317" t="s">
        <v>1279</v>
      </c>
      <c r="Y562" s="1317" t="s">
        <v>1335</v>
      </c>
      <c r="Z562" s="1317" t="s">
        <v>1336</v>
      </c>
      <c r="AA562" s="1317" t="s">
        <v>1337</v>
      </c>
      <c r="AB562" s="1317" t="s">
        <v>1338</v>
      </c>
      <c r="AC562" s="1317" t="s">
        <v>1339</v>
      </c>
      <c r="AD562" s="1317" t="s">
        <v>1340</v>
      </c>
      <c r="AE562" s="1317" t="s">
        <v>1341</v>
      </c>
      <c r="AF562" s="1317" t="s">
        <v>1342</v>
      </c>
      <c r="AG562" s="1317" t="s">
        <v>1343</v>
      </c>
      <c r="AH562" s="1317" t="s">
        <v>1344</v>
      </c>
      <c r="AI562" s="1317" t="s">
        <v>1345</v>
      </c>
      <c r="AJ562" s="1317" t="s">
        <v>1346</v>
      </c>
      <c r="AK562" s="1317" t="s">
        <v>1347</v>
      </c>
      <c r="AL562" s="1317" t="s">
        <v>1348</v>
      </c>
      <c r="AM562" s="1316" t="s">
        <v>1349</v>
      </c>
      <c r="AN562" s="1318" t="s">
        <v>1382</v>
      </c>
      <c r="AO562" s="1317" t="s">
        <v>1350</v>
      </c>
      <c r="AP562" s="1317" t="s">
        <v>832</v>
      </c>
      <c r="AQ562" s="1317" t="s">
        <v>1351</v>
      </c>
      <c r="AR562" s="1317" t="s">
        <v>1186</v>
      </c>
      <c r="AS562" s="1317" t="s">
        <v>1187</v>
      </c>
      <c r="AT562" s="613" t="s">
        <v>1216</v>
      </c>
      <c r="AU562" s="613" t="s">
        <v>1217</v>
      </c>
      <c r="AV562" s="613" t="s">
        <v>1218</v>
      </c>
      <c r="AW562" s="613" t="s">
        <v>1219</v>
      </c>
      <c r="AX562" s="614" t="s">
        <v>1220</v>
      </c>
      <c r="AY562" s="614" t="s">
        <v>1221</v>
      </c>
      <c r="AZ562" s="614" t="s">
        <v>1222</v>
      </c>
      <c r="BA562" s="614" t="s">
        <v>1223</v>
      </c>
    </row>
    <row r="563" spans="1:53" s="425" customFormat="1" hidden="1">
      <c r="A563" s="444">
        <v>261</v>
      </c>
      <c r="B563" s="444" t="s">
        <v>733</v>
      </c>
      <c r="C563" s="444">
        <v>1744</v>
      </c>
      <c r="D563" s="444" t="s">
        <v>1470</v>
      </c>
      <c r="E563" s="425" t="s">
        <v>1013</v>
      </c>
      <c r="F563" s="444"/>
      <c r="G563" s="444">
        <v>1</v>
      </c>
      <c r="H563" s="444"/>
      <c r="I563" s="444">
        <v>1</v>
      </c>
      <c r="J563" s="444"/>
      <c r="K563" s="444">
        <v>1</v>
      </c>
      <c r="L563" s="444"/>
      <c r="M563" s="444"/>
      <c r="N563" s="444">
        <v>1</v>
      </c>
      <c r="O563" s="444"/>
      <c r="P563" s="444"/>
      <c r="Q563" s="444"/>
      <c r="R563" s="444"/>
      <c r="S563" s="444"/>
      <c r="T563" s="444"/>
      <c r="U563" s="444"/>
      <c r="V563" s="445">
        <v>4</v>
      </c>
      <c r="W563" s="444"/>
      <c r="X563" s="444">
        <v>1</v>
      </c>
      <c r="Y563" s="444"/>
      <c r="Z563" s="444">
        <v>1</v>
      </c>
      <c r="AA563" s="444"/>
      <c r="AB563" s="444">
        <v>1</v>
      </c>
      <c r="AC563" s="444"/>
      <c r="AD563" s="444"/>
      <c r="AE563" s="444">
        <v>1</v>
      </c>
      <c r="AF563" s="444"/>
      <c r="AG563" s="444"/>
      <c r="AH563" s="444"/>
      <c r="AI563" s="444"/>
      <c r="AJ563" s="444"/>
      <c r="AK563" s="444"/>
      <c r="AL563" s="444"/>
      <c r="AM563" s="446">
        <v>4</v>
      </c>
      <c r="AN563" s="447">
        <v>4</v>
      </c>
      <c r="AO563" s="444" t="s">
        <v>473</v>
      </c>
      <c r="AP563" s="444" t="s">
        <v>1384</v>
      </c>
      <c r="AQ563" s="444" t="s">
        <v>443</v>
      </c>
      <c r="AR563" s="444" t="s">
        <v>1306</v>
      </c>
      <c r="AS563" s="444" t="s">
        <v>1298</v>
      </c>
      <c r="AT563" s="448">
        <v>0</v>
      </c>
      <c r="AU563" s="448">
        <v>0</v>
      </c>
      <c r="AV563" s="448">
        <v>0</v>
      </c>
      <c r="AW563" s="448">
        <v>0</v>
      </c>
      <c r="AX563" s="448">
        <v>0</v>
      </c>
      <c r="AY563" s="448">
        <v>0</v>
      </c>
      <c r="AZ563" s="448">
        <v>0</v>
      </c>
      <c r="BA563" s="448">
        <v>0</v>
      </c>
    </row>
    <row r="564" spans="1:53" s="425" customFormat="1" hidden="1">
      <c r="A564" s="444">
        <v>261</v>
      </c>
      <c r="B564" s="444" t="s">
        <v>733</v>
      </c>
      <c r="C564" s="444">
        <v>3310</v>
      </c>
      <c r="D564" s="444" t="s">
        <v>1045</v>
      </c>
      <c r="E564" s="425" t="s">
        <v>1013</v>
      </c>
      <c r="F564" s="444"/>
      <c r="G564" s="444"/>
      <c r="H564" s="444"/>
      <c r="I564" s="444"/>
      <c r="J564" s="444"/>
      <c r="K564" s="444"/>
      <c r="L564" s="444"/>
      <c r="M564" s="444"/>
      <c r="N564" s="444"/>
      <c r="O564" s="444"/>
      <c r="P564" s="444"/>
      <c r="Q564" s="444"/>
      <c r="R564" s="444"/>
      <c r="S564" s="444">
        <v>1</v>
      </c>
      <c r="T564" s="444"/>
      <c r="U564" s="444"/>
      <c r="V564" s="445">
        <v>1</v>
      </c>
      <c r="W564" s="444"/>
      <c r="X564" s="444"/>
      <c r="Y564" s="444"/>
      <c r="Z564" s="444"/>
      <c r="AA564" s="444"/>
      <c r="AB564" s="444"/>
      <c r="AC564" s="444"/>
      <c r="AD564" s="444"/>
      <c r="AE564" s="444"/>
      <c r="AF564" s="444"/>
      <c r="AG564" s="444"/>
      <c r="AH564" s="444"/>
      <c r="AI564" s="444"/>
      <c r="AJ564" s="444">
        <v>1</v>
      </c>
      <c r="AK564" s="444"/>
      <c r="AL564" s="444"/>
      <c r="AM564" s="446">
        <v>1</v>
      </c>
      <c r="AN564" s="447">
        <v>1</v>
      </c>
      <c r="AO564" s="444" t="s">
        <v>473</v>
      </c>
      <c r="AP564" s="444" t="s">
        <v>1233</v>
      </c>
      <c r="AQ564" s="444" t="s">
        <v>443</v>
      </c>
      <c r="AR564" s="444" t="s">
        <v>1306</v>
      </c>
      <c r="AS564" s="444" t="s">
        <v>1306</v>
      </c>
      <c r="AT564" s="448">
        <v>1</v>
      </c>
      <c r="AU564" s="448">
        <v>0</v>
      </c>
      <c r="AV564" s="425">
        <v>0</v>
      </c>
      <c r="AW564" s="451">
        <v>0</v>
      </c>
      <c r="AX564" s="450">
        <v>0</v>
      </c>
      <c r="AY564" s="450">
        <v>0</v>
      </c>
      <c r="AZ564" s="450">
        <v>0</v>
      </c>
      <c r="BA564" s="450">
        <v>0</v>
      </c>
    </row>
    <row r="565" spans="1:53" s="425" customFormat="1" hidden="1">
      <c r="A565" s="444">
        <v>261</v>
      </c>
      <c r="B565" s="444" t="s">
        <v>733</v>
      </c>
      <c r="C565" s="444">
        <v>3330</v>
      </c>
      <c r="D565" s="444" t="s">
        <v>1012</v>
      </c>
      <c r="E565" s="425" t="s">
        <v>1013</v>
      </c>
      <c r="F565" s="444"/>
      <c r="G565" s="444"/>
      <c r="H565" s="444"/>
      <c r="I565" s="444"/>
      <c r="J565" s="444"/>
      <c r="K565" s="444"/>
      <c r="L565" s="444"/>
      <c r="M565" s="444"/>
      <c r="N565" s="444"/>
      <c r="O565" s="444"/>
      <c r="P565" s="444"/>
      <c r="Q565" s="444"/>
      <c r="R565" s="444"/>
      <c r="S565" s="444"/>
      <c r="T565" s="444">
        <v>1</v>
      </c>
      <c r="U565" s="444"/>
      <c r="V565" s="445">
        <v>1</v>
      </c>
      <c r="W565" s="444"/>
      <c r="X565" s="444"/>
      <c r="Y565" s="444"/>
      <c r="Z565" s="444"/>
      <c r="AA565" s="444"/>
      <c r="AB565" s="444"/>
      <c r="AC565" s="444"/>
      <c r="AD565" s="444"/>
      <c r="AE565" s="444"/>
      <c r="AF565" s="444"/>
      <c r="AG565" s="444"/>
      <c r="AH565" s="444"/>
      <c r="AI565" s="444"/>
      <c r="AJ565" s="444"/>
      <c r="AK565" s="444">
        <v>1</v>
      </c>
      <c r="AL565" s="444"/>
      <c r="AM565" s="446">
        <v>1</v>
      </c>
      <c r="AN565" s="447">
        <v>1</v>
      </c>
      <c r="AO565" s="444" t="s">
        <v>473</v>
      </c>
      <c r="AP565" s="444" t="s">
        <v>1405</v>
      </c>
      <c r="AQ565" s="444" t="s">
        <v>443</v>
      </c>
      <c r="AR565" s="444" t="s">
        <v>1306</v>
      </c>
      <c r="AS565" s="444" t="s">
        <v>1306</v>
      </c>
      <c r="AT565" s="448">
        <v>0</v>
      </c>
      <c r="AU565" s="448">
        <v>0</v>
      </c>
      <c r="AV565" s="425">
        <v>0</v>
      </c>
      <c r="AW565" s="448">
        <v>0</v>
      </c>
      <c r="AX565" s="450">
        <v>1</v>
      </c>
      <c r="AY565" s="450">
        <v>0</v>
      </c>
      <c r="AZ565" s="450">
        <v>0</v>
      </c>
      <c r="BA565" s="450">
        <v>0</v>
      </c>
    </row>
    <row r="566" spans="1:53" s="425" customFormat="1" hidden="1">
      <c r="A566" s="444">
        <v>261</v>
      </c>
      <c r="B566" s="444" t="s">
        <v>733</v>
      </c>
      <c r="C566" s="444">
        <v>3449</v>
      </c>
      <c r="D566" s="444" t="s">
        <v>1015</v>
      </c>
      <c r="E566" s="425" t="s">
        <v>1013</v>
      </c>
      <c r="F566" s="444"/>
      <c r="G566" s="444"/>
      <c r="H566" s="444"/>
      <c r="I566" s="444"/>
      <c r="J566" s="444"/>
      <c r="K566" s="444"/>
      <c r="L566" s="444"/>
      <c r="M566" s="444"/>
      <c r="N566" s="444"/>
      <c r="O566" s="444"/>
      <c r="P566" s="444"/>
      <c r="Q566" s="444"/>
      <c r="R566" s="444">
        <v>2</v>
      </c>
      <c r="S566" s="444">
        <v>7</v>
      </c>
      <c r="T566" s="444">
        <v>7</v>
      </c>
      <c r="U566" s="444"/>
      <c r="V566" s="445">
        <v>16</v>
      </c>
      <c r="W566" s="444"/>
      <c r="X566" s="444"/>
      <c r="Y566" s="444"/>
      <c r="Z566" s="444"/>
      <c r="AA566" s="444"/>
      <c r="AB566" s="444"/>
      <c r="AC566" s="444"/>
      <c r="AD566" s="444"/>
      <c r="AE566" s="444"/>
      <c r="AF566" s="444"/>
      <c r="AG566" s="444"/>
      <c r="AH566" s="444"/>
      <c r="AI566" s="444">
        <v>2</v>
      </c>
      <c r="AJ566" s="444">
        <v>7</v>
      </c>
      <c r="AK566" s="444">
        <v>7</v>
      </c>
      <c r="AL566" s="444"/>
      <c r="AM566" s="446">
        <v>16</v>
      </c>
      <c r="AN566" s="447">
        <v>16</v>
      </c>
      <c r="AO566" s="444" t="s">
        <v>473</v>
      </c>
      <c r="AP566" s="444" t="s">
        <v>1384</v>
      </c>
      <c r="AQ566" s="444" t="s">
        <v>443</v>
      </c>
      <c r="AR566" s="444" t="s">
        <v>1306</v>
      </c>
      <c r="AS566" s="444" t="s">
        <v>1306</v>
      </c>
      <c r="AT566" s="448">
        <v>0</v>
      </c>
      <c r="AU566" s="448">
        <v>2</v>
      </c>
      <c r="AV566" s="425">
        <v>0</v>
      </c>
      <c r="AW566" s="449">
        <v>0</v>
      </c>
      <c r="AX566" s="450">
        <v>0</v>
      </c>
      <c r="AY566" s="450">
        <v>1</v>
      </c>
      <c r="AZ566" s="450">
        <v>0</v>
      </c>
      <c r="BA566" s="450">
        <v>0</v>
      </c>
    </row>
    <row r="567" spans="1:53" s="425" customFormat="1" hidden="1">
      <c r="A567" s="444">
        <v>261</v>
      </c>
      <c r="B567" s="444" t="s">
        <v>733</v>
      </c>
      <c r="C567" s="444">
        <v>3483</v>
      </c>
      <c r="D567" s="444" t="s">
        <v>1471</v>
      </c>
      <c r="E567" s="425" t="s">
        <v>1013</v>
      </c>
      <c r="F567" s="444"/>
      <c r="G567" s="444"/>
      <c r="H567" s="444">
        <v>1</v>
      </c>
      <c r="I567" s="444">
        <v>1</v>
      </c>
      <c r="J567" s="444">
        <v>1</v>
      </c>
      <c r="K567" s="444">
        <v>1</v>
      </c>
      <c r="L567" s="444">
        <v>3</v>
      </c>
      <c r="M567" s="444">
        <v>3</v>
      </c>
      <c r="N567" s="444">
        <v>4</v>
      </c>
      <c r="O567" s="444">
        <v>3</v>
      </c>
      <c r="P567" s="444"/>
      <c r="Q567" s="444">
        <v>1</v>
      </c>
      <c r="R567" s="444"/>
      <c r="S567" s="444"/>
      <c r="T567" s="444"/>
      <c r="U567" s="444"/>
      <c r="V567" s="445">
        <v>18</v>
      </c>
      <c r="W567" s="444"/>
      <c r="X567" s="444"/>
      <c r="Y567" s="444">
        <v>1</v>
      </c>
      <c r="Z567" s="444">
        <v>1</v>
      </c>
      <c r="AA567" s="444">
        <v>1</v>
      </c>
      <c r="AB567" s="444">
        <v>1</v>
      </c>
      <c r="AC567" s="444">
        <v>3</v>
      </c>
      <c r="AD567" s="444">
        <v>3</v>
      </c>
      <c r="AE567" s="444">
        <v>4</v>
      </c>
      <c r="AF567" s="444">
        <v>3</v>
      </c>
      <c r="AG567" s="444"/>
      <c r="AH567" s="444">
        <v>1</v>
      </c>
      <c r="AI567" s="444"/>
      <c r="AJ567" s="444"/>
      <c r="AK567" s="444"/>
      <c r="AL567" s="444"/>
      <c r="AM567" s="446">
        <v>18</v>
      </c>
      <c r="AN567" s="447">
        <v>18</v>
      </c>
      <c r="AO567" s="444" t="s">
        <v>473</v>
      </c>
      <c r="AP567" s="444" t="s">
        <v>1384</v>
      </c>
      <c r="AQ567" s="444" t="s">
        <v>443</v>
      </c>
      <c r="AR567" s="444" t="s">
        <v>1306</v>
      </c>
      <c r="AS567" s="444" t="s">
        <v>1306</v>
      </c>
      <c r="AT567" s="448">
        <v>0</v>
      </c>
      <c r="AU567" s="448">
        <v>1</v>
      </c>
      <c r="AV567" s="425">
        <v>0</v>
      </c>
      <c r="AW567" s="449">
        <v>0</v>
      </c>
      <c r="AX567" s="450">
        <v>0</v>
      </c>
      <c r="AY567" s="450">
        <v>0</v>
      </c>
      <c r="AZ567" s="450">
        <v>0</v>
      </c>
      <c r="BA567" s="450">
        <v>0</v>
      </c>
    </row>
    <row r="568" spans="1:53" s="425" customFormat="1" hidden="1">
      <c r="A568" s="444">
        <v>261</v>
      </c>
      <c r="B568" s="444" t="s">
        <v>733</v>
      </c>
      <c r="C568" s="444">
        <v>8193</v>
      </c>
      <c r="D568" s="444" t="s">
        <v>1472</v>
      </c>
      <c r="E568" s="425" t="s">
        <v>1027</v>
      </c>
      <c r="F568" s="444"/>
      <c r="G568" s="444"/>
      <c r="H568" s="444"/>
      <c r="I568" s="444"/>
      <c r="J568" s="444"/>
      <c r="K568" s="444"/>
      <c r="L568" s="444"/>
      <c r="M568" s="444"/>
      <c r="N568" s="444"/>
      <c r="O568" s="444"/>
      <c r="P568" s="444"/>
      <c r="Q568" s="444"/>
      <c r="R568" s="444"/>
      <c r="S568" s="444"/>
      <c r="T568" s="444">
        <v>1</v>
      </c>
      <c r="U568" s="444"/>
      <c r="V568" s="445">
        <v>1</v>
      </c>
      <c r="W568" s="444"/>
      <c r="X568" s="444"/>
      <c r="Y568" s="444"/>
      <c r="Z568" s="444"/>
      <c r="AA568" s="444"/>
      <c r="AB568" s="444"/>
      <c r="AC568" s="444"/>
      <c r="AD568" s="444"/>
      <c r="AE568" s="444"/>
      <c r="AF568" s="444"/>
      <c r="AG568" s="444"/>
      <c r="AH568" s="444"/>
      <c r="AI568" s="444"/>
      <c r="AJ568" s="444"/>
      <c r="AK568" s="444">
        <v>1</v>
      </c>
      <c r="AL568" s="444"/>
      <c r="AM568" s="446">
        <v>1</v>
      </c>
      <c r="AN568" s="447">
        <v>1</v>
      </c>
      <c r="AO568" s="444" t="s">
        <v>473</v>
      </c>
      <c r="AP568" s="444" t="s">
        <v>1397</v>
      </c>
      <c r="AQ568" s="444" t="s">
        <v>443</v>
      </c>
      <c r="AR568" s="444" t="s">
        <v>1306</v>
      </c>
      <c r="AS568" s="444" t="s">
        <v>1306</v>
      </c>
      <c r="AT568" s="448">
        <v>0</v>
      </c>
      <c r="AU568" s="448">
        <v>0</v>
      </c>
      <c r="AV568" s="425">
        <v>0</v>
      </c>
      <c r="AW568" s="449">
        <v>0</v>
      </c>
      <c r="AX568" s="450">
        <v>0</v>
      </c>
      <c r="AY568" s="450">
        <v>0</v>
      </c>
      <c r="AZ568" s="450">
        <v>0</v>
      </c>
      <c r="BA568" s="450">
        <v>0</v>
      </c>
    </row>
    <row r="569" spans="1:53" s="425" customFormat="1" hidden="1">
      <c r="A569" s="444">
        <v>267</v>
      </c>
      <c r="B569" s="444" t="s">
        <v>392</v>
      </c>
      <c r="C569" s="444">
        <v>1306</v>
      </c>
      <c r="D569" s="444" t="s">
        <v>1018</v>
      </c>
      <c r="E569" s="425" t="s">
        <v>1013</v>
      </c>
      <c r="F569" s="444"/>
      <c r="G569" s="444"/>
      <c r="H569" s="444"/>
      <c r="I569" s="444"/>
      <c r="J569" s="444"/>
      <c r="K569" s="444"/>
      <c r="L569" s="444"/>
      <c r="M569" s="444"/>
      <c r="N569" s="444"/>
      <c r="O569" s="444"/>
      <c r="P569" s="444"/>
      <c r="Q569" s="444"/>
      <c r="R569" s="444">
        <v>2</v>
      </c>
      <c r="S569" s="444">
        <v>2</v>
      </c>
      <c r="T569" s="444"/>
      <c r="U569" s="444"/>
      <c r="V569" s="445">
        <v>4</v>
      </c>
      <c r="W569" s="444"/>
      <c r="X569" s="444"/>
      <c r="Y569" s="444"/>
      <c r="Z569" s="444"/>
      <c r="AA569" s="444"/>
      <c r="AB569" s="444"/>
      <c r="AC569" s="444"/>
      <c r="AD569" s="444"/>
      <c r="AE569" s="444"/>
      <c r="AF569" s="444"/>
      <c r="AG569" s="444"/>
      <c r="AH569" s="444"/>
      <c r="AI569" s="444">
        <v>2</v>
      </c>
      <c r="AJ569" s="444">
        <v>2</v>
      </c>
      <c r="AK569" s="444"/>
      <c r="AL569" s="444"/>
      <c r="AM569" s="446">
        <v>4</v>
      </c>
      <c r="AN569" s="447">
        <v>4</v>
      </c>
      <c r="AO569" s="444" t="s">
        <v>473</v>
      </c>
      <c r="AP569" s="444" t="s">
        <v>866</v>
      </c>
      <c r="AQ569" s="444" t="s">
        <v>441</v>
      </c>
      <c r="AR569" s="444" t="s">
        <v>1306</v>
      </c>
      <c r="AS569" s="444" t="s">
        <v>1306</v>
      </c>
      <c r="AT569" s="448">
        <v>0</v>
      </c>
      <c r="AU569" s="448">
        <v>0</v>
      </c>
      <c r="AV569" s="425">
        <v>0</v>
      </c>
      <c r="AW569" s="449">
        <v>0</v>
      </c>
      <c r="AX569" s="450">
        <v>4</v>
      </c>
      <c r="AY569" s="450">
        <v>0</v>
      </c>
      <c r="AZ569" s="450">
        <v>0</v>
      </c>
      <c r="BA569" s="450">
        <v>0</v>
      </c>
    </row>
    <row r="570" spans="1:53" s="425" customFormat="1" hidden="1">
      <c r="A570" s="444">
        <v>267</v>
      </c>
      <c r="B570" s="444" t="s">
        <v>392</v>
      </c>
      <c r="C570" s="444">
        <v>1758</v>
      </c>
      <c r="D570" s="444" t="s">
        <v>1020</v>
      </c>
      <c r="E570" s="425" t="s">
        <v>1013</v>
      </c>
      <c r="F570" s="444"/>
      <c r="G570" s="444"/>
      <c r="H570" s="444"/>
      <c r="I570" s="444"/>
      <c r="J570" s="444"/>
      <c r="K570" s="444"/>
      <c r="L570" s="444"/>
      <c r="M570" s="444"/>
      <c r="N570" s="444"/>
      <c r="O570" s="444"/>
      <c r="P570" s="444"/>
      <c r="Q570" s="444"/>
      <c r="R570" s="444">
        <v>4</v>
      </c>
      <c r="S570" s="444">
        <v>3</v>
      </c>
      <c r="T570" s="444">
        <v>1</v>
      </c>
      <c r="U570" s="444"/>
      <c r="V570" s="445">
        <v>8</v>
      </c>
      <c r="W570" s="444"/>
      <c r="X570" s="444"/>
      <c r="Y570" s="444"/>
      <c r="Z570" s="444"/>
      <c r="AA570" s="444"/>
      <c r="AB570" s="444"/>
      <c r="AC570" s="444"/>
      <c r="AD570" s="444"/>
      <c r="AE570" s="444"/>
      <c r="AF570" s="444"/>
      <c r="AG570" s="444"/>
      <c r="AH570" s="444"/>
      <c r="AI570" s="444">
        <v>4</v>
      </c>
      <c r="AJ570" s="444">
        <v>3</v>
      </c>
      <c r="AK570" s="444">
        <v>1</v>
      </c>
      <c r="AL570" s="444"/>
      <c r="AM570" s="446">
        <v>8</v>
      </c>
      <c r="AN570" s="447">
        <v>8</v>
      </c>
      <c r="AO570" s="444" t="s">
        <v>473</v>
      </c>
      <c r="AP570" s="444" t="s">
        <v>1463</v>
      </c>
      <c r="AQ570" s="444" t="s">
        <v>441</v>
      </c>
      <c r="AR570" s="444" t="s">
        <v>1306</v>
      </c>
      <c r="AS570" s="444" t="s">
        <v>1306</v>
      </c>
      <c r="AT570" s="448">
        <v>0</v>
      </c>
      <c r="AU570" s="448">
        <v>5</v>
      </c>
      <c r="AV570" s="425">
        <v>0</v>
      </c>
      <c r="AW570" s="449">
        <v>0</v>
      </c>
      <c r="AX570" s="450">
        <v>0</v>
      </c>
      <c r="AY570" s="450">
        <v>2</v>
      </c>
      <c r="AZ570" s="450">
        <v>0</v>
      </c>
      <c r="BA570" s="450">
        <v>0</v>
      </c>
    </row>
    <row r="571" spans="1:53" s="425" customFormat="1" hidden="1">
      <c r="A571" s="444">
        <v>267</v>
      </c>
      <c r="B571" s="444" t="s">
        <v>392</v>
      </c>
      <c r="C571" s="444">
        <v>3282</v>
      </c>
      <c r="D571" s="444" t="s">
        <v>1022</v>
      </c>
      <c r="E571" s="425" t="s">
        <v>1013</v>
      </c>
      <c r="F571" s="444"/>
      <c r="G571" s="444"/>
      <c r="H571" s="444"/>
      <c r="I571" s="444"/>
      <c r="J571" s="444"/>
      <c r="K571" s="444"/>
      <c r="L571" s="444"/>
      <c r="M571" s="444"/>
      <c r="N571" s="444"/>
      <c r="O571" s="444"/>
      <c r="P571" s="444"/>
      <c r="Q571" s="444"/>
      <c r="R571" s="444">
        <v>3</v>
      </c>
      <c r="S571" s="444"/>
      <c r="T571" s="444">
        <v>2</v>
      </c>
      <c r="U571" s="444"/>
      <c r="V571" s="445">
        <v>5</v>
      </c>
      <c r="W571" s="444"/>
      <c r="X571" s="444"/>
      <c r="Y571" s="444"/>
      <c r="Z571" s="444"/>
      <c r="AA571" s="444"/>
      <c r="AB571" s="444"/>
      <c r="AC571" s="444"/>
      <c r="AD571" s="444"/>
      <c r="AE571" s="444"/>
      <c r="AF571" s="444"/>
      <c r="AG571" s="444"/>
      <c r="AH571" s="444"/>
      <c r="AI571" s="444">
        <v>3</v>
      </c>
      <c r="AJ571" s="444"/>
      <c r="AK571" s="444">
        <v>2</v>
      </c>
      <c r="AL571" s="444"/>
      <c r="AM571" s="446">
        <v>5</v>
      </c>
      <c r="AN571" s="447">
        <v>5</v>
      </c>
      <c r="AO571" s="444" t="s">
        <v>473</v>
      </c>
      <c r="AP571" s="444" t="s">
        <v>1233</v>
      </c>
      <c r="AQ571" s="444" t="s">
        <v>441</v>
      </c>
      <c r="AR571" s="444" t="s">
        <v>1306</v>
      </c>
      <c r="AS571" s="444" t="s">
        <v>1306</v>
      </c>
      <c r="AT571" s="448">
        <v>2</v>
      </c>
      <c r="AU571" s="448">
        <v>0</v>
      </c>
      <c r="AV571" s="425">
        <v>0</v>
      </c>
      <c r="AW571" s="449">
        <v>0</v>
      </c>
      <c r="AX571" s="450">
        <v>3</v>
      </c>
      <c r="AY571" s="450">
        <v>0</v>
      </c>
      <c r="AZ571" s="450">
        <v>0</v>
      </c>
      <c r="BA571" s="450">
        <v>0</v>
      </c>
    </row>
    <row r="572" spans="1:53" s="425" customFormat="1" hidden="1">
      <c r="A572" s="444">
        <v>267</v>
      </c>
      <c r="B572" s="444" t="s">
        <v>392</v>
      </c>
      <c r="C572" s="444">
        <v>3305</v>
      </c>
      <c r="D572" s="444" t="s">
        <v>1024</v>
      </c>
      <c r="E572" s="425" t="s">
        <v>1013</v>
      </c>
      <c r="F572" s="444"/>
      <c r="G572" s="444"/>
      <c r="H572" s="444"/>
      <c r="I572" s="444"/>
      <c r="J572" s="444"/>
      <c r="K572" s="444"/>
      <c r="L572" s="444"/>
      <c r="M572" s="444"/>
      <c r="N572" s="444"/>
      <c r="O572" s="444"/>
      <c r="P572" s="444"/>
      <c r="Q572" s="444"/>
      <c r="R572" s="444"/>
      <c r="S572" s="444">
        <v>2</v>
      </c>
      <c r="T572" s="444"/>
      <c r="U572" s="444"/>
      <c r="V572" s="445">
        <v>2</v>
      </c>
      <c r="W572" s="444"/>
      <c r="X572" s="444"/>
      <c r="Y572" s="444"/>
      <c r="Z572" s="444"/>
      <c r="AA572" s="444"/>
      <c r="AB572" s="444"/>
      <c r="AC572" s="444"/>
      <c r="AD572" s="444"/>
      <c r="AE572" s="444"/>
      <c r="AF572" s="444"/>
      <c r="AG572" s="444"/>
      <c r="AH572" s="444"/>
      <c r="AI572" s="444"/>
      <c r="AJ572" s="444">
        <v>2</v>
      </c>
      <c r="AK572" s="444"/>
      <c r="AL572" s="444"/>
      <c r="AM572" s="446">
        <v>2</v>
      </c>
      <c r="AN572" s="447">
        <v>2</v>
      </c>
      <c r="AO572" s="444" t="s">
        <v>473</v>
      </c>
      <c r="AP572" s="444" t="s">
        <v>1233</v>
      </c>
      <c r="AQ572" s="444" t="s">
        <v>441</v>
      </c>
      <c r="AR572" s="444" t="s">
        <v>1306</v>
      </c>
      <c r="AS572" s="444" t="s">
        <v>1306</v>
      </c>
      <c r="AT572" s="448">
        <v>1</v>
      </c>
      <c r="AU572" s="448">
        <v>0</v>
      </c>
      <c r="AV572" s="425">
        <v>0</v>
      </c>
      <c r="AW572" s="449">
        <v>0</v>
      </c>
      <c r="AX572" s="450">
        <v>1</v>
      </c>
      <c r="AY572" s="450">
        <v>0</v>
      </c>
      <c r="AZ572" s="450">
        <v>0</v>
      </c>
      <c r="BA572" s="450">
        <v>0</v>
      </c>
    </row>
    <row r="573" spans="1:53" s="425" customFormat="1" hidden="1">
      <c r="A573" s="444">
        <v>267</v>
      </c>
      <c r="B573" s="444" t="s">
        <v>392</v>
      </c>
      <c r="C573" s="444">
        <v>3343</v>
      </c>
      <c r="D573" s="444" t="s">
        <v>1473</v>
      </c>
      <c r="E573" s="425" t="s">
        <v>1013</v>
      </c>
      <c r="F573" s="444"/>
      <c r="G573" s="444"/>
      <c r="H573" s="444"/>
      <c r="I573" s="444"/>
      <c r="J573" s="444"/>
      <c r="K573" s="444"/>
      <c r="L573" s="444"/>
      <c r="M573" s="444"/>
      <c r="N573" s="444"/>
      <c r="O573" s="444"/>
      <c r="P573" s="444"/>
      <c r="Q573" s="444"/>
      <c r="R573" s="444"/>
      <c r="S573" s="444">
        <v>1</v>
      </c>
      <c r="T573" s="444"/>
      <c r="U573" s="444"/>
      <c r="V573" s="445">
        <v>1</v>
      </c>
      <c r="W573" s="444"/>
      <c r="X573" s="444"/>
      <c r="Y573" s="444"/>
      <c r="Z573" s="444"/>
      <c r="AA573" s="444"/>
      <c r="AB573" s="444"/>
      <c r="AC573" s="444"/>
      <c r="AD573" s="444"/>
      <c r="AE573" s="444"/>
      <c r="AF573" s="444"/>
      <c r="AG573" s="444"/>
      <c r="AH573" s="444"/>
      <c r="AI573" s="444"/>
      <c r="AJ573" s="444">
        <v>1</v>
      </c>
      <c r="AK573" s="444"/>
      <c r="AL573" s="444"/>
      <c r="AM573" s="446">
        <v>1</v>
      </c>
      <c r="AN573" s="447">
        <v>1</v>
      </c>
      <c r="AO573" s="444" t="s">
        <v>473</v>
      </c>
      <c r="AP573" s="444" t="s">
        <v>1388</v>
      </c>
      <c r="AQ573" s="444" t="s">
        <v>441</v>
      </c>
      <c r="AR573" s="444" t="s">
        <v>1306</v>
      </c>
      <c r="AS573" s="444" t="s">
        <v>1306</v>
      </c>
      <c r="AT573" s="448">
        <v>1</v>
      </c>
      <c r="AU573" s="448">
        <v>0</v>
      </c>
      <c r="AV573" s="425">
        <v>0</v>
      </c>
      <c r="AW573" s="448">
        <v>0</v>
      </c>
      <c r="AX573" s="450">
        <v>0</v>
      </c>
      <c r="AY573" s="450">
        <v>0</v>
      </c>
      <c r="AZ573" s="450">
        <v>0</v>
      </c>
      <c r="BA573" s="450">
        <v>0</v>
      </c>
    </row>
    <row r="574" spans="1:53" s="425" customFormat="1" hidden="1">
      <c r="A574" s="444">
        <v>267</v>
      </c>
      <c r="B574" s="444" t="s">
        <v>392</v>
      </c>
      <c r="C574" s="444">
        <v>3491</v>
      </c>
      <c r="D574" s="444" t="s">
        <v>1474</v>
      </c>
      <c r="E574" s="425" t="s">
        <v>1013</v>
      </c>
      <c r="F574" s="444"/>
      <c r="G574" s="444"/>
      <c r="H574" s="444"/>
      <c r="I574" s="444"/>
      <c r="J574" s="444"/>
      <c r="K574" s="444"/>
      <c r="L574" s="444"/>
      <c r="M574" s="444"/>
      <c r="N574" s="444"/>
      <c r="O574" s="444"/>
      <c r="P574" s="444"/>
      <c r="Q574" s="444"/>
      <c r="R574" s="444"/>
      <c r="S574" s="444"/>
      <c r="T574" s="444">
        <v>1</v>
      </c>
      <c r="U574" s="444"/>
      <c r="V574" s="445">
        <v>1</v>
      </c>
      <c r="W574" s="444"/>
      <c r="X574" s="444"/>
      <c r="Y574" s="444"/>
      <c r="Z574" s="444"/>
      <c r="AA574" s="444"/>
      <c r="AB574" s="444"/>
      <c r="AC574" s="444"/>
      <c r="AD574" s="444"/>
      <c r="AE574" s="444"/>
      <c r="AF574" s="444"/>
      <c r="AG574" s="444"/>
      <c r="AH574" s="444"/>
      <c r="AI574" s="444"/>
      <c r="AJ574" s="444"/>
      <c r="AK574" s="444">
        <v>1</v>
      </c>
      <c r="AL574" s="444"/>
      <c r="AM574" s="446">
        <v>1</v>
      </c>
      <c r="AN574" s="447">
        <v>1</v>
      </c>
      <c r="AO574" s="444" t="s">
        <v>473</v>
      </c>
      <c r="AP574" s="444" t="s">
        <v>846</v>
      </c>
      <c r="AQ574" s="444" t="s">
        <v>441</v>
      </c>
      <c r="AR574" s="444" t="s">
        <v>1306</v>
      </c>
      <c r="AS574" s="444" t="s">
        <v>1306</v>
      </c>
      <c r="AT574" s="448">
        <v>0</v>
      </c>
      <c r="AU574" s="448">
        <v>0</v>
      </c>
      <c r="AV574" s="425">
        <v>0</v>
      </c>
      <c r="AW574" s="449">
        <v>0</v>
      </c>
      <c r="AX574" s="450">
        <v>0</v>
      </c>
      <c r="AY574" s="450">
        <v>0</v>
      </c>
      <c r="AZ574" s="450">
        <v>0</v>
      </c>
      <c r="BA574" s="450">
        <v>0</v>
      </c>
    </row>
    <row r="575" spans="1:53" s="425" customFormat="1" hidden="1">
      <c r="A575" s="444">
        <v>267</v>
      </c>
      <c r="B575" s="444" t="s">
        <v>392</v>
      </c>
      <c r="C575" s="444">
        <v>6912</v>
      </c>
      <c r="D575" s="444" t="s">
        <v>1475</v>
      </c>
      <c r="E575" s="425" t="s">
        <v>1013</v>
      </c>
      <c r="F575" s="444"/>
      <c r="G575" s="444"/>
      <c r="H575" s="444"/>
      <c r="I575" s="444"/>
      <c r="J575" s="444"/>
      <c r="K575" s="444"/>
      <c r="L575" s="444"/>
      <c r="M575" s="444"/>
      <c r="N575" s="444"/>
      <c r="O575" s="444"/>
      <c r="P575" s="444"/>
      <c r="Q575" s="444"/>
      <c r="R575" s="444"/>
      <c r="S575" s="444">
        <v>1</v>
      </c>
      <c r="T575" s="444"/>
      <c r="U575" s="444"/>
      <c r="V575" s="445">
        <v>1</v>
      </c>
      <c r="W575" s="444"/>
      <c r="X575" s="444"/>
      <c r="Y575" s="444"/>
      <c r="Z575" s="444"/>
      <c r="AA575" s="444"/>
      <c r="AB575" s="444"/>
      <c r="AC575" s="444"/>
      <c r="AD575" s="444"/>
      <c r="AE575" s="444"/>
      <c r="AF575" s="444"/>
      <c r="AG575" s="444"/>
      <c r="AH575" s="444"/>
      <c r="AI575" s="444"/>
      <c r="AJ575" s="444">
        <v>1</v>
      </c>
      <c r="AK575" s="444"/>
      <c r="AL575" s="444"/>
      <c r="AM575" s="446">
        <v>1</v>
      </c>
      <c r="AN575" s="447">
        <v>1</v>
      </c>
      <c r="AO575" s="444" t="s">
        <v>473</v>
      </c>
      <c r="AP575" s="444" t="s">
        <v>1397</v>
      </c>
      <c r="AQ575" s="444" t="s">
        <v>441</v>
      </c>
      <c r="AR575" s="444" t="s">
        <v>1306</v>
      </c>
      <c r="AS575" s="444" t="s">
        <v>1306</v>
      </c>
      <c r="AT575" s="448">
        <v>1</v>
      </c>
      <c r="AU575" s="448">
        <v>0</v>
      </c>
      <c r="AV575" s="425">
        <v>0</v>
      </c>
      <c r="AW575" s="449">
        <v>0</v>
      </c>
      <c r="AX575" s="450">
        <v>0</v>
      </c>
      <c r="AY575" s="450">
        <v>0</v>
      </c>
      <c r="AZ575" s="450">
        <v>0</v>
      </c>
      <c r="BA575" s="450">
        <v>0</v>
      </c>
    </row>
    <row r="576" spans="1:53" s="425" customFormat="1" hidden="1">
      <c r="A576" s="444">
        <v>267</v>
      </c>
      <c r="B576" s="444" t="s">
        <v>392</v>
      </c>
      <c r="C576" s="444">
        <v>7502</v>
      </c>
      <c r="D576" s="444" t="s">
        <v>1026</v>
      </c>
      <c r="E576" s="425" t="s">
        <v>1027</v>
      </c>
      <c r="F576" s="444"/>
      <c r="G576" s="444"/>
      <c r="H576" s="444"/>
      <c r="I576" s="444"/>
      <c r="J576" s="444"/>
      <c r="K576" s="444"/>
      <c r="L576" s="444"/>
      <c r="M576" s="444"/>
      <c r="N576" s="444"/>
      <c r="O576" s="444"/>
      <c r="P576" s="444"/>
      <c r="Q576" s="444"/>
      <c r="R576" s="444">
        <v>4</v>
      </c>
      <c r="S576" s="444">
        <v>3</v>
      </c>
      <c r="T576" s="444"/>
      <c r="U576" s="444"/>
      <c r="V576" s="445">
        <v>7</v>
      </c>
      <c r="W576" s="444"/>
      <c r="X576" s="444"/>
      <c r="Y576" s="444"/>
      <c r="Z576" s="444"/>
      <c r="AA576" s="444"/>
      <c r="AB576" s="444"/>
      <c r="AC576" s="444"/>
      <c r="AD576" s="444"/>
      <c r="AE576" s="444"/>
      <c r="AF576" s="444"/>
      <c r="AG576" s="444"/>
      <c r="AH576" s="444"/>
      <c r="AI576" s="444">
        <v>4</v>
      </c>
      <c r="AJ576" s="444">
        <v>3</v>
      </c>
      <c r="AK576" s="444"/>
      <c r="AL576" s="444"/>
      <c r="AM576" s="446">
        <v>7</v>
      </c>
      <c r="AN576" s="447">
        <v>7</v>
      </c>
      <c r="AO576" s="444" t="s">
        <v>473</v>
      </c>
      <c r="AP576" s="444" t="s">
        <v>1397</v>
      </c>
      <c r="AQ576" s="444" t="s">
        <v>441</v>
      </c>
      <c r="AR576" s="444" t="s">
        <v>1306</v>
      </c>
      <c r="AS576" s="444" t="s">
        <v>1306</v>
      </c>
      <c r="AT576" s="448">
        <v>0</v>
      </c>
      <c r="AU576" s="448">
        <v>5</v>
      </c>
      <c r="AV576" s="425">
        <v>0</v>
      </c>
      <c r="AW576" s="449">
        <v>0</v>
      </c>
      <c r="AX576" s="450">
        <v>0</v>
      </c>
      <c r="AY576" s="450">
        <v>2</v>
      </c>
      <c r="AZ576" s="450">
        <v>0</v>
      </c>
      <c r="BA576" s="450">
        <v>0</v>
      </c>
    </row>
    <row r="577" spans="1:53" s="425" customFormat="1" hidden="1">
      <c r="A577" s="444">
        <v>267</v>
      </c>
      <c r="B577" s="444" t="s">
        <v>392</v>
      </c>
      <c r="C577" s="444">
        <v>8193</v>
      </c>
      <c r="D577" s="444" t="s">
        <v>1472</v>
      </c>
      <c r="E577" s="425" t="s">
        <v>1027</v>
      </c>
      <c r="F577" s="444"/>
      <c r="G577" s="444"/>
      <c r="H577" s="444"/>
      <c r="I577" s="444"/>
      <c r="J577" s="444"/>
      <c r="K577" s="444"/>
      <c r="L577" s="444"/>
      <c r="M577" s="444"/>
      <c r="N577" s="444"/>
      <c r="O577" s="444"/>
      <c r="P577" s="444"/>
      <c r="Q577" s="444"/>
      <c r="R577" s="444"/>
      <c r="S577" s="444"/>
      <c r="T577" s="444">
        <v>4</v>
      </c>
      <c r="U577" s="444"/>
      <c r="V577" s="445">
        <v>4</v>
      </c>
      <c r="W577" s="444"/>
      <c r="X577" s="444"/>
      <c r="Y577" s="444"/>
      <c r="Z577" s="444"/>
      <c r="AA577" s="444"/>
      <c r="AB577" s="444"/>
      <c r="AC577" s="444"/>
      <c r="AD577" s="444"/>
      <c r="AE577" s="444"/>
      <c r="AF577" s="444"/>
      <c r="AG577" s="444"/>
      <c r="AH577" s="444"/>
      <c r="AI577" s="444"/>
      <c r="AJ577" s="444"/>
      <c r="AK577" s="444">
        <v>4</v>
      </c>
      <c r="AL577" s="444"/>
      <c r="AM577" s="446">
        <v>4</v>
      </c>
      <c r="AN577" s="447">
        <v>4</v>
      </c>
      <c r="AO577" s="444" t="s">
        <v>473</v>
      </c>
      <c r="AP577" s="444" t="s">
        <v>1397</v>
      </c>
      <c r="AQ577" s="444" t="s">
        <v>441</v>
      </c>
      <c r="AR577" s="444" t="s">
        <v>1306</v>
      </c>
      <c r="AS577" s="444" t="s">
        <v>1306</v>
      </c>
      <c r="AT577" s="448">
        <v>0</v>
      </c>
      <c r="AU577" s="448">
        <v>0</v>
      </c>
      <c r="AV577" s="425">
        <v>0</v>
      </c>
      <c r="AW577" s="449">
        <v>0</v>
      </c>
      <c r="AX577" s="450">
        <v>0</v>
      </c>
      <c r="AY577" s="450">
        <v>0</v>
      </c>
      <c r="AZ577" s="450">
        <v>0</v>
      </c>
      <c r="BA577" s="450">
        <v>0</v>
      </c>
    </row>
    <row r="578" spans="1:53" s="425" customFormat="1" hidden="1">
      <c r="A578" s="444">
        <v>267</v>
      </c>
      <c r="B578" s="444" t="s">
        <v>392</v>
      </c>
      <c r="C578" s="444">
        <v>8230</v>
      </c>
      <c r="D578" s="444" t="s">
        <v>1029</v>
      </c>
      <c r="E578" s="425" t="s">
        <v>1013</v>
      </c>
      <c r="F578" s="444"/>
      <c r="G578" s="444"/>
      <c r="H578" s="444"/>
      <c r="I578" s="444"/>
      <c r="J578" s="444"/>
      <c r="K578" s="444"/>
      <c r="L578" s="444"/>
      <c r="M578" s="444"/>
      <c r="N578" s="444"/>
      <c r="O578" s="444"/>
      <c r="P578" s="444"/>
      <c r="Q578" s="444"/>
      <c r="R578" s="444"/>
      <c r="S578" s="444">
        <v>1</v>
      </c>
      <c r="T578" s="444">
        <v>1</v>
      </c>
      <c r="U578" s="444"/>
      <c r="V578" s="445">
        <v>2</v>
      </c>
      <c r="W578" s="444"/>
      <c r="X578" s="444"/>
      <c r="Y578" s="444"/>
      <c r="Z578" s="444"/>
      <c r="AA578" s="444"/>
      <c r="AB578" s="444"/>
      <c r="AC578" s="444"/>
      <c r="AD578" s="444"/>
      <c r="AE578" s="444"/>
      <c r="AF578" s="444"/>
      <c r="AG578" s="444"/>
      <c r="AH578" s="444"/>
      <c r="AI578" s="444"/>
      <c r="AJ578" s="444">
        <v>1</v>
      </c>
      <c r="AK578" s="444">
        <v>1</v>
      </c>
      <c r="AL578" s="444"/>
      <c r="AM578" s="446">
        <v>2</v>
      </c>
      <c r="AN578" s="447">
        <v>2</v>
      </c>
      <c r="AO578" s="444" t="s">
        <v>473</v>
      </c>
      <c r="AP578" s="444" t="s">
        <v>1405</v>
      </c>
      <c r="AQ578" s="444" t="s">
        <v>441</v>
      </c>
      <c r="AR578" s="444" t="s">
        <v>1306</v>
      </c>
      <c r="AS578" s="444" t="s">
        <v>1306</v>
      </c>
      <c r="AT578" s="448">
        <v>0</v>
      </c>
      <c r="AU578" s="448">
        <v>0</v>
      </c>
      <c r="AV578" s="425">
        <v>0</v>
      </c>
      <c r="AW578" s="449">
        <v>0</v>
      </c>
      <c r="AX578" s="450">
        <v>2</v>
      </c>
      <c r="AY578" s="450">
        <v>0</v>
      </c>
      <c r="AZ578" s="450">
        <v>0</v>
      </c>
      <c r="BA578" s="450">
        <v>0</v>
      </c>
    </row>
    <row r="579" spans="1:53" s="425" customFormat="1" hidden="1">
      <c r="A579" s="444">
        <v>271</v>
      </c>
      <c r="B579" s="444" t="s">
        <v>396</v>
      </c>
      <c r="C579" s="444">
        <v>1045</v>
      </c>
      <c r="D579" s="444" t="s">
        <v>1476</v>
      </c>
      <c r="E579" s="425" t="s">
        <v>1013</v>
      </c>
      <c r="F579" s="444"/>
      <c r="G579" s="444"/>
      <c r="H579" s="444"/>
      <c r="I579" s="444"/>
      <c r="J579" s="444"/>
      <c r="K579" s="444"/>
      <c r="L579" s="444"/>
      <c r="M579" s="444"/>
      <c r="N579" s="444"/>
      <c r="O579" s="444"/>
      <c r="P579" s="444"/>
      <c r="Q579" s="444"/>
      <c r="R579" s="444"/>
      <c r="S579" s="444"/>
      <c r="T579" s="444"/>
      <c r="U579" s="444"/>
      <c r="V579" s="445">
        <v>0</v>
      </c>
      <c r="W579" s="444"/>
      <c r="X579" s="444"/>
      <c r="Y579" s="444"/>
      <c r="Z579" s="444"/>
      <c r="AA579" s="444"/>
      <c r="AB579" s="444"/>
      <c r="AC579" s="444"/>
      <c r="AD579" s="444"/>
      <c r="AE579" s="444"/>
      <c r="AF579" s="444"/>
      <c r="AG579" s="444"/>
      <c r="AH579" s="444"/>
      <c r="AI579" s="444"/>
      <c r="AJ579" s="444"/>
      <c r="AK579" s="444"/>
      <c r="AL579" s="444"/>
      <c r="AM579" s="446">
        <v>0</v>
      </c>
      <c r="AN579" s="447">
        <v>0</v>
      </c>
      <c r="AO579" s="444" t="s">
        <v>473</v>
      </c>
      <c r="AP579" s="444" t="s">
        <v>1477</v>
      </c>
      <c r="AQ579" s="444" t="s">
        <v>442</v>
      </c>
      <c r="AR579" s="444" t="s">
        <v>1306</v>
      </c>
      <c r="AS579" s="444" t="s">
        <v>1306</v>
      </c>
      <c r="AT579" s="448">
        <v>0</v>
      </c>
      <c r="AU579" s="448">
        <v>0</v>
      </c>
      <c r="AV579" s="425">
        <v>0</v>
      </c>
      <c r="AW579" s="449">
        <v>0</v>
      </c>
      <c r="AX579" s="450">
        <v>0</v>
      </c>
      <c r="AY579" s="450">
        <v>0</v>
      </c>
      <c r="AZ579" s="450">
        <v>0</v>
      </c>
      <c r="BA579" s="450">
        <v>0</v>
      </c>
    </row>
    <row r="580" spans="1:53" s="425" customFormat="1" hidden="1">
      <c r="A580" s="444">
        <v>271</v>
      </c>
      <c r="B580" s="444" t="s">
        <v>396</v>
      </c>
      <c r="C580" s="444">
        <v>2198</v>
      </c>
      <c r="D580" s="444" t="s">
        <v>1032</v>
      </c>
      <c r="E580" s="425" t="s">
        <v>1013</v>
      </c>
      <c r="F580" s="444"/>
      <c r="G580" s="444"/>
      <c r="H580" s="444"/>
      <c r="I580" s="444"/>
      <c r="J580" s="444"/>
      <c r="K580" s="444"/>
      <c r="L580" s="444"/>
      <c r="M580" s="444"/>
      <c r="N580" s="444"/>
      <c r="O580" s="444"/>
      <c r="P580" s="444"/>
      <c r="Q580" s="444"/>
      <c r="R580" s="444">
        <v>1</v>
      </c>
      <c r="S580" s="444"/>
      <c r="T580" s="444"/>
      <c r="U580" s="444"/>
      <c r="V580" s="445">
        <v>1</v>
      </c>
      <c r="W580" s="444"/>
      <c r="X580" s="444"/>
      <c r="Y580" s="444"/>
      <c r="Z580" s="444"/>
      <c r="AA580" s="444"/>
      <c r="AB580" s="444"/>
      <c r="AC580" s="444"/>
      <c r="AD580" s="444"/>
      <c r="AE580" s="444"/>
      <c r="AF580" s="444"/>
      <c r="AG580" s="444"/>
      <c r="AH580" s="444"/>
      <c r="AI580" s="444">
        <v>1</v>
      </c>
      <c r="AJ580" s="444"/>
      <c r="AK580" s="444"/>
      <c r="AL580" s="444"/>
      <c r="AM580" s="446">
        <v>1</v>
      </c>
      <c r="AN580" s="447">
        <v>1</v>
      </c>
      <c r="AO580" s="444" t="s">
        <v>473</v>
      </c>
      <c r="AP580" s="444" t="s">
        <v>1405</v>
      </c>
      <c r="AQ580" s="444" t="s">
        <v>442</v>
      </c>
      <c r="AR580" s="444" t="s">
        <v>1306</v>
      </c>
      <c r="AS580" s="444" t="s">
        <v>1306</v>
      </c>
      <c r="AT580" s="448">
        <v>0</v>
      </c>
      <c r="AU580" s="448">
        <v>0</v>
      </c>
      <c r="AV580" s="425">
        <v>0</v>
      </c>
      <c r="AW580" s="449">
        <v>0</v>
      </c>
      <c r="AX580" s="450">
        <v>1</v>
      </c>
      <c r="AY580" s="450">
        <v>0</v>
      </c>
      <c r="AZ580" s="450">
        <v>0</v>
      </c>
      <c r="BA580" s="450">
        <v>0</v>
      </c>
    </row>
    <row r="581" spans="1:53" s="425" customFormat="1" hidden="1">
      <c r="A581" s="444">
        <v>271</v>
      </c>
      <c r="B581" s="444" t="s">
        <v>396</v>
      </c>
      <c r="C581" s="444">
        <v>3321</v>
      </c>
      <c r="D581" s="444" t="s">
        <v>1047</v>
      </c>
      <c r="E581" s="425" t="s">
        <v>1013</v>
      </c>
      <c r="F581" s="444"/>
      <c r="G581" s="444"/>
      <c r="H581" s="444"/>
      <c r="I581" s="444"/>
      <c r="J581" s="444"/>
      <c r="K581" s="444"/>
      <c r="L581" s="444"/>
      <c r="M581" s="444"/>
      <c r="N581" s="444"/>
      <c r="O581" s="444"/>
      <c r="P581" s="444"/>
      <c r="Q581" s="444">
        <v>1</v>
      </c>
      <c r="R581" s="444">
        <v>2</v>
      </c>
      <c r="S581" s="444"/>
      <c r="T581" s="444"/>
      <c r="U581" s="444"/>
      <c r="V581" s="445">
        <v>3</v>
      </c>
      <c r="W581" s="444"/>
      <c r="X581" s="444"/>
      <c r="Y581" s="444"/>
      <c r="Z581" s="444"/>
      <c r="AA581" s="444"/>
      <c r="AB581" s="444"/>
      <c r="AC581" s="444"/>
      <c r="AD581" s="444"/>
      <c r="AE581" s="444"/>
      <c r="AF581" s="444"/>
      <c r="AG581" s="444"/>
      <c r="AH581" s="444">
        <v>1</v>
      </c>
      <c r="AI581" s="444">
        <v>2</v>
      </c>
      <c r="AJ581" s="444"/>
      <c r="AK581" s="444"/>
      <c r="AL581" s="444"/>
      <c r="AM581" s="446">
        <v>3</v>
      </c>
      <c r="AN581" s="447">
        <v>3</v>
      </c>
      <c r="AO581" s="444" t="s">
        <v>473</v>
      </c>
      <c r="AP581" s="444" t="s">
        <v>1233</v>
      </c>
      <c r="AQ581" s="444" t="s">
        <v>442</v>
      </c>
      <c r="AR581" s="444" t="s">
        <v>1306</v>
      </c>
      <c r="AS581" s="444" t="s">
        <v>1306</v>
      </c>
      <c r="AT581" s="448">
        <v>3</v>
      </c>
      <c r="AU581" s="448">
        <v>0</v>
      </c>
      <c r="AV581" s="425">
        <v>0</v>
      </c>
      <c r="AW581" s="449">
        <v>0</v>
      </c>
      <c r="AX581" s="450">
        <v>0</v>
      </c>
      <c r="AY581" s="450">
        <v>0</v>
      </c>
      <c r="AZ581" s="450">
        <v>0</v>
      </c>
      <c r="BA581" s="450">
        <v>0</v>
      </c>
    </row>
    <row r="582" spans="1:53" s="425" customFormat="1" hidden="1">
      <c r="A582" s="444">
        <v>271</v>
      </c>
      <c r="B582" s="444" t="s">
        <v>396</v>
      </c>
      <c r="C582" s="444">
        <v>3349</v>
      </c>
      <c r="D582" s="444" t="s">
        <v>1478</v>
      </c>
      <c r="E582" s="425" t="s">
        <v>1013</v>
      </c>
      <c r="F582" s="444"/>
      <c r="G582" s="444"/>
      <c r="H582" s="444"/>
      <c r="I582" s="444"/>
      <c r="J582" s="444"/>
      <c r="K582" s="444"/>
      <c r="L582" s="444"/>
      <c r="M582" s="444"/>
      <c r="N582" s="444"/>
      <c r="O582" s="444"/>
      <c r="P582" s="444"/>
      <c r="Q582" s="444"/>
      <c r="R582" s="444">
        <v>1</v>
      </c>
      <c r="S582" s="444"/>
      <c r="T582" s="444"/>
      <c r="U582" s="444"/>
      <c r="V582" s="445">
        <v>1</v>
      </c>
      <c r="W582" s="444"/>
      <c r="X582" s="444"/>
      <c r="Y582" s="444"/>
      <c r="Z582" s="444"/>
      <c r="AA582" s="444"/>
      <c r="AB582" s="444"/>
      <c r="AC582" s="444"/>
      <c r="AD582" s="444"/>
      <c r="AE582" s="444"/>
      <c r="AF582" s="444"/>
      <c r="AG582" s="444"/>
      <c r="AH582" s="444"/>
      <c r="AI582" s="444">
        <v>1</v>
      </c>
      <c r="AJ582" s="444"/>
      <c r="AK582" s="444"/>
      <c r="AL582" s="444"/>
      <c r="AM582" s="446">
        <v>1</v>
      </c>
      <c r="AN582" s="447">
        <v>1</v>
      </c>
      <c r="AO582" s="444" t="s">
        <v>473</v>
      </c>
      <c r="AP582" s="444" t="s">
        <v>1388</v>
      </c>
      <c r="AQ582" s="444" t="s">
        <v>442</v>
      </c>
      <c r="AR582" s="444" t="s">
        <v>1306</v>
      </c>
      <c r="AS582" s="444" t="s">
        <v>1306</v>
      </c>
      <c r="AT582" s="448">
        <v>1</v>
      </c>
      <c r="AU582" s="448">
        <v>0</v>
      </c>
      <c r="AV582" s="425">
        <v>0</v>
      </c>
      <c r="AW582" s="449">
        <v>0</v>
      </c>
      <c r="AX582" s="450">
        <v>0</v>
      </c>
      <c r="AY582" s="450">
        <v>0</v>
      </c>
      <c r="AZ582" s="450">
        <v>0</v>
      </c>
      <c r="BA582" s="450">
        <v>0</v>
      </c>
    </row>
    <row r="583" spans="1:53" s="425" customFormat="1" hidden="1">
      <c r="A583" s="444">
        <v>271</v>
      </c>
      <c r="B583" s="444" t="s">
        <v>396</v>
      </c>
      <c r="C583" s="444">
        <v>3379</v>
      </c>
      <c r="D583" s="444" t="s">
        <v>1051</v>
      </c>
      <c r="E583" s="425" t="s">
        <v>1013</v>
      </c>
      <c r="F583" s="444"/>
      <c r="G583" s="444"/>
      <c r="H583" s="444"/>
      <c r="I583" s="444"/>
      <c r="J583" s="444"/>
      <c r="K583" s="444"/>
      <c r="L583" s="444"/>
      <c r="M583" s="444"/>
      <c r="N583" s="444"/>
      <c r="O583" s="444"/>
      <c r="P583" s="444"/>
      <c r="Q583" s="444">
        <v>1</v>
      </c>
      <c r="R583" s="444"/>
      <c r="S583" s="444">
        <v>1</v>
      </c>
      <c r="T583" s="444"/>
      <c r="U583" s="444"/>
      <c r="V583" s="445">
        <v>2</v>
      </c>
      <c r="W583" s="444"/>
      <c r="X583" s="444"/>
      <c r="Y583" s="444"/>
      <c r="Z583" s="444"/>
      <c r="AA583" s="444"/>
      <c r="AB583" s="444"/>
      <c r="AC583" s="444"/>
      <c r="AD583" s="444"/>
      <c r="AE583" s="444"/>
      <c r="AF583" s="444"/>
      <c r="AG583" s="444"/>
      <c r="AH583" s="444">
        <v>1</v>
      </c>
      <c r="AI583" s="444"/>
      <c r="AJ583" s="444">
        <v>1</v>
      </c>
      <c r="AK583" s="444"/>
      <c r="AL583" s="444"/>
      <c r="AM583" s="446">
        <v>2</v>
      </c>
      <c r="AN583" s="447">
        <v>2</v>
      </c>
      <c r="AO583" s="444" t="s">
        <v>473</v>
      </c>
      <c r="AP583" s="444" t="s">
        <v>1233</v>
      </c>
      <c r="AQ583" s="444" t="s">
        <v>442</v>
      </c>
      <c r="AR583" s="444" t="s">
        <v>1306</v>
      </c>
      <c r="AS583" s="444" t="s">
        <v>1306</v>
      </c>
      <c r="AT583" s="448">
        <v>2</v>
      </c>
      <c r="AU583" s="448">
        <v>0</v>
      </c>
      <c r="AV583" s="425">
        <v>0</v>
      </c>
      <c r="AW583" s="449">
        <v>0</v>
      </c>
      <c r="AX583" s="450">
        <v>0</v>
      </c>
      <c r="AY583" s="450">
        <v>0</v>
      </c>
      <c r="AZ583" s="450">
        <v>0</v>
      </c>
      <c r="BA583" s="450">
        <v>0</v>
      </c>
    </row>
    <row r="584" spans="1:53" s="425" customFormat="1" hidden="1">
      <c r="A584" s="444">
        <v>271</v>
      </c>
      <c r="B584" s="444" t="s">
        <v>396</v>
      </c>
      <c r="C584" s="444">
        <v>3395</v>
      </c>
      <c r="D584" s="444" t="s">
        <v>1479</v>
      </c>
      <c r="E584" s="425" t="s">
        <v>1013</v>
      </c>
      <c r="F584" s="444"/>
      <c r="G584" s="444"/>
      <c r="H584" s="444"/>
      <c r="I584" s="444"/>
      <c r="J584" s="444"/>
      <c r="K584" s="444"/>
      <c r="L584" s="444"/>
      <c r="M584" s="444"/>
      <c r="N584" s="444"/>
      <c r="O584" s="444"/>
      <c r="P584" s="444"/>
      <c r="Q584" s="444"/>
      <c r="R584" s="444">
        <v>1</v>
      </c>
      <c r="S584" s="444"/>
      <c r="T584" s="444"/>
      <c r="U584" s="444"/>
      <c r="V584" s="445">
        <v>1</v>
      </c>
      <c r="W584" s="444"/>
      <c r="X584" s="444"/>
      <c r="Y584" s="444"/>
      <c r="Z584" s="444"/>
      <c r="AA584" s="444"/>
      <c r="AB584" s="444"/>
      <c r="AC584" s="444"/>
      <c r="AD584" s="444"/>
      <c r="AE584" s="444"/>
      <c r="AF584" s="444"/>
      <c r="AG584" s="444"/>
      <c r="AH584" s="444"/>
      <c r="AI584" s="444">
        <v>1</v>
      </c>
      <c r="AJ584" s="444"/>
      <c r="AK584" s="444"/>
      <c r="AL584" s="444"/>
      <c r="AM584" s="446">
        <v>1</v>
      </c>
      <c r="AN584" s="447">
        <v>1</v>
      </c>
      <c r="AO584" s="444" t="s">
        <v>473</v>
      </c>
      <c r="AP584" s="444" t="s">
        <v>1233</v>
      </c>
      <c r="AQ584" s="444" t="s">
        <v>442</v>
      </c>
      <c r="AR584" s="444" t="s">
        <v>1306</v>
      </c>
      <c r="AS584" s="444" t="s">
        <v>1306</v>
      </c>
      <c r="AT584" s="448">
        <v>1</v>
      </c>
      <c r="AU584" s="448">
        <v>0</v>
      </c>
      <c r="AV584" s="425">
        <v>0</v>
      </c>
      <c r="AW584" s="449">
        <v>0</v>
      </c>
      <c r="AX584" s="450">
        <v>0</v>
      </c>
      <c r="AY584" s="450">
        <v>0</v>
      </c>
      <c r="AZ584" s="450">
        <v>0</v>
      </c>
      <c r="BA584" s="450">
        <v>0</v>
      </c>
    </row>
    <row r="585" spans="1:53" s="425" customFormat="1" hidden="1">
      <c r="A585" s="444">
        <v>271</v>
      </c>
      <c r="B585" s="444" t="s">
        <v>396</v>
      </c>
      <c r="C585" s="444">
        <v>3401</v>
      </c>
      <c r="D585" s="444" t="s">
        <v>1034</v>
      </c>
      <c r="E585" s="425" t="s">
        <v>1013</v>
      </c>
      <c r="F585" s="444"/>
      <c r="G585" s="444"/>
      <c r="H585" s="444"/>
      <c r="I585" s="444"/>
      <c r="J585" s="444"/>
      <c r="K585" s="444"/>
      <c r="L585" s="444"/>
      <c r="M585" s="444"/>
      <c r="N585" s="444"/>
      <c r="O585" s="444"/>
      <c r="P585" s="444"/>
      <c r="Q585" s="444"/>
      <c r="R585" s="444"/>
      <c r="S585" s="444"/>
      <c r="T585" s="444">
        <v>1</v>
      </c>
      <c r="U585" s="444"/>
      <c r="V585" s="445">
        <v>1</v>
      </c>
      <c r="W585" s="444"/>
      <c r="X585" s="444"/>
      <c r="Y585" s="444"/>
      <c r="Z585" s="444"/>
      <c r="AA585" s="444"/>
      <c r="AB585" s="444"/>
      <c r="AC585" s="444"/>
      <c r="AD585" s="444"/>
      <c r="AE585" s="444"/>
      <c r="AF585" s="444"/>
      <c r="AG585" s="444"/>
      <c r="AH585" s="444"/>
      <c r="AI585" s="444"/>
      <c r="AJ585" s="444"/>
      <c r="AK585" s="444">
        <v>1</v>
      </c>
      <c r="AL585" s="444"/>
      <c r="AM585" s="446">
        <v>1</v>
      </c>
      <c r="AN585" s="447">
        <v>1</v>
      </c>
      <c r="AO585" s="444" t="s">
        <v>473</v>
      </c>
      <c r="AP585" s="444" t="s">
        <v>856</v>
      </c>
      <c r="AQ585" s="444" t="s">
        <v>442</v>
      </c>
      <c r="AR585" s="444" t="s">
        <v>1306</v>
      </c>
      <c r="AS585" s="444" t="s">
        <v>1306</v>
      </c>
      <c r="AT585" s="448">
        <v>0</v>
      </c>
      <c r="AU585" s="448">
        <v>0</v>
      </c>
      <c r="AV585" s="425">
        <v>0</v>
      </c>
      <c r="AW585" s="449">
        <v>0</v>
      </c>
      <c r="AX585" s="450">
        <v>1</v>
      </c>
      <c r="AY585" s="450">
        <v>0</v>
      </c>
      <c r="AZ585" s="450">
        <v>0</v>
      </c>
      <c r="BA585" s="450">
        <v>0</v>
      </c>
    </row>
    <row r="586" spans="1:53" s="425" customFormat="1" hidden="1">
      <c r="A586" s="444">
        <v>271</v>
      </c>
      <c r="B586" s="444" t="s">
        <v>396</v>
      </c>
      <c r="C586" s="444">
        <v>3411</v>
      </c>
      <c r="D586" s="444" t="s">
        <v>1036</v>
      </c>
      <c r="E586" s="425" t="s">
        <v>1013</v>
      </c>
      <c r="F586" s="444"/>
      <c r="G586" s="444"/>
      <c r="H586" s="444"/>
      <c r="I586" s="444"/>
      <c r="J586" s="444"/>
      <c r="K586" s="444"/>
      <c r="L586" s="444"/>
      <c r="M586" s="444"/>
      <c r="N586" s="444"/>
      <c r="O586" s="444"/>
      <c r="P586" s="444"/>
      <c r="Q586" s="444"/>
      <c r="R586" s="444">
        <v>1</v>
      </c>
      <c r="S586" s="444"/>
      <c r="T586" s="444">
        <v>1</v>
      </c>
      <c r="U586" s="444"/>
      <c r="V586" s="445">
        <v>2</v>
      </c>
      <c r="W586" s="444"/>
      <c r="X586" s="444"/>
      <c r="Y586" s="444"/>
      <c r="Z586" s="444"/>
      <c r="AA586" s="444"/>
      <c r="AB586" s="444"/>
      <c r="AC586" s="444"/>
      <c r="AD586" s="444"/>
      <c r="AE586" s="444"/>
      <c r="AF586" s="444"/>
      <c r="AG586" s="444"/>
      <c r="AH586" s="444"/>
      <c r="AI586" s="444">
        <v>1</v>
      </c>
      <c r="AJ586" s="444"/>
      <c r="AK586" s="444">
        <v>1</v>
      </c>
      <c r="AL586" s="444"/>
      <c r="AM586" s="446">
        <v>2</v>
      </c>
      <c r="AN586" s="447">
        <v>2</v>
      </c>
      <c r="AO586" s="444" t="s">
        <v>473</v>
      </c>
      <c r="AP586" s="444" t="s">
        <v>1233</v>
      </c>
      <c r="AQ586" s="444" t="s">
        <v>442</v>
      </c>
      <c r="AR586" s="444" t="s">
        <v>1306</v>
      </c>
      <c r="AS586" s="444" t="s">
        <v>1306</v>
      </c>
      <c r="AT586" s="448">
        <v>1</v>
      </c>
      <c r="AU586" s="448">
        <v>0</v>
      </c>
      <c r="AV586" s="425">
        <v>0</v>
      </c>
      <c r="AW586" s="449">
        <v>0</v>
      </c>
      <c r="AX586" s="450">
        <v>1</v>
      </c>
      <c r="AY586" s="450">
        <v>0</v>
      </c>
      <c r="AZ586" s="450">
        <v>0</v>
      </c>
      <c r="BA586" s="450">
        <v>0</v>
      </c>
    </row>
    <row r="587" spans="1:53" s="425" customFormat="1" hidden="1">
      <c r="A587" s="444">
        <v>271</v>
      </c>
      <c r="B587" s="444" t="s">
        <v>396</v>
      </c>
      <c r="C587" s="444">
        <v>38065</v>
      </c>
      <c r="D587" s="444" t="s">
        <v>1480</v>
      </c>
      <c r="E587" s="425" t="s">
        <v>1013</v>
      </c>
      <c r="F587" s="444"/>
      <c r="G587" s="444">
        <v>1</v>
      </c>
      <c r="H587" s="444"/>
      <c r="I587" s="444"/>
      <c r="J587" s="444"/>
      <c r="K587" s="444"/>
      <c r="L587" s="444"/>
      <c r="M587" s="444">
        <v>1</v>
      </c>
      <c r="N587" s="444"/>
      <c r="O587" s="444"/>
      <c r="P587" s="444"/>
      <c r="Q587" s="444"/>
      <c r="R587" s="444"/>
      <c r="S587" s="444"/>
      <c r="T587" s="444"/>
      <c r="U587" s="444"/>
      <c r="V587" s="445">
        <v>2</v>
      </c>
      <c r="W587" s="444"/>
      <c r="X587" s="444">
        <v>1</v>
      </c>
      <c r="Y587" s="444"/>
      <c r="Z587" s="444"/>
      <c r="AA587" s="444"/>
      <c r="AB587" s="444"/>
      <c r="AC587" s="444"/>
      <c r="AD587" s="444">
        <v>1</v>
      </c>
      <c r="AE587" s="444"/>
      <c r="AF587" s="444"/>
      <c r="AG587" s="444"/>
      <c r="AH587" s="444"/>
      <c r="AI587" s="444"/>
      <c r="AJ587" s="444"/>
      <c r="AK587" s="444"/>
      <c r="AL587" s="444"/>
      <c r="AM587" s="446">
        <v>2</v>
      </c>
      <c r="AN587" s="447">
        <v>2</v>
      </c>
      <c r="AO587" s="444" t="s">
        <v>473</v>
      </c>
      <c r="AP587" s="444" t="s">
        <v>851</v>
      </c>
      <c r="AQ587" s="444" t="s">
        <v>442</v>
      </c>
      <c r="AR587" s="444" t="s">
        <v>1306</v>
      </c>
      <c r="AS587" s="444" t="s">
        <v>1298</v>
      </c>
      <c r="AT587" s="448">
        <v>0</v>
      </c>
      <c r="AU587" s="448">
        <v>0</v>
      </c>
      <c r="AV587" s="425">
        <v>0</v>
      </c>
      <c r="AW587" s="449">
        <v>0</v>
      </c>
      <c r="AX587" s="450">
        <v>0</v>
      </c>
      <c r="AY587" s="450">
        <v>0</v>
      </c>
      <c r="AZ587" s="450">
        <v>0</v>
      </c>
      <c r="BA587" s="450">
        <v>0</v>
      </c>
    </row>
    <row r="588" spans="1:53" s="425" customFormat="1" hidden="1">
      <c r="A588" s="444">
        <v>271</v>
      </c>
      <c r="B588" s="444" t="s">
        <v>396</v>
      </c>
      <c r="C588" s="444">
        <v>5725</v>
      </c>
      <c r="D588" s="444" t="s">
        <v>1038</v>
      </c>
      <c r="E588" s="425" t="s">
        <v>1013</v>
      </c>
      <c r="F588" s="444"/>
      <c r="G588" s="444"/>
      <c r="H588" s="444"/>
      <c r="I588" s="444"/>
      <c r="J588" s="444"/>
      <c r="K588" s="444"/>
      <c r="L588" s="444"/>
      <c r="M588" s="444"/>
      <c r="N588" s="444"/>
      <c r="O588" s="444"/>
      <c r="P588" s="444"/>
      <c r="Q588" s="444"/>
      <c r="R588" s="444"/>
      <c r="S588" s="444"/>
      <c r="T588" s="444">
        <v>1</v>
      </c>
      <c r="U588" s="444"/>
      <c r="V588" s="445">
        <v>1</v>
      </c>
      <c r="W588" s="444"/>
      <c r="X588" s="444"/>
      <c r="Y588" s="444"/>
      <c r="Z588" s="444"/>
      <c r="AA588" s="444"/>
      <c r="AB588" s="444"/>
      <c r="AC588" s="444"/>
      <c r="AD588" s="444"/>
      <c r="AE588" s="444"/>
      <c r="AF588" s="444"/>
      <c r="AG588" s="444"/>
      <c r="AH588" s="444"/>
      <c r="AI588" s="444"/>
      <c r="AJ588" s="444"/>
      <c r="AK588" s="444">
        <v>1</v>
      </c>
      <c r="AL588" s="444"/>
      <c r="AM588" s="446">
        <v>1</v>
      </c>
      <c r="AN588" s="447">
        <v>1</v>
      </c>
      <c r="AO588" s="444" t="s">
        <v>473</v>
      </c>
      <c r="AP588" s="444" t="s">
        <v>862</v>
      </c>
      <c r="AQ588" s="444" t="s">
        <v>442</v>
      </c>
      <c r="AR588" s="444" t="s">
        <v>1306</v>
      </c>
      <c r="AS588" s="444" t="s">
        <v>1306</v>
      </c>
      <c r="AT588" s="448">
        <v>0</v>
      </c>
      <c r="AU588" s="448">
        <v>0</v>
      </c>
      <c r="AV588" s="425">
        <v>0</v>
      </c>
      <c r="AW588" s="449">
        <v>0</v>
      </c>
      <c r="AX588" s="450">
        <v>0</v>
      </c>
      <c r="AY588" s="450">
        <v>0</v>
      </c>
      <c r="AZ588" s="450">
        <v>0</v>
      </c>
      <c r="BA588" s="450">
        <v>1</v>
      </c>
    </row>
    <row r="589" spans="1:53" s="425" customFormat="1" hidden="1">
      <c r="A589" s="444">
        <v>271</v>
      </c>
      <c r="B589" s="444" t="s">
        <v>396</v>
      </c>
      <c r="C589" s="444">
        <v>7045</v>
      </c>
      <c r="D589" s="444" t="s">
        <v>1481</v>
      </c>
      <c r="E589" s="425" t="s">
        <v>1013</v>
      </c>
      <c r="F589" s="444"/>
      <c r="G589" s="444"/>
      <c r="H589" s="444"/>
      <c r="I589" s="444"/>
      <c r="J589" s="444"/>
      <c r="K589" s="444"/>
      <c r="L589" s="444"/>
      <c r="M589" s="444"/>
      <c r="N589" s="444"/>
      <c r="O589" s="444"/>
      <c r="P589" s="444"/>
      <c r="Q589" s="444"/>
      <c r="R589" s="444"/>
      <c r="S589" s="444">
        <v>1</v>
      </c>
      <c r="T589" s="444"/>
      <c r="U589" s="444"/>
      <c r="V589" s="445">
        <v>1</v>
      </c>
      <c r="W589" s="444"/>
      <c r="X589" s="444"/>
      <c r="Y589" s="444"/>
      <c r="Z589" s="444"/>
      <c r="AA589" s="444"/>
      <c r="AB589" s="444"/>
      <c r="AC589" s="444"/>
      <c r="AD589" s="444"/>
      <c r="AE589" s="444"/>
      <c r="AF589" s="444"/>
      <c r="AG589" s="444"/>
      <c r="AH589" s="444"/>
      <c r="AI589" s="444"/>
      <c r="AJ589" s="444">
        <v>1</v>
      </c>
      <c r="AK589" s="444"/>
      <c r="AL589" s="444"/>
      <c r="AM589" s="446">
        <v>1</v>
      </c>
      <c r="AN589" s="447">
        <v>1</v>
      </c>
      <c r="AO589" s="444" t="s">
        <v>473</v>
      </c>
      <c r="AP589" s="444" t="s">
        <v>1233</v>
      </c>
      <c r="AQ589" s="444" t="s">
        <v>442</v>
      </c>
      <c r="AR589" s="444" t="s">
        <v>1306</v>
      </c>
      <c r="AS589" s="444" t="s">
        <v>1306</v>
      </c>
      <c r="AT589" s="448">
        <v>1</v>
      </c>
      <c r="AU589" s="448">
        <v>0</v>
      </c>
      <c r="AV589" s="425">
        <v>0</v>
      </c>
      <c r="AW589" s="449">
        <v>0</v>
      </c>
      <c r="AX589" s="450">
        <v>0</v>
      </c>
      <c r="AY589" s="450">
        <v>0</v>
      </c>
      <c r="AZ589" s="450">
        <v>0</v>
      </c>
      <c r="BA589" s="450">
        <v>0</v>
      </c>
    </row>
    <row r="590" spans="1:53" s="425" customFormat="1" hidden="1">
      <c r="A590" s="444">
        <v>271</v>
      </c>
      <c r="B590" s="444" t="s">
        <v>396</v>
      </c>
      <c r="C590" s="444">
        <v>7203</v>
      </c>
      <c r="D590" s="444" t="s">
        <v>1482</v>
      </c>
      <c r="E590" s="425" t="s">
        <v>1013</v>
      </c>
      <c r="F590" s="444"/>
      <c r="G590" s="444"/>
      <c r="H590" s="444"/>
      <c r="I590" s="444"/>
      <c r="J590" s="444"/>
      <c r="K590" s="444"/>
      <c r="L590" s="444"/>
      <c r="M590" s="444"/>
      <c r="N590" s="444"/>
      <c r="O590" s="444"/>
      <c r="P590" s="444"/>
      <c r="Q590" s="444">
        <v>18</v>
      </c>
      <c r="R590" s="444">
        <v>13</v>
      </c>
      <c r="S590" s="444">
        <v>14</v>
      </c>
      <c r="T590" s="444">
        <v>12</v>
      </c>
      <c r="U590" s="444"/>
      <c r="V590" s="445">
        <v>57</v>
      </c>
      <c r="W590" s="444"/>
      <c r="X590" s="444"/>
      <c r="Y590" s="444"/>
      <c r="Z590" s="444"/>
      <c r="AA590" s="444"/>
      <c r="AB590" s="444"/>
      <c r="AC590" s="444"/>
      <c r="AD590" s="444"/>
      <c r="AE590" s="444"/>
      <c r="AF590" s="444"/>
      <c r="AG590" s="444"/>
      <c r="AH590" s="444">
        <v>18</v>
      </c>
      <c r="AI590" s="444">
        <v>13</v>
      </c>
      <c r="AJ590" s="444">
        <v>14</v>
      </c>
      <c r="AK590" s="444">
        <v>12</v>
      </c>
      <c r="AL590" s="444"/>
      <c r="AM590" s="446">
        <v>57</v>
      </c>
      <c r="AN590" s="447">
        <v>57</v>
      </c>
      <c r="AO590" s="444" t="s">
        <v>473</v>
      </c>
      <c r="AP590" s="444" t="s">
        <v>851</v>
      </c>
      <c r="AQ590" s="444" t="s">
        <v>442</v>
      </c>
      <c r="AR590" s="444" t="s">
        <v>1306</v>
      </c>
      <c r="AS590" s="444" t="s">
        <v>1306</v>
      </c>
      <c r="AT590" s="448">
        <v>0</v>
      </c>
      <c r="AU590" s="448">
        <v>0</v>
      </c>
      <c r="AV590" s="425">
        <v>0</v>
      </c>
      <c r="AW590" s="449">
        <v>0</v>
      </c>
      <c r="AX590" s="450">
        <v>0</v>
      </c>
      <c r="AY590" s="450">
        <v>0</v>
      </c>
      <c r="AZ590" s="450">
        <v>0</v>
      </c>
      <c r="BA590" s="450">
        <v>0</v>
      </c>
    </row>
    <row r="591" spans="1:53" s="425" customFormat="1" hidden="1">
      <c r="A591" s="444">
        <v>271</v>
      </c>
      <c r="B591" s="444" t="s">
        <v>396</v>
      </c>
      <c r="C591" s="444">
        <v>7592</v>
      </c>
      <c r="D591" s="444" t="s">
        <v>1483</v>
      </c>
      <c r="E591" s="425" t="s">
        <v>1013</v>
      </c>
      <c r="F591" s="444"/>
      <c r="G591" s="444"/>
      <c r="H591" s="444"/>
      <c r="I591" s="444"/>
      <c r="J591" s="444"/>
      <c r="K591" s="444"/>
      <c r="L591" s="444"/>
      <c r="M591" s="444"/>
      <c r="N591" s="444"/>
      <c r="O591" s="444"/>
      <c r="P591" s="444"/>
      <c r="Q591" s="444">
        <v>1</v>
      </c>
      <c r="R591" s="444"/>
      <c r="S591" s="444"/>
      <c r="T591" s="444">
        <v>1</v>
      </c>
      <c r="U591" s="444"/>
      <c r="V591" s="445">
        <v>2</v>
      </c>
      <c r="W591" s="444"/>
      <c r="X591" s="444"/>
      <c r="Y591" s="444"/>
      <c r="Z591" s="444"/>
      <c r="AA591" s="444"/>
      <c r="AB591" s="444"/>
      <c r="AC591" s="444"/>
      <c r="AD591" s="444"/>
      <c r="AE591" s="444"/>
      <c r="AF591" s="444"/>
      <c r="AG591" s="444"/>
      <c r="AH591" s="444">
        <v>1</v>
      </c>
      <c r="AI591" s="444"/>
      <c r="AJ591" s="444"/>
      <c r="AK591" s="444">
        <v>1</v>
      </c>
      <c r="AL591" s="444"/>
      <c r="AM591" s="446">
        <v>2</v>
      </c>
      <c r="AN591" s="447">
        <v>2</v>
      </c>
      <c r="AO591" s="444" t="s">
        <v>473</v>
      </c>
      <c r="AP591" s="444" t="s">
        <v>1484</v>
      </c>
      <c r="AQ591" s="444" t="s">
        <v>442</v>
      </c>
      <c r="AR591" s="444" t="s">
        <v>1306</v>
      </c>
      <c r="AS591" s="444" t="s">
        <v>1306</v>
      </c>
      <c r="AT591" s="448">
        <v>2</v>
      </c>
      <c r="AU591" s="448">
        <v>0</v>
      </c>
      <c r="AV591" s="425">
        <v>0</v>
      </c>
      <c r="AW591" s="449">
        <v>0</v>
      </c>
      <c r="AX591" s="450">
        <v>0</v>
      </c>
      <c r="AY591" s="450">
        <v>0</v>
      </c>
      <c r="AZ591" s="450">
        <v>0</v>
      </c>
      <c r="BA591" s="450">
        <v>0</v>
      </c>
    </row>
    <row r="592" spans="1:53" s="425" customFormat="1" hidden="1">
      <c r="A592" s="444">
        <v>271</v>
      </c>
      <c r="B592" s="444" t="s">
        <v>396</v>
      </c>
      <c r="C592" s="444">
        <v>8193</v>
      </c>
      <c r="D592" s="444" t="s">
        <v>1472</v>
      </c>
      <c r="E592" s="425" t="s">
        <v>1027</v>
      </c>
      <c r="F592" s="444"/>
      <c r="G592" s="444"/>
      <c r="H592" s="444"/>
      <c r="I592" s="444"/>
      <c r="J592" s="444"/>
      <c r="K592" s="444"/>
      <c r="L592" s="444"/>
      <c r="M592" s="444"/>
      <c r="N592" s="444"/>
      <c r="O592" s="444"/>
      <c r="P592" s="444"/>
      <c r="Q592" s="444"/>
      <c r="R592" s="444"/>
      <c r="S592" s="444">
        <v>1</v>
      </c>
      <c r="T592" s="444"/>
      <c r="U592" s="444"/>
      <c r="V592" s="445">
        <v>1</v>
      </c>
      <c r="W592" s="444"/>
      <c r="X592" s="444"/>
      <c r="Y592" s="444"/>
      <c r="Z592" s="444"/>
      <c r="AA592" s="444"/>
      <c r="AB592" s="444"/>
      <c r="AC592" s="444"/>
      <c r="AD592" s="444"/>
      <c r="AE592" s="444"/>
      <c r="AF592" s="444"/>
      <c r="AG592" s="444"/>
      <c r="AH592" s="444"/>
      <c r="AI592" s="444"/>
      <c r="AJ592" s="444">
        <v>1</v>
      </c>
      <c r="AK592" s="444"/>
      <c r="AL592" s="444"/>
      <c r="AM592" s="446">
        <v>1</v>
      </c>
      <c r="AN592" s="447">
        <v>1</v>
      </c>
      <c r="AO592" s="444" t="s">
        <v>473</v>
      </c>
      <c r="AP592" s="444" t="s">
        <v>1397</v>
      </c>
      <c r="AQ592" s="444" t="s">
        <v>442</v>
      </c>
      <c r="AR592" s="444" t="s">
        <v>1306</v>
      </c>
      <c r="AS592" s="444" t="s">
        <v>1306</v>
      </c>
      <c r="AT592" s="448">
        <v>1</v>
      </c>
      <c r="AU592" s="448">
        <v>0</v>
      </c>
      <c r="AV592" s="425">
        <v>0</v>
      </c>
      <c r="AW592" s="449">
        <v>0</v>
      </c>
      <c r="AX592" s="450">
        <v>0</v>
      </c>
      <c r="AY592" s="450">
        <v>0</v>
      </c>
      <c r="AZ592" s="450">
        <v>0</v>
      </c>
      <c r="BA592" s="450">
        <v>0</v>
      </c>
    </row>
    <row r="593" spans="1:53" s="425" customFormat="1" hidden="1">
      <c r="A593" s="444">
        <v>271</v>
      </c>
      <c r="B593" s="444" t="s">
        <v>396</v>
      </c>
      <c r="C593" s="444">
        <v>8930</v>
      </c>
      <c r="D593" s="444" t="s">
        <v>1040</v>
      </c>
      <c r="E593" s="425" t="s">
        <v>1013</v>
      </c>
      <c r="F593" s="444"/>
      <c r="G593" s="444"/>
      <c r="H593" s="444"/>
      <c r="I593" s="444"/>
      <c r="J593" s="444"/>
      <c r="K593" s="444"/>
      <c r="L593" s="444"/>
      <c r="M593" s="444"/>
      <c r="N593" s="444"/>
      <c r="O593" s="444"/>
      <c r="P593" s="444"/>
      <c r="Q593" s="444"/>
      <c r="R593" s="444"/>
      <c r="S593" s="444"/>
      <c r="T593" s="444">
        <v>3</v>
      </c>
      <c r="U593" s="444"/>
      <c r="V593" s="445">
        <v>3</v>
      </c>
      <c r="W593" s="444"/>
      <c r="X593" s="444"/>
      <c r="Y593" s="444"/>
      <c r="Z593" s="444"/>
      <c r="AA593" s="444"/>
      <c r="AB593" s="444"/>
      <c r="AC593" s="444"/>
      <c r="AD593" s="444"/>
      <c r="AE593" s="444"/>
      <c r="AF593" s="444"/>
      <c r="AG593" s="444"/>
      <c r="AH593" s="444"/>
      <c r="AI593" s="444"/>
      <c r="AJ593" s="444"/>
      <c r="AK593" s="444">
        <v>3</v>
      </c>
      <c r="AL593" s="444"/>
      <c r="AM593" s="446">
        <v>3</v>
      </c>
      <c r="AN593" s="447">
        <v>3</v>
      </c>
      <c r="AO593" s="444" t="s">
        <v>473</v>
      </c>
      <c r="AP593" s="444" t="s">
        <v>1233</v>
      </c>
      <c r="AQ593" s="444" t="s">
        <v>442</v>
      </c>
      <c r="AR593" s="444" t="s">
        <v>1306</v>
      </c>
      <c r="AS593" s="444" t="s">
        <v>1306</v>
      </c>
      <c r="AT593" s="448">
        <v>0</v>
      </c>
      <c r="AU593" s="448">
        <v>0</v>
      </c>
      <c r="AV593" s="425">
        <v>0</v>
      </c>
      <c r="AW593" s="449">
        <v>0</v>
      </c>
      <c r="AX593" s="450">
        <v>3</v>
      </c>
      <c r="AY593" s="450">
        <v>0</v>
      </c>
      <c r="AZ593" s="450">
        <v>0</v>
      </c>
      <c r="BA593" s="450">
        <v>0</v>
      </c>
    </row>
    <row r="594" spans="1:53" s="425" customFormat="1" hidden="1">
      <c r="A594" s="444">
        <v>272</v>
      </c>
      <c r="B594" s="444" t="s">
        <v>734</v>
      </c>
      <c r="C594" s="444">
        <v>1283</v>
      </c>
      <c r="D594" s="444" t="s">
        <v>1043</v>
      </c>
      <c r="E594" s="425" t="s">
        <v>1013</v>
      </c>
      <c r="F594" s="444"/>
      <c r="G594" s="444"/>
      <c r="H594" s="444"/>
      <c r="I594" s="444"/>
      <c r="J594" s="444"/>
      <c r="K594" s="444"/>
      <c r="L594" s="444"/>
      <c r="M594" s="444"/>
      <c r="N594" s="444"/>
      <c r="O594" s="444"/>
      <c r="P594" s="444"/>
      <c r="Q594" s="444"/>
      <c r="R594" s="444"/>
      <c r="S594" s="444"/>
      <c r="T594" s="444">
        <v>1</v>
      </c>
      <c r="U594" s="444"/>
      <c r="V594" s="445">
        <v>1</v>
      </c>
      <c r="W594" s="444"/>
      <c r="X594" s="444"/>
      <c r="Y594" s="444"/>
      <c r="Z594" s="444"/>
      <c r="AA594" s="444"/>
      <c r="AB594" s="444"/>
      <c r="AC594" s="444"/>
      <c r="AD594" s="444"/>
      <c r="AE594" s="444"/>
      <c r="AF594" s="444"/>
      <c r="AG594" s="444"/>
      <c r="AH594" s="444"/>
      <c r="AI594" s="444"/>
      <c r="AJ594" s="444"/>
      <c r="AK594" s="444">
        <v>1</v>
      </c>
      <c r="AL594" s="444"/>
      <c r="AM594" s="446">
        <v>1</v>
      </c>
      <c r="AN594" s="447">
        <v>1</v>
      </c>
      <c r="AO594" s="444" t="s">
        <v>473</v>
      </c>
      <c r="AP594" s="444" t="s">
        <v>862</v>
      </c>
      <c r="AQ594" s="444" t="s">
        <v>442</v>
      </c>
      <c r="AR594" s="444" t="s">
        <v>1306</v>
      </c>
      <c r="AS594" s="444" t="s">
        <v>1306</v>
      </c>
      <c r="AT594" s="448">
        <v>0</v>
      </c>
      <c r="AU594" s="448">
        <v>0</v>
      </c>
      <c r="AV594" s="425">
        <v>0</v>
      </c>
      <c r="AW594" s="448">
        <v>0</v>
      </c>
      <c r="AX594" s="450">
        <v>1</v>
      </c>
      <c r="AY594" s="450">
        <v>0</v>
      </c>
      <c r="AZ594" s="450">
        <v>0</v>
      </c>
      <c r="BA594" s="450">
        <v>0</v>
      </c>
    </row>
    <row r="595" spans="1:53" s="425" customFormat="1" hidden="1">
      <c r="A595" s="444">
        <v>272</v>
      </c>
      <c r="B595" s="444" t="s">
        <v>734</v>
      </c>
      <c r="C595" s="444">
        <v>3282</v>
      </c>
      <c r="D595" s="444" t="s">
        <v>1022</v>
      </c>
      <c r="E595" s="425" t="s">
        <v>1013</v>
      </c>
      <c r="F595" s="444"/>
      <c r="G595" s="444"/>
      <c r="H595" s="444"/>
      <c r="I595" s="444"/>
      <c r="J595" s="444"/>
      <c r="K595" s="444"/>
      <c r="L595" s="444"/>
      <c r="M595" s="444"/>
      <c r="N595" s="444"/>
      <c r="O595" s="444"/>
      <c r="P595" s="444"/>
      <c r="Q595" s="444"/>
      <c r="R595" s="444">
        <v>1</v>
      </c>
      <c r="S595" s="444"/>
      <c r="T595" s="444"/>
      <c r="U595" s="444"/>
      <c r="V595" s="445">
        <v>1</v>
      </c>
      <c r="W595" s="444"/>
      <c r="X595" s="444"/>
      <c r="Y595" s="444"/>
      <c r="Z595" s="444"/>
      <c r="AA595" s="444"/>
      <c r="AB595" s="444"/>
      <c r="AC595" s="444"/>
      <c r="AD595" s="444"/>
      <c r="AE595" s="444"/>
      <c r="AF595" s="444"/>
      <c r="AG595" s="444"/>
      <c r="AH595" s="444"/>
      <c r="AI595" s="444">
        <v>1</v>
      </c>
      <c r="AJ595" s="444"/>
      <c r="AK595" s="444"/>
      <c r="AL595" s="444"/>
      <c r="AM595" s="446">
        <v>1</v>
      </c>
      <c r="AN595" s="447">
        <v>1</v>
      </c>
      <c r="AO595" s="444" t="s">
        <v>473</v>
      </c>
      <c r="AP595" s="444" t="s">
        <v>1233</v>
      </c>
      <c r="AQ595" s="444" t="s">
        <v>442</v>
      </c>
      <c r="AR595" s="444" t="s">
        <v>1306</v>
      </c>
      <c r="AS595" s="444" t="s">
        <v>1306</v>
      </c>
      <c r="AT595" s="448">
        <v>1</v>
      </c>
      <c r="AU595" s="448">
        <v>0</v>
      </c>
      <c r="AV595" s="425">
        <v>0</v>
      </c>
      <c r="AW595" s="449">
        <v>0</v>
      </c>
      <c r="AX595" s="450">
        <v>0</v>
      </c>
      <c r="AY595" s="450">
        <v>0</v>
      </c>
      <c r="AZ595" s="450">
        <v>0</v>
      </c>
      <c r="BA595" s="450">
        <v>0</v>
      </c>
    </row>
    <row r="596" spans="1:53" s="425" customFormat="1" hidden="1">
      <c r="A596" s="444">
        <v>272</v>
      </c>
      <c r="B596" s="444" t="s">
        <v>734</v>
      </c>
      <c r="C596" s="444">
        <v>3285</v>
      </c>
      <c r="D596" s="444" t="s">
        <v>1485</v>
      </c>
      <c r="E596" s="425" t="s">
        <v>1013</v>
      </c>
      <c r="F596" s="444"/>
      <c r="G596" s="444"/>
      <c r="H596" s="444"/>
      <c r="I596" s="444"/>
      <c r="J596" s="444"/>
      <c r="K596" s="444"/>
      <c r="L596" s="444"/>
      <c r="M596" s="444"/>
      <c r="N596" s="444"/>
      <c r="O596" s="444"/>
      <c r="P596" s="444"/>
      <c r="Q596" s="444"/>
      <c r="R596" s="444">
        <v>2</v>
      </c>
      <c r="S596" s="444">
        <v>3</v>
      </c>
      <c r="T596" s="444">
        <v>3</v>
      </c>
      <c r="U596" s="444"/>
      <c r="V596" s="445">
        <v>8</v>
      </c>
      <c r="W596" s="444"/>
      <c r="X596" s="444"/>
      <c r="Y596" s="444"/>
      <c r="Z596" s="444"/>
      <c r="AA596" s="444"/>
      <c r="AB596" s="444"/>
      <c r="AC596" s="444"/>
      <c r="AD596" s="444"/>
      <c r="AE596" s="444"/>
      <c r="AF596" s="444"/>
      <c r="AG596" s="444"/>
      <c r="AH596" s="444"/>
      <c r="AI596" s="444">
        <v>2</v>
      </c>
      <c r="AJ596" s="444">
        <v>3</v>
      </c>
      <c r="AK596" s="444">
        <v>3</v>
      </c>
      <c r="AL596" s="444"/>
      <c r="AM596" s="446">
        <v>8</v>
      </c>
      <c r="AN596" s="447">
        <v>8</v>
      </c>
      <c r="AO596" s="444" t="s">
        <v>473</v>
      </c>
      <c r="AP596" s="444" t="s">
        <v>851</v>
      </c>
      <c r="AQ596" s="444" t="s">
        <v>442</v>
      </c>
      <c r="AR596" s="444" t="s">
        <v>1306</v>
      </c>
      <c r="AS596" s="444" t="s">
        <v>1306</v>
      </c>
      <c r="AT596" s="448">
        <v>0</v>
      </c>
      <c r="AU596" s="448">
        <v>0</v>
      </c>
      <c r="AV596" s="425">
        <v>0</v>
      </c>
      <c r="AW596" s="448">
        <v>0</v>
      </c>
      <c r="AX596" s="450">
        <v>0</v>
      </c>
      <c r="AY596" s="450">
        <v>0</v>
      </c>
      <c r="AZ596" s="450">
        <v>0</v>
      </c>
      <c r="BA596" s="450">
        <v>0</v>
      </c>
    </row>
    <row r="597" spans="1:53" s="425" customFormat="1" hidden="1">
      <c r="A597" s="444">
        <v>272</v>
      </c>
      <c r="B597" s="444" t="s">
        <v>734</v>
      </c>
      <c r="C597" s="444">
        <v>3310</v>
      </c>
      <c r="D597" s="444" t="s">
        <v>1045</v>
      </c>
      <c r="E597" s="425" t="s">
        <v>1013</v>
      </c>
      <c r="F597" s="444"/>
      <c r="G597" s="444"/>
      <c r="H597" s="444"/>
      <c r="I597" s="444"/>
      <c r="J597" s="444"/>
      <c r="K597" s="444"/>
      <c r="L597" s="444"/>
      <c r="M597" s="444"/>
      <c r="N597" s="444"/>
      <c r="O597" s="444"/>
      <c r="P597" s="444"/>
      <c r="Q597" s="444"/>
      <c r="R597" s="444">
        <v>1</v>
      </c>
      <c r="S597" s="444"/>
      <c r="T597" s="444">
        <v>1</v>
      </c>
      <c r="U597" s="444"/>
      <c r="V597" s="445">
        <v>2</v>
      </c>
      <c r="W597" s="444"/>
      <c r="X597" s="444"/>
      <c r="Y597" s="444"/>
      <c r="Z597" s="444"/>
      <c r="AA597" s="444"/>
      <c r="AB597" s="444"/>
      <c r="AC597" s="444"/>
      <c r="AD597" s="444"/>
      <c r="AE597" s="444"/>
      <c r="AF597" s="444"/>
      <c r="AG597" s="444"/>
      <c r="AH597" s="444"/>
      <c r="AI597" s="444">
        <v>1</v>
      </c>
      <c r="AJ597" s="444"/>
      <c r="AK597" s="444">
        <v>1</v>
      </c>
      <c r="AL597" s="444"/>
      <c r="AM597" s="446">
        <v>2</v>
      </c>
      <c r="AN597" s="447">
        <v>2</v>
      </c>
      <c r="AO597" s="444" t="s">
        <v>473</v>
      </c>
      <c r="AP597" s="444" t="s">
        <v>1233</v>
      </c>
      <c r="AQ597" s="444" t="s">
        <v>442</v>
      </c>
      <c r="AR597" s="444" t="s">
        <v>1306</v>
      </c>
      <c r="AS597" s="444" t="s">
        <v>1306</v>
      </c>
      <c r="AT597" s="448">
        <v>1</v>
      </c>
      <c r="AU597" s="448">
        <v>0</v>
      </c>
      <c r="AV597" s="425">
        <v>0</v>
      </c>
      <c r="AW597" s="449">
        <v>0</v>
      </c>
      <c r="AX597" s="450">
        <v>1</v>
      </c>
      <c r="AY597" s="450">
        <v>0</v>
      </c>
      <c r="AZ597" s="450">
        <v>0</v>
      </c>
      <c r="BA597" s="450">
        <v>0</v>
      </c>
    </row>
    <row r="598" spans="1:53" s="425" customFormat="1" hidden="1">
      <c r="A598" s="444">
        <v>272</v>
      </c>
      <c r="B598" s="444" t="s">
        <v>734</v>
      </c>
      <c r="C598" s="444">
        <v>3321</v>
      </c>
      <c r="D598" s="444" t="s">
        <v>1047</v>
      </c>
      <c r="E598" s="425" t="s">
        <v>1013</v>
      </c>
      <c r="F598" s="444"/>
      <c r="G598" s="444"/>
      <c r="H598" s="444"/>
      <c r="I598" s="444"/>
      <c r="J598" s="444"/>
      <c r="K598" s="444"/>
      <c r="L598" s="444"/>
      <c r="M598" s="444"/>
      <c r="N598" s="444"/>
      <c r="O598" s="444"/>
      <c r="P598" s="444"/>
      <c r="Q598" s="444"/>
      <c r="R598" s="444"/>
      <c r="S598" s="444">
        <v>1</v>
      </c>
      <c r="T598" s="444"/>
      <c r="U598" s="444"/>
      <c r="V598" s="445">
        <v>1</v>
      </c>
      <c r="W598" s="444"/>
      <c r="X598" s="444"/>
      <c r="Y598" s="444"/>
      <c r="Z598" s="444"/>
      <c r="AA598" s="444"/>
      <c r="AB598" s="444"/>
      <c r="AC598" s="444"/>
      <c r="AD598" s="444"/>
      <c r="AE598" s="444"/>
      <c r="AF598" s="444"/>
      <c r="AG598" s="444"/>
      <c r="AH598" s="444"/>
      <c r="AI598" s="444"/>
      <c r="AJ598" s="444">
        <v>1</v>
      </c>
      <c r="AK598" s="444"/>
      <c r="AL598" s="444"/>
      <c r="AM598" s="446">
        <v>1</v>
      </c>
      <c r="AN598" s="447">
        <v>1</v>
      </c>
      <c r="AO598" s="444" t="s">
        <v>473</v>
      </c>
      <c r="AP598" s="444" t="s">
        <v>1233</v>
      </c>
      <c r="AQ598" s="444" t="s">
        <v>442</v>
      </c>
      <c r="AR598" s="444" t="s">
        <v>1306</v>
      </c>
      <c r="AS598" s="444" t="s">
        <v>1306</v>
      </c>
      <c r="AT598" s="448">
        <v>0</v>
      </c>
      <c r="AU598" s="448">
        <v>0</v>
      </c>
      <c r="AV598" s="425">
        <v>0</v>
      </c>
      <c r="AW598" s="449">
        <v>0</v>
      </c>
      <c r="AX598" s="450">
        <v>1</v>
      </c>
      <c r="AY598" s="450">
        <v>0</v>
      </c>
      <c r="AZ598" s="450">
        <v>0</v>
      </c>
      <c r="BA598" s="450">
        <v>0</v>
      </c>
    </row>
    <row r="599" spans="1:53" s="425" customFormat="1" hidden="1">
      <c r="A599" s="444">
        <v>272</v>
      </c>
      <c r="B599" s="444" t="s">
        <v>734</v>
      </c>
      <c r="C599" s="444">
        <v>3351</v>
      </c>
      <c r="D599" s="444" t="s">
        <v>1486</v>
      </c>
      <c r="E599" s="425" t="s">
        <v>1013</v>
      </c>
      <c r="F599" s="444"/>
      <c r="G599" s="444"/>
      <c r="H599" s="444"/>
      <c r="I599" s="444"/>
      <c r="J599" s="444"/>
      <c r="K599" s="444"/>
      <c r="L599" s="444"/>
      <c r="M599" s="444"/>
      <c r="N599" s="444"/>
      <c r="O599" s="444"/>
      <c r="P599" s="444"/>
      <c r="Q599" s="444"/>
      <c r="R599" s="444">
        <v>1</v>
      </c>
      <c r="S599" s="444"/>
      <c r="T599" s="444"/>
      <c r="U599" s="444"/>
      <c r="V599" s="445">
        <v>1</v>
      </c>
      <c r="W599" s="444"/>
      <c r="X599" s="444"/>
      <c r="Y599" s="444"/>
      <c r="Z599" s="444"/>
      <c r="AA599" s="444"/>
      <c r="AB599" s="444"/>
      <c r="AC599" s="444"/>
      <c r="AD599" s="444"/>
      <c r="AE599" s="444"/>
      <c r="AF599" s="444"/>
      <c r="AG599" s="444"/>
      <c r="AH599" s="444"/>
      <c r="AI599" s="444">
        <v>1</v>
      </c>
      <c r="AJ599" s="444"/>
      <c r="AK599" s="444"/>
      <c r="AL599" s="444"/>
      <c r="AM599" s="446">
        <v>1</v>
      </c>
      <c r="AN599" s="447">
        <v>1</v>
      </c>
      <c r="AO599" s="444" t="s">
        <v>473</v>
      </c>
      <c r="AP599" s="444" t="s">
        <v>852</v>
      </c>
      <c r="AQ599" s="444" t="s">
        <v>442</v>
      </c>
      <c r="AR599" s="444" t="s">
        <v>1306</v>
      </c>
      <c r="AS599" s="444" t="s">
        <v>1306</v>
      </c>
      <c r="AT599" s="448">
        <v>1</v>
      </c>
      <c r="AU599" s="448">
        <v>0</v>
      </c>
      <c r="AV599" s="425">
        <v>0</v>
      </c>
      <c r="AW599" s="449">
        <v>0</v>
      </c>
      <c r="AX599" s="450">
        <v>0</v>
      </c>
      <c r="AY599" s="450">
        <v>0</v>
      </c>
      <c r="AZ599" s="450">
        <v>0</v>
      </c>
      <c r="BA599" s="450">
        <v>0</v>
      </c>
    </row>
    <row r="600" spans="1:53" s="425" customFormat="1" hidden="1">
      <c r="A600" s="444">
        <v>272</v>
      </c>
      <c r="B600" s="444" t="s">
        <v>734</v>
      </c>
      <c r="C600" s="444">
        <v>3370</v>
      </c>
      <c r="D600" s="444" t="s">
        <v>1049</v>
      </c>
      <c r="E600" s="425" t="s">
        <v>1013</v>
      </c>
      <c r="F600" s="444"/>
      <c r="G600" s="444"/>
      <c r="H600" s="444"/>
      <c r="I600" s="444"/>
      <c r="J600" s="444"/>
      <c r="K600" s="444"/>
      <c r="L600" s="444"/>
      <c r="M600" s="444"/>
      <c r="N600" s="444"/>
      <c r="O600" s="444"/>
      <c r="P600" s="444"/>
      <c r="Q600" s="444"/>
      <c r="R600" s="444"/>
      <c r="S600" s="444">
        <v>1</v>
      </c>
      <c r="T600" s="444"/>
      <c r="U600" s="444"/>
      <c r="V600" s="445">
        <v>1</v>
      </c>
      <c r="W600" s="444"/>
      <c r="X600" s="444"/>
      <c r="Y600" s="444"/>
      <c r="Z600" s="444"/>
      <c r="AA600" s="444"/>
      <c r="AB600" s="444"/>
      <c r="AC600" s="444"/>
      <c r="AD600" s="444"/>
      <c r="AE600" s="444"/>
      <c r="AF600" s="444"/>
      <c r="AG600" s="444"/>
      <c r="AH600" s="444"/>
      <c r="AI600" s="444"/>
      <c r="AJ600" s="444">
        <v>1</v>
      </c>
      <c r="AK600" s="444"/>
      <c r="AL600" s="444"/>
      <c r="AM600" s="446">
        <v>1</v>
      </c>
      <c r="AN600" s="447">
        <v>1</v>
      </c>
      <c r="AO600" s="444" t="s">
        <v>473</v>
      </c>
      <c r="AP600" s="444" t="s">
        <v>1233</v>
      </c>
      <c r="AQ600" s="444" t="s">
        <v>442</v>
      </c>
      <c r="AR600" s="444" t="s">
        <v>1306</v>
      </c>
      <c r="AS600" s="444" t="s">
        <v>1306</v>
      </c>
      <c r="AT600" s="448">
        <v>0</v>
      </c>
      <c r="AU600" s="448">
        <v>0</v>
      </c>
      <c r="AV600" s="425">
        <v>0</v>
      </c>
      <c r="AW600" s="448">
        <v>0</v>
      </c>
      <c r="AX600" s="450">
        <v>1</v>
      </c>
      <c r="AY600" s="450">
        <v>0</v>
      </c>
      <c r="AZ600" s="450">
        <v>0</v>
      </c>
      <c r="BA600" s="450">
        <v>0</v>
      </c>
    </row>
    <row r="601" spans="1:53" s="425" customFormat="1" hidden="1">
      <c r="A601" s="444">
        <v>272</v>
      </c>
      <c r="B601" s="444" t="s">
        <v>734</v>
      </c>
      <c r="C601" s="444">
        <v>3374</v>
      </c>
      <c r="D601" s="444" t="s">
        <v>1487</v>
      </c>
      <c r="E601" s="425" t="s">
        <v>1013</v>
      </c>
      <c r="F601" s="444"/>
      <c r="G601" s="444"/>
      <c r="H601" s="444"/>
      <c r="I601" s="444"/>
      <c r="J601" s="444"/>
      <c r="K601" s="444"/>
      <c r="L601" s="444"/>
      <c r="M601" s="444"/>
      <c r="N601" s="444"/>
      <c r="O601" s="444"/>
      <c r="P601" s="444"/>
      <c r="Q601" s="444"/>
      <c r="R601" s="444"/>
      <c r="S601" s="444"/>
      <c r="T601" s="444">
        <v>1</v>
      </c>
      <c r="U601" s="444"/>
      <c r="V601" s="445">
        <v>1</v>
      </c>
      <c r="W601" s="444"/>
      <c r="X601" s="444"/>
      <c r="Y601" s="444"/>
      <c r="Z601" s="444"/>
      <c r="AA601" s="444"/>
      <c r="AB601" s="444"/>
      <c r="AC601" s="444"/>
      <c r="AD601" s="444"/>
      <c r="AE601" s="444"/>
      <c r="AF601" s="444"/>
      <c r="AG601" s="444"/>
      <c r="AH601" s="444"/>
      <c r="AI601" s="444"/>
      <c r="AJ601" s="444"/>
      <c r="AK601" s="444">
        <v>1</v>
      </c>
      <c r="AL601" s="444"/>
      <c r="AM601" s="446">
        <v>1</v>
      </c>
      <c r="AN601" s="447">
        <v>1</v>
      </c>
      <c r="AO601" s="444" t="s">
        <v>473</v>
      </c>
      <c r="AP601" s="444" t="s">
        <v>1405</v>
      </c>
      <c r="AQ601" s="444" t="s">
        <v>442</v>
      </c>
      <c r="AR601" s="444" t="s">
        <v>1306</v>
      </c>
      <c r="AS601" s="444" t="s">
        <v>1306</v>
      </c>
      <c r="AT601" s="448">
        <v>1</v>
      </c>
      <c r="AU601" s="448">
        <v>0</v>
      </c>
      <c r="AV601" s="425">
        <v>0</v>
      </c>
      <c r="AW601" s="448">
        <v>0</v>
      </c>
      <c r="AX601" s="450">
        <v>0</v>
      </c>
      <c r="AY601" s="450">
        <v>0</v>
      </c>
      <c r="AZ601" s="450">
        <v>0</v>
      </c>
      <c r="BA601" s="450">
        <v>0</v>
      </c>
    </row>
    <row r="602" spans="1:53" s="425" customFormat="1" hidden="1">
      <c r="A602" s="444">
        <v>272</v>
      </c>
      <c r="B602" s="444" t="s">
        <v>734</v>
      </c>
      <c r="C602" s="444">
        <v>3379</v>
      </c>
      <c r="D602" s="444" t="s">
        <v>1051</v>
      </c>
      <c r="E602" s="425" t="s">
        <v>1013</v>
      </c>
      <c r="F602" s="444"/>
      <c r="G602" s="444"/>
      <c r="H602" s="444"/>
      <c r="I602" s="444"/>
      <c r="J602" s="444"/>
      <c r="K602" s="444"/>
      <c r="L602" s="444"/>
      <c r="M602" s="444"/>
      <c r="N602" s="444"/>
      <c r="O602" s="444"/>
      <c r="P602" s="444"/>
      <c r="Q602" s="444"/>
      <c r="R602" s="444"/>
      <c r="S602" s="444"/>
      <c r="T602" s="444">
        <v>1</v>
      </c>
      <c r="U602" s="444"/>
      <c r="V602" s="445">
        <v>1</v>
      </c>
      <c r="W602" s="444"/>
      <c r="X602" s="444"/>
      <c r="Y602" s="444"/>
      <c r="Z602" s="444"/>
      <c r="AA602" s="444"/>
      <c r="AB602" s="444"/>
      <c r="AC602" s="444"/>
      <c r="AD602" s="444"/>
      <c r="AE602" s="444"/>
      <c r="AF602" s="444"/>
      <c r="AG602" s="444"/>
      <c r="AH602" s="444"/>
      <c r="AI602" s="444"/>
      <c r="AJ602" s="444"/>
      <c r="AK602" s="444">
        <v>1</v>
      </c>
      <c r="AL602" s="444"/>
      <c r="AM602" s="446">
        <v>1</v>
      </c>
      <c r="AN602" s="447">
        <v>1</v>
      </c>
      <c r="AO602" s="444" t="s">
        <v>473</v>
      </c>
      <c r="AP602" s="444" t="s">
        <v>1233</v>
      </c>
      <c r="AQ602" s="444" t="s">
        <v>442</v>
      </c>
      <c r="AR602" s="444" t="s">
        <v>1306</v>
      </c>
      <c r="AS602" s="444" t="s">
        <v>1306</v>
      </c>
      <c r="AT602" s="448">
        <v>0</v>
      </c>
      <c r="AU602" s="448">
        <v>0</v>
      </c>
      <c r="AV602" s="425">
        <v>0</v>
      </c>
      <c r="AW602" s="449">
        <v>0</v>
      </c>
      <c r="AX602" s="450">
        <v>1</v>
      </c>
      <c r="AY602" s="450">
        <v>0</v>
      </c>
      <c r="AZ602" s="450">
        <v>0</v>
      </c>
      <c r="BA602" s="450">
        <v>0</v>
      </c>
    </row>
    <row r="603" spans="1:53" s="425" customFormat="1" hidden="1">
      <c r="A603" s="444">
        <v>272</v>
      </c>
      <c r="B603" s="444" t="s">
        <v>734</v>
      </c>
      <c r="C603" s="444">
        <v>3449</v>
      </c>
      <c r="D603" s="444" t="s">
        <v>1015</v>
      </c>
      <c r="E603" s="425" t="s">
        <v>1013</v>
      </c>
      <c r="F603" s="444"/>
      <c r="G603" s="444"/>
      <c r="H603" s="444"/>
      <c r="I603" s="444"/>
      <c r="J603" s="444"/>
      <c r="K603" s="444"/>
      <c r="L603" s="444"/>
      <c r="M603" s="444"/>
      <c r="N603" s="444"/>
      <c r="O603" s="444"/>
      <c r="P603" s="444"/>
      <c r="Q603" s="444"/>
      <c r="R603" s="444">
        <v>1</v>
      </c>
      <c r="S603" s="444"/>
      <c r="T603" s="444"/>
      <c r="U603" s="444"/>
      <c r="V603" s="445">
        <v>1</v>
      </c>
      <c r="W603" s="444"/>
      <c r="X603" s="444"/>
      <c r="Y603" s="444"/>
      <c r="Z603" s="444"/>
      <c r="AA603" s="444"/>
      <c r="AB603" s="444"/>
      <c r="AC603" s="444"/>
      <c r="AD603" s="444"/>
      <c r="AE603" s="444"/>
      <c r="AF603" s="444"/>
      <c r="AG603" s="444"/>
      <c r="AH603" s="444"/>
      <c r="AI603" s="444">
        <v>1</v>
      </c>
      <c r="AJ603" s="444"/>
      <c r="AK603" s="444"/>
      <c r="AL603" s="444"/>
      <c r="AM603" s="446">
        <v>1</v>
      </c>
      <c r="AN603" s="447">
        <v>1</v>
      </c>
      <c r="AO603" s="444" t="s">
        <v>473</v>
      </c>
      <c r="AP603" s="444" t="s">
        <v>1384</v>
      </c>
      <c r="AQ603" s="444" t="s">
        <v>442</v>
      </c>
      <c r="AR603" s="444" t="s">
        <v>1306</v>
      </c>
      <c r="AS603" s="444" t="s">
        <v>1306</v>
      </c>
      <c r="AT603" s="448">
        <v>1</v>
      </c>
      <c r="AU603" s="448">
        <v>0</v>
      </c>
      <c r="AV603" s="425">
        <v>0</v>
      </c>
      <c r="AW603" s="448">
        <v>0</v>
      </c>
      <c r="AX603" s="450">
        <v>0</v>
      </c>
      <c r="AY603" s="450">
        <v>0</v>
      </c>
      <c r="AZ603" s="450">
        <v>0</v>
      </c>
      <c r="BA603" s="450">
        <v>0</v>
      </c>
    </row>
    <row r="604" spans="1:53" s="425" customFormat="1" hidden="1">
      <c r="A604" s="444">
        <v>272</v>
      </c>
      <c r="B604" s="444" t="s">
        <v>734</v>
      </c>
      <c r="C604" s="444">
        <v>8230</v>
      </c>
      <c r="D604" s="444" t="s">
        <v>1029</v>
      </c>
      <c r="E604" s="425" t="s">
        <v>1013</v>
      </c>
      <c r="F604" s="444"/>
      <c r="G604" s="444"/>
      <c r="H604" s="444"/>
      <c r="I604" s="444"/>
      <c r="J604" s="444"/>
      <c r="K604" s="444"/>
      <c r="L604" s="444"/>
      <c r="M604" s="444"/>
      <c r="N604" s="444"/>
      <c r="O604" s="444"/>
      <c r="P604" s="444"/>
      <c r="Q604" s="444"/>
      <c r="R604" s="444"/>
      <c r="S604" s="444"/>
      <c r="T604" s="444"/>
      <c r="U604" s="444"/>
      <c r="V604" s="445">
        <v>0</v>
      </c>
      <c r="W604" s="444"/>
      <c r="X604" s="444"/>
      <c r="Y604" s="444"/>
      <c r="Z604" s="444"/>
      <c r="AA604" s="444"/>
      <c r="AB604" s="444"/>
      <c r="AC604" s="444"/>
      <c r="AD604" s="444"/>
      <c r="AE604" s="444"/>
      <c r="AF604" s="444"/>
      <c r="AG604" s="444"/>
      <c r="AH604" s="444"/>
      <c r="AI604" s="444"/>
      <c r="AJ604" s="444"/>
      <c r="AK604" s="444"/>
      <c r="AL604" s="444"/>
      <c r="AM604" s="446">
        <v>0</v>
      </c>
      <c r="AN604" s="447">
        <v>0</v>
      </c>
      <c r="AO604" s="444" t="s">
        <v>473</v>
      </c>
      <c r="AP604" s="444" t="s">
        <v>1405</v>
      </c>
      <c r="AQ604" s="444" t="s">
        <v>442</v>
      </c>
      <c r="AR604" s="444" t="s">
        <v>1306</v>
      </c>
      <c r="AS604" s="444" t="s">
        <v>1306</v>
      </c>
      <c r="AT604" s="448">
        <v>0</v>
      </c>
      <c r="AU604" s="448">
        <v>0</v>
      </c>
      <c r="AV604" s="425">
        <v>0</v>
      </c>
      <c r="AW604" s="449">
        <v>0</v>
      </c>
      <c r="AX604" s="450">
        <v>0</v>
      </c>
      <c r="AY604" s="450">
        <v>0</v>
      </c>
      <c r="AZ604" s="450">
        <v>0</v>
      </c>
      <c r="BA604" s="450">
        <v>0</v>
      </c>
    </row>
    <row r="605" spans="1:53" s="425" customFormat="1" hidden="1">
      <c r="A605" s="444">
        <v>272</v>
      </c>
      <c r="B605" s="444" t="s">
        <v>734</v>
      </c>
      <c r="C605" s="444">
        <v>9632</v>
      </c>
      <c r="D605" s="444" t="s">
        <v>1488</v>
      </c>
      <c r="E605" s="425" t="s">
        <v>1027</v>
      </c>
      <c r="F605" s="444"/>
      <c r="G605" s="444"/>
      <c r="H605" s="444"/>
      <c r="I605" s="444"/>
      <c r="J605" s="444"/>
      <c r="K605" s="444"/>
      <c r="L605" s="444"/>
      <c r="M605" s="444"/>
      <c r="N605" s="444"/>
      <c r="O605" s="444"/>
      <c r="P605" s="444"/>
      <c r="Q605" s="444"/>
      <c r="R605" s="444"/>
      <c r="S605" s="444"/>
      <c r="T605" s="444"/>
      <c r="U605" s="444"/>
      <c r="V605" s="445">
        <v>0</v>
      </c>
      <c r="W605" s="444"/>
      <c r="X605" s="444"/>
      <c r="Y605" s="444"/>
      <c r="Z605" s="444"/>
      <c r="AA605" s="444"/>
      <c r="AB605" s="444"/>
      <c r="AC605" s="444"/>
      <c r="AD605" s="444"/>
      <c r="AE605" s="444"/>
      <c r="AF605" s="444"/>
      <c r="AG605" s="444"/>
      <c r="AH605" s="444"/>
      <c r="AI605" s="444"/>
      <c r="AJ605" s="444"/>
      <c r="AK605" s="444"/>
      <c r="AL605" s="444"/>
      <c r="AM605" s="446">
        <v>0</v>
      </c>
      <c r="AN605" s="447">
        <v>0</v>
      </c>
      <c r="AO605" s="444" t="s">
        <v>473</v>
      </c>
      <c r="AP605" s="444" t="s">
        <v>1397</v>
      </c>
      <c r="AQ605" s="444" t="s">
        <v>442</v>
      </c>
      <c r="AR605" s="444" t="s">
        <v>1306</v>
      </c>
      <c r="AS605" s="444" t="s">
        <v>1306</v>
      </c>
      <c r="AT605" s="448">
        <v>0</v>
      </c>
      <c r="AU605" s="448">
        <v>0</v>
      </c>
      <c r="AV605" s="425">
        <v>0</v>
      </c>
      <c r="AW605" s="448">
        <v>0</v>
      </c>
      <c r="AX605" s="450">
        <v>0</v>
      </c>
      <c r="AY605" s="450">
        <v>0</v>
      </c>
      <c r="AZ605" s="450">
        <v>0</v>
      </c>
      <c r="BA605" s="450">
        <v>0</v>
      </c>
    </row>
    <row r="606" spans="1:53" s="425" customFormat="1" hidden="1">
      <c r="A606" s="444">
        <v>273</v>
      </c>
      <c r="B606" s="444" t="s">
        <v>735</v>
      </c>
      <c r="C606" s="444">
        <v>1755</v>
      </c>
      <c r="D606" s="444" t="s">
        <v>1489</v>
      </c>
      <c r="E606" s="425" t="s">
        <v>1013</v>
      </c>
      <c r="F606" s="444"/>
      <c r="G606" s="444">
        <v>1</v>
      </c>
      <c r="H606" s="444">
        <v>3</v>
      </c>
      <c r="I606" s="444">
        <v>1</v>
      </c>
      <c r="J606" s="444">
        <v>3</v>
      </c>
      <c r="K606" s="444">
        <v>5</v>
      </c>
      <c r="L606" s="444">
        <v>2</v>
      </c>
      <c r="M606" s="444">
        <v>4</v>
      </c>
      <c r="N606" s="444">
        <v>4</v>
      </c>
      <c r="O606" s="444">
        <v>4</v>
      </c>
      <c r="P606" s="444"/>
      <c r="Q606" s="444">
        <v>14</v>
      </c>
      <c r="R606" s="444">
        <v>16</v>
      </c>
      <c r="S606" s="444">
        <v>13</v>
      </c>
      <c r="T606" s="444">
        <v>13</v>
      </c>
      <c r="U606" s="444"/>
      <c r="V606" s="445">
        <v>83</v>
      </c>
      <c r="W606" s="444"/>
      <c r="X606" s="444">
        <v>1</v>
      </c>
      <c r="Y606" s="444">
        <v>3</v>
      </c>
      <c r="Z606" s="444">
        <v>1</v>
      </c>
      <c r="AA606" s="444">
        <v>3</v>
      </c>
      <c r="AB606" s="444">
        <v>5</v>
      </c>
      <c r="AC606" s="444">
        <v>2</v>
      </c>
      <c r="AD606" s="444">
        <v>4</v>
      </c>
      <c r="AE606" s="444">
        <v>4</v>
      </c>
      <c r="AF606" s="444">
        <v>4</v>
      </c>
      <c r="AG606" s="444"/>
      <c r="AH606" s="444">
        <v>14</v>
      </c>
      <c r="AI606" s="444">
        <v>16</v>
      </c>
      <c r="AJ606" s="444">
        <v>13</v>
      </c>
      <c r="AK606" s="444">
        <v>13</v>
      </c>
      <c r="AL606" s="444"/>
      <c r="AM606" s="446">
        <v>83</v>
      </c>
      <c r="AN606" s="447">
        <v>83</v>
      </c>
      <c r="AO606" s="444" t="s">
        <v>473</v>
      </c>
      <c r="AP606" s="444" t="s">
        <v>1490</v>
      </c>
      <c r="AQ606" s="444" t="s">
        <v>438</v>
      </c>
      <c r="AR606" s="444" t="s">
        <v>1306</v>
      </c>
      <c r="AS606" s="444" t="s">
        <v>1298</v>
      </c>
      <c r="AT606" s="448">
        <v>0</v>
      </c>
      <c r="AU606" s="448">
        <v>0</v>
      </c>
      <c r="AV606" s="425">
        <v>0</v>
      </c>
      <c r="AW606" s="449">
        <v>0</v>
      </c>
      <c r="AX606" s="450">
        <v>0</v>
      </c>
      <c r="AY606" s="450">
        <v>0</v>
      </c>
      <c r="AZ606" s="450">
        <v>0</v>
      </c>
      <c r="BA606" s="450">
        <v>0</v>
      </c>
    </row>
    <row r="607" spans="1:53" s="425" customFormat="1" hidden="1">
      <c r="A607" s="444">
        <v>273</v>
      </c>
      <c r="B607" s="444" t="s">
        <v>735</v>
      </c>
      <c r="C607" s="444">
        <v>21085</v>
      </c>
      <c r="D607" s="444" t="s">
        <v>1491</v>
      </c>
      <c r="E607" s="425" t="s">
        <v>1013</v>
      </c>
      <c r="F607" s="444"/>
      <c r="G607" s="444"/>
      <c r="H607" s="444"/>
      <c r="I607" s="444"/>
      <c r="J607" s="444"/>
      <c r="K607" s="444"/>
      <c r="L607" s="444"/>
      <c r="M607" s="444">
        <v>2</v>
      </c>
      <c r="N607" s="444">
        <v>1</v>
      </c>
      <c r="O607" s="444"/>
      <c r="P607" s="444"/>
      <c r="Q607" s="444"/>
      <c r="R607" s="444"/>
      <c r="S607" s="444"/>
      <c r="T607" s="444"/>
      <c r="U607" s="444"/>
      <c r="V607" s="445">
        <v>3</v>
      </c>
      <c r="W607" s="444"/>
      <c r="X607" s="444"/>
      <c r="Y607" s="444"/>
      <c r="Z607" s="444"/>
      <c r="AA607" s="444"/>
      <c r="AB607" s="444"/>
      <c r="AC607" s="444"/>
      <c r="AD607" s="444">
        <v>2</v>
      </c>
      <c r="AE607" s="444">
        <v>1</v>
      </c>
      <c r="AF607" s="444"/>
      <c r="AG607" s="444"/>
      <c r="AH607" s="444"/>
      <c r="AI607" s="444"/>
      <c r="AJ607" s="444"/>
      <c r="AK607" s="444"/>
      <c r="AL607" s="444"/>
      <c r="AM607" s="446">
        <v>3</v>
      </c>
      <c r="AN607" s="447">
        <v>3</v>
      </c>
      <c r="AO607" s="444" t="s">
        <v>473</v>
      </c>
      <c r="AP607" s="444" t="s">
        <v>1388</v>
      </c>
      <c r="AQ607" s="444" t="s">
        <v>438</v>
      </c>
      <c r="AR607" s="444" t="s">
        <v>1306</v>
      </c>
      <c r="AS607" s="444" t="s">
        <v>1306</v>
      </c>
      <c r="AT607" s="448">
        <v>0</v>
      </c>
      <c r="AU607" s="448">
        <v>0</v>
      </c>
      <c r="AV607" s="425">
        <v>0</v>
      </c>
      <c r="AW607" s="448">
        <v>0</v>
      </c>
      <c r="AX607" s="450">
        <v>0</v>
      </c>
      <c r="AY607" s="450">
        <v>0</v>
      </c>
      <c r="AZ607" s="450">
        <v>0</v>
      </c>
      <c r="BA607" s="450">
        <v>0</v>
      </c>
    </row>
    <row r="608" spans="1:53" s="425" customFormat="1" hidden="1">
      <c r="A608" s="444">
        <v>273</v>
      </c>
      <c r="B608" s="444" t="s">
        <v>735</v>
      </c>
      <c r="C608" s="444">
        <v>38093</v>
      </c>
      <c r="D608" s="444" t="s">
        <v>1420</v>
      </c>
      <c r="E608" s="425" t="s">
        <v>1013</v>
      </c>
      <c r="F608" s="444"/>
      <c r="G608" s="444"/>
      <c r="H608" s="444"/>
      <c r="I608" s="444"/>
      <c r="J608" s="444"/>
      <c r="K608" s="444"/>
      <c r="L608" s="444">
        <v>1</v>
      </c>
      <c r="M608" s="444"/>
      <c r="N608" s="444"/>
      <c r="O608" s="444"/>
      <c r="P608" s="444"/>
      <c r="Q608" s="444"/>
      <c r="R608" s="444"/>
      <c r="S608" s="444"/>
      <c r="T608" s="444"/>
      <c r="U608" s="444"/>
      <c r="V608" s="445">
        <v>1</v>
      </c>
      <c r="W608" s="444"/>
      <c r="X608" s="444"/>
      <c r="Y608" s="444"/>
      <c r="Z608" s="444"/>
      <c r="AA608" s="444"/>
      <c r="AB608" s="444"/>
      <c r="AC608" s="444">
        <v>1</v>
      </c>
      <c r="AD608" s="444"/>
      <c r="AE608" s="444"/>
      <c r="AF608" s="444"/>
      <c r="AG608" s="444"/>
      <c r="AH608" s="444"/>
      <c r="AI608" s="449"/>
      <c r="AJ608" s="444"/>
      <c r="AK608" s="444"/>
      <c r="AL608" s="444"/>
      <c r="AM608" s="446">
        <v>1</v>
      </c>
      <c r="AN608" s="447">
        <v>1</v>
      </c>
      <c r="AO608" s="444" t="s">
        <v>473</v>
      </c>
      <c r="AP608" s="444" t="s">
        <v>1490</v>
      </c>
      <c r="AQ608" s="444" t="s">
        <v>438</v>
      </c>
      <c r="AR608" s="444" t="s">
        <v>1306</v>
      </c>
      <c r="AS608" s="444" t="s">
        <v>1306</v>
      </c>
      <c r="AT608" s="448">
        <v>0</v>
      </c>
      <c r="AU608" s="448">
        <v>0</v>
      </c>
      <c r="AV608" s="425">
        <v>0</v>
      </c>
      <c r="AW608" s="449">
        <v>0</v>
      </c>
      <c r="AX608" s="450">
        <v>0</v>
      </c>
      <c r="AY608" s="450">
        <v>0</v>
      </c>
      <c r="AZ608" s="450">
        <v>0</v>
      </c>
      <c r="BA608" s="450">
        <v>0</v>
      </c>
    </row>
    <row r="609" spans="1:53" s="425" customFormat="1" hidden="1">
      <c r="A609" s="444">
        <v>275</v>
      </c>
      <c r="B609" s="444" t="s">
        <v>390</v>
      </c>
      <c r="C609" s="444">
        <v>1048</v>
      </c>
      <c r="D609" s="444" t="s">
        <v>1055</v>
      </c>
      <c r="E609" s="425" t="s">
        <v>1013</v>
      </c>
      <c r="F609" s="444"/>
      <c r="G609" s="444"/>
      <c r="H609" s="444"/>
      <c r="I609" s="444"/>
      <c r="J609" s="444"/>
      <c r="K609" s="444"/>
      <c r="L609" s="444"/>
      <c r="M609" s="444"/>
      <c r="N609" s="444"/>
      <c r="O609" s="444"/>
      <c r="P609" s="444"/>
      <c r="Q609" s="444"/>
      <c r="R609" s="444"/>
      <c r="S609" s="444"/>
      <c r="T609" s="444">
        <v>8</v>
      </c>
      <c r="U609" s="444"/>
      <c r="V609" s="445">
        <v>8</v>
      </c>
      <c r="W609" s="444"/>
      <c r="X609" s="444"/>
      <c r="Y609" s="444"/>
      <c r="Z609" s="444"/>
      <c r="AA609" s="444"/>
      <c r="AB609" s="444"/>
      <c r="AC609" s="444"/>
      <c r="AD609" s="444"/>
      <c r="AE609" s="444"/>
      <c r="AF609" s="444"/>
      <c r="AG609" s="444"/>
      <c r="AH609" s="444"/>
      <c r="AI609" s="444"/>
      <c r="AJ609" s="444"/>
      <c r="AK609" s="444">
        <v>8</v>
      </c>
      <c r="AL609" s="444"/>
      <c r="AM609" s="446">
        <v>8</v>
      </c>
      <c r="AN609" s="447">
        <v>8</v>
      </c>
      <c r="AO609" s="444" t="s">
        <v>473</v>
      </c>
      <c r="AP609" s="444" t="s">
        <v>862</v>
      </c>
      <c r="AQ609" s="444" t="s">
        <v>1304</v>
      </c>
      <c r="AR609" s="444" t="s">
        <v>1306</v>
      </c>
      <c r="AS609" s="444" t="s">
        <v>1306</v>
      </c>
      <c r="AT609" s="448">
        <v>0</v>
      </c>
      <c r="AU609" s="448">
        <v>0</v>
      </c>
      <c r="AV609" s="425">
        <v>0</v>
      </c>
      <c r="AW609" s="448">
        <v>0</v>
      </c>
      <c r="AX609" s="450">
        <v>8</v>
      </c>
      <c r="AY609" s="450">
        <v>0</v>
      </c>
      <c r="AZ609" s="450">
        <v>0</v>
      </c>
      <c r="BA609" s="450">
        <v>0</v>
      </c>
    </row>
    <row r="610" spans="1:53" s="425" customFormat="1" hidden="1">
      <c r="A610" s="444">
        <v>275</v>
      </c>
      <c r="B610" s="444" t="s">
        <v>390</v>
      </c>
      <c r="C610" s="444">
        <v>1761</v>
      </c>
      <c r="D610" s="444" t="s">
        <v>1492</v>
      </c>
      <c r="E610" s="425" t="s">
        <v>1013</v>
      </c>
      <c r="F610" s="444"/>
      <c r="G610" s="444"/>
      <c r="H610" s="444"/>
      <c r="I610" s="444"/>
      <c r="J610" s="444"/>
      <c r="K610" s="444"/>
      <c r="L610" s="444"/>
      <c r="M610" s="444"/>
      <c r="N610" s="444"/>
      <c r="O610" s="444"/>
      <c r="P610" s="444"/>
      <c r="Q610" s="444"/>
      <c r="R610" s="444"/>
      <c r="S610" s="444">
        <v>1</v>
      </c>
      <c r="T610" s="444"/>
      <c r="U610" s="444"/>
      <c r="V610" s="445">
        <v>1</v>
      </c>
      <c r="W610" s="444"/>
      <c r="X610" s="444"/>
      <c r="Y610" s="444"/>
      <c r="Z610" s="444"/>
      <c r="AA610" s="444"/>
      <c r="AB610" s="444"/>
      <c r="AC610" s="444"/>
      <c r="AD610" s="444"/>
      <c r="AE610" s="444"/>
      <c r="AF610" s="444"/>
      <c r="AG610" s="444"/>
      <c r="AH610" s="444"/>
      <c r="AI610" s="444"/>
      <c r="AJ610" s="444">
        <v>1</v>
      </c>
      <c r="AK610" s="444"/>
      <c r="AL610" s="444"/>
      <c r="AM610" s="446">
        <v>1</v>
      </c>
      <c r="AN610" s="447">
        <v>1</v>
      </c>
      <c r="AO610" s="444" t="s">
        <v>473</v>
      </c>
      <c r="AP610" s="444" t="s">
        <v>1428</v>
      </c>
      <c r="AQ610" s="444" t="s">
        <v>1304</v>
      </c>
      <c r="AR610" s="444" t="s">
        <v>1306</v>
      </c>
      <c r="AS610" s="444" t="s">
        <v>1306</v>
      </c>
      <c r="AT610" s="448">
        <v>1</v>
      </c>
      <c r="AU610" s="448">
        <v>0</v>
      </c>
      <c r="AV610" s="425">
        <v>0</v>
      </c>
      <c r="AW610" s="449">
        <v>0</v>
      </c>
      <c r="AX610" s="450">
        <v>0</v>
      </c>
      <c r="AY610" s="450">
        <v>0</v>
      </c>
      <c r="AZ610" s="450">
        <v>0</v>
      </c>
      <c r="BA610" s="450">
        <v>0</v>
      </c>
    </row>
    <row r="611" spans="1:53" s="425" customFormat="1" hidden="1">
      <c r="A611" s="444">
        <v>275</v>
      </c>
      <c r="B611" s="444" t="s">
        <v>390</v>
      </c>
      <c r="C611" s="444">
        <v>3282</v>
      </c>
      <c r="D611" s="444" t="s">
        <v>1022</v>
      </c>
      <c r="E611" s="425" t="s">
        <v>1013</v>
      </c>
      <c r="F611" s="444"/>
      <c r="G611" s="444"/>
      <c r="H611" s="444"/>
      <c r="I611" s="444"/>
      <c r="J611" s="444"/>
      <c r="K611" s="444"/>
      <c r="L611" s="444"/>
      <c r="M611" s="444"/>
      <c r="N611" s="444"/>
      <c r="O611" s="444"/>
      <c r="P611" s="444"/>
      <c r="Q611" s="444"/>
      <c r="R611" s="444">
        <v>1</v>
      </c>
      <c r="S611" s="444">
        <v>3</v>
      </c>
      <c r="T611" s="444">
        <v>5</v>
      </c>
      <c r="U611" s="444"/>
      <c r="V611" s="445">
        <v>9</v>
      </c>
      <c r="W611" s="444"/>
      <c r="X611" s="444"/>
      <c r="Y611" s="444"/>
      <c r="Z611" s="444"/>
      <c r="AA611" s="444"/>
      <c r="AB611" s="444"/>
      <c r="AC611" s="444"/>
      <c r="AD611" s="444"/>
      <c r="AE611" s="444"/>
      <c r="AF611" s="444"/>
      <c r="AG611" s="444"/>
      <c r="AH611" s="444"/>
      <c r="AI611" s="444">
        <v>1</v>
      </c>
      <c r="AJ611" s="444">
        <v>3</v>
      </c>
      <c r="AK611" s="444">
        <v>5</v>
      </c>
      <c r="AL611" s="444"/>
      <c r="AM611" s="446">
        <v>9</v>
      </c>
      <c r="AN611" s="447">
        <v>9</v>
      </c>
      <c r="AO611" s="444" t="s">
        <v>473</v>
      </c>
      <c r="AP611" s="444" t="s">
        <v>1233</v>
      </c>
      <c r="AQ611" s="444" t="s">
        <v>1304</v>
      </c>
      <c r="AR611" s="444" t="s">
        <v>1306</v>
      </c>
      <c r="AS611" s="444" t="s">
        <v>1306</v>
      </c>
      <c r="AT611" s="448">
        <v>3</v>
      </c>
      <c r="AU611" s="448">
        <v>0</v>
      </c>
      <c r="AV611" s="425">
        <v>0</v>
      </c>
      <c r="AW611" s="449">
        <v>0</v>
      </c>
      <c r="AX611" s="450">
        <v>2</v>
      </c>
      <c r="AY611" s="450">
        <v>1</v>
      </c>
      <c r="AZ611" s="450">
        <v>0</v>
      </c>
      <c r="BA611" s="450">
        <v>0</v>
      </c>
    </row>
    <row r="612" spans="1:53" s="425" customFormat="1" hidden="1">
      <c r="A612" s="444">
        <v>275</v>
      </c>
      <c r="B612" s="444" t="s">
        <v>390</v>
      </c>
      <c r="C612" s="444">
        <v>3285</v>
      </c>
      <c r="D612" s="444" t="s">
        <v>1485</v>
      </c>
      <c r="E612" s="425" t="s">
        <v>1013</v>
      </c>
      <c r="F612" s="444"/>
      <c r="G612" s="444"/>
      <c r="H612" s="444"/>
      <c r="I612" s="444"/>
      <c r="J612" s="444"/>
      <c r="K612" s="444"/>
      <c r="L612" s="444"/>
      <c r="M612" s="444"/>
      <c r="N612" s="444"/>
      <c r="O612" s="444"/>
      <c r="P612" s="444"/>
      <c r="Q612" s="444"/>
      <c r="R612" s="444">
        <v>1</v>
      </c>
      <c r="S612" s="444">
        <v>1</v>
      </c>
      <c r="T612" s="444"/>
      <c r="U612" s="444"/>
      <c r="V612" s="445">
        <v>2</v>
      </c>
      <c r="W612" s="444"/>
      <c r="X612" s="444"/>
      <c r="Y612" s="444"/>
      <c r="Z612" s="444"/>
      <c r="AA612" s="444"/>
      <c r="AB612" s="444"/>
      <c r="AC612" s="444"/>
      <c r="AD612" s="444"/>
      <c r="AE612" s="444"/>
      <c r="AF612" s="444"/>
      <c r="AG612" s="444"/>
      <c r="AH612" s="444"/>
      <c r="AI612" s="444">
        <v>1</v>
      </c>
      <c r="AJ612" s="444">
        <v>1</v>
      </c>
      <c r="AK612" s="444"/>
      <c r="AL612" s="444"/>
      <c r="AM612" s="446">
        <v>2</v>
      </c>
      <c r="AN612" s="447">
        <v>2</v>
      </c>
      <c r="AO612" s="444" t="s">
        <v>473</v>
      </c>
      <c r="AP612" s="444" t="s">
        <v>851</v>
      </c>
      <c r="AQ612" s="444" t="s">
        <v>1304</v>
      </c>
      <c r="AR612" s="444" t="s">
        <v>1306</v>
      </c>
      <c r="AS612" s="444" t="s">
        <v>1306</v>
      </c>
      <c r="AT612" s="448">
        <v>0</v>
      </c>
      <c r="AU612" s="448">
        <v>0</v>
      </c>
      <c r="AV612" s="425">
        <v>0</v>
      </c>
      <c r="AW612" s="449">
        <v>2</v>
      </c>
      <c r="AX612" s="450">
        <v>0</v>
      </c>
      <c r="AY612" s="450">
        <v>0</v>
      </c>
      <c r="AZ612" s="450">
        <v>0</v>
      </c>
      <c r="BA612" s="450">
        <v>0</v>
      </c>
    </row>
    <row r="613" spans="1:53" s="425" customFormat="1" hidden="1">
      <c r="A613" s="444">
        <v>275</v>
      </c>
      <c r="B613" s="444" t="s">
        <v>390</v>
      </c>
      <c r="C613" s="444">
        <v>3303</v>
      </c>
      <c r="D613" s="444" t="s">
        <v>1493</v>
      </c>
      <c r="E613" s="425" t="s">
        <v>1013</v>
      </c>
      <c r="F613" s="444"/>
      <c r="G613" s="444"/>
      <c r="H613" s="444"/>
      <c r="I613" s="444"/>
      <c r="J613" s="444"/>
      <c r="K613" s="444"/>
      <c r="L613" s="444"/>
      <c r="M613" s="444"/>
      <c r="N613" s="444"/>
      <c r="O613" s="444"/>
      <c r="P613" s="444"/>
      <c r="Q613" s="444"/>
      <c r="R613" s="444"/>
      <c r="S613" s="444">
        <v>1</v>
      </c>
      <c r="T613" s="444"/>
      <c r="U613" s="444"/>
      <c r="V613" s="445">
        <v>1</v>
      </c>
      <c r="W613" s="444"/>
      <c r="X613" s="444"/>
      <c r="Y613" s="444"/>
      <c r="Z613" s="444"/>
      <c r="AA613" s="444"/>
      <c r="AB613" s="444"/>
      <c r="AC613" s="444"/>
      <c r="AD613" s="444"/>
      <c r="AE613" s="444"/>
      <c r="AF613" s="444"/>
      <c r="AG613" s="444"/>
      <c r="AH613" s="444"/>
      <c r="AI613" s="444"/>
      <c r="AJ613" s="444">
        <v>1</v>
      </c>
      <c r="AK613" s="444"/>
      <c r="AL613" s="444"/>
      <c r="AM613" s="446">
        <v>1</v>
      </c>
      <c r="AN613" s="447">
        <v>1</v>
      </c>
      <c r="AO613" s="444" t="s">
        <v>473</v>
      </c>
      <c r="AP613" s="444" t="s">
        <v>1433</v>
      </c>
      <c r="AQ613" s="444" t="s">
        <v>1304</v>
      </c>
      <c r="AR613" s="444" t="s">
        <v>1306</v>
      </c>
      <c r="AS613" s="444" t="s">
        <v>1306</v>
      </c>
      <c r="AT613" s="448">
        <v>1</v>
      </c>
      <c r="AU613" s="448">
        <v>0</v>
      </c>
      <c r="AV613" s="425">
        <v>0</v>
      </c>
      <c r="AW613" s="449">
        <v>0</v>
      </c>
      <c r="AX613" s="450">
        <v>0</v>
      </c>
      <c r="AY613" s="450">
        <v>0</v>
      </c>
      <c r="AZ613" s="450">
        <v>0</v>
      </c>
      <c r="BA613" s="450">
        <v>0</v>
      </c>
    </row>
    <row r="614" spans="1:53" s="425" customFormat="1" hidden="1">
      <c r="A614" s="444">
        <v>275</v>
      </c>
      <c r="B614" s="444" t="s">
        <v>390</v>
      </c>
      <c r="C614" s="444">
        <v>3304</v>
      </c>
      <c r="D614" s="444" t="s">
        <v>1494</v>
      </c>
      <c r="E614" s="425" t="s">
        <v>1013</v>
      </c>
      <c r="F614" s="444"/>
      <c r="G614" s="444"/>
      <c r="H614" s="444"/>
      <c r="I614" s="444"/>
      <c r="J614" s="444"/>
      <c r="K614" s="444"/>
      <c r="L614" s="444"/>
      <c r="M614" s="444"/>
      <c r="N614" s="444"/>
      <c r="O614" s="444"/>
      <c r="P614" s="444"/>
      <c r="Q614" s="444"/>
      <c r="R614" s="444"/>
      <c r="S614" s="444"/>
      <c r="T614" s="444">
        <v>2</v>
      </c>
      <c r="U614" s="444"/>
      <c r="V614" s="445">
        <v>2</v>
      </c>
      <c r="W614" s="444"/>
      <c r="X614" s="444"/>
      <c r="Y614" s="444"/>
      <c r="Z614" s="444"/>
      <c r="AA614" s="444"/>
      <c r="AB614" s="444"/>
      <c r="AC614" s="444"/>
      <c r="AD614" s="444"/>
      <c r="AE614" s="444"/>
      <c r="AF614" s="444"/>
      <c r="AG614" s="444"/>
      <c r="AH614" s="444"/>
      <c r="AI614" s="444"/>
      <c r="AJ614" s="444"/>
      <c r="AK614" s="444">
        <v>2</v>
      </c>
      <c r="AL614" s="444"/>
      <c r="AM614" s="446">
        <v>2</v>
      </c>
      <c r="AN614" s="447">
        <v>2</v>
      </c>
      <c r="AO614" s="444" t="s">
        <v>473</v>
      </c>
      <c r="AP614" s="444" t="s">
        <v>852</v>
      </c>
      <c r="AQ614" s="444" t="s">
        <v>1304</v>
      </c>
      <c r="AR614" s="444" t="s">
        <v>1306</v>
      </c>
      <c r="AS614" s="444" t="s">
        <v>1306</v>
      </c>
      <c r="AT614" s="448">
        <v>1</v>
      </c>
      <c r="AU614" s="448">
        <v>0</v>
      </c>
      <c r="AV614" s="425">
        <v>0</v>
      </c>
      <c r="AW614" s="449">
        <v>1</v>
      </c>
      <c r="AX614" s="450">
        <v>0</v>
      </c>
      <c r="AY614" s="450">
        <v>0</v>
      </c>
      <c r="AZ614" s="450">
        <v>0</v>
      </c>
      <c r="BA614" s="450">
        <v>0</v>
      </c>
    </row>
    <row r="615" spans="1:53" s="425" customFormat="1" hidden="1">
      <c r="A615" s="444">
        <v>275</v>
      </c>
      <c r="B615" s="444" t="s">
        <v>390</v>
      </c>
      <c r="C615" s="444">
        <v>3305</v>
      </c>
      <c r="D615" s="444" t="s">
        <v>1024</v>
      </c>
      <c r="E615" s="425" t="s">
        <v>1013</v>
      </c>
      <c r="F615" s="444"/>
      <c r="G615" s="444"/>
      <c r="H615" s="444"/>
      <c r="I615" s="444"/>
      <c r="J615" s="444"/>
      <c r="K615" s="444"/>
      <c r="L615" s="444"/>
      <c r="M615" s="444"/>
      <c r="N615" s="444"/>
      <c r="O615" s="444"/>
      <c r="P615" s="444"/>
      <c r="Q615" s="444"/>
      <c r="R615" s="444">
        <v>1</v>
      </c>
      <c r="S615" s="444">
        <v>1</v>
      </c>
      <c r="T615" s="444">
        <v>1</v>
      </c>
      <c r="U615" s="444"/>
      <c r="V615" s="445">
        <v>3</v>
      </c>
      <c r="W615" s="444"/>
      <c r="X615" s="444"/>
      <c r="Y615" s="444"/>
      <c r="Z615" s="444"/>
      <c r="AA615" s="444"/>
      <c r="AB615" s="444"/>
      <c r="AC615" s="444"/>
      <c r="AD615" s="444"/>
      <c r="AE615" s="444"/>
      <c r="AF615" s="444"/>
      <c r="AG615" s="444"/>
      <c r="AH615" s="444"/>
      <c r="AI615" s="444">
        <v>1</v>
      </c>
      <c r="AJ615" s="444">
        <v>1</v>
      </c>
      <c r="AK615" s="444">
        <v>1</v>
      </c>
      <c r="AL615" s="444"/>
      <c r="AM615" s="446">
        <v>3</v>
      </c>
      <c r="AN615" s="447">
        <v>3</v>
      </c>
      <c r="AO615" s="444" t="s">
        <v>473</v>
      </c>
      <c r="AP615" s="444" t="s">
        <v>1233</v>
      </c>
      <c r="AQ615" s="444" t="s">
        <v>1304</v>
      </c>
      <c r="AR615" s="444" t="s">
        <v>1306</v>
      </c>
      <c r="AS615" s="444" t="s">
        <v>1306</v>
      </c>
      <c r="AT615" s="448">
        <v>2</v>
      </c>
      <c r="AU615" s="448">
        <v>0</v>
      </c>
      <c r="AV615" s="425">
        <v>0</v>
      </c>
      <c r="AW615" s="449">
        <v>0</v>
      </c>
      <c r="AX615" s="450">
        <v>1</v>
      </c>
      <c r="AY615" s="450">
        <v>0</v>
      </c>
      <c r="AZ615" s="450">
        <v>0</v>
      </c>
      <c r="BA615" s="450">
        <v>0</v>
      </c>
    </row>
    <row r="616" spans="1:53" s="425" customFormat="1" hidden="1">
      <c r="A616" s="444">
        <v>275</v>
      </c>
      <c r="B616" s="444" t="s">
        <v>390</v>
      </c>
      <c r="C616" s="444">
        <v>3310</v>
      </c>
      <c r="D616" s="444" t="s">
        <v>1045</v>
      </c>
      <c r="E616" s="425" t="s">
        <v>1013</v>
      </c>
      <c r="F616" s="444"/>
      <c r="G616" s="444"/>
      <c r="H616" s="444"/>
      <c r="I616" s="444"/>
      <c r="J616" s="444"/>
      <c r="K616" s="444"/>
      <c r="L616" s="444"/>
      <c r="M616" s="444"/>
      <c r="N616" s="444"/>
      <c r="O616" s="444">
        <v>1</v>
      </c>
      <c r="P616" s="444"/>
      <c r="Q616" s="444">
        <v>2</v>
      </c>
      <c r="R616" s="444">
        <v>1</v>
      </c>
      <c r="S616" s="444">
        <v>3</v>
      </c>
      <c r="T616" s="444"/>
      <c r="U616" s="444"/>
      <c r="V616" s="445">
        <v>7</v>
      </c>
      <c r="W616" s="444"/>
      <c r="X616" s="444"/>
      <c r="Y616" s="444"/>
      <c r="Z616" s="444"/>
      <c r="AA616" s="444"/>
      <c r="AB616" s="444"/>
      <c r="AC616" s="444"/>
      <c r="AD616" s="444"/>
      <c r="AE616" s="444"/>
      <c r="AF616" s="444">
        <v>1</v>
      </c>
      <c r="AG616" s="444"/>
      <c r="AH616" s="444">
        <v>2</v>
      </c>
      <c r="AI616" s="444">
        <v>1</v>
      </c>
      <c r="AJ616" s="444">
        <v>3</v>
      </c>
      <c r="AK616" s="444"/>
      <c r="AL616" s="444"/>
      <c r="AM616" s="446">
        <v>7</v>
      </c>
      <c r="AN616" s="447">
        <v>7</v>
      </c>
      <c r="AO616" s="444" t="s">
        <v>473</v>
      </c>
      <c r="AP616" s="444" t="s">
        <v>1233</v>
      </c>
      <c r="AQ616" s="444" t="s">
        <v>1304</v>
      </c>
      <c r="AR616" s="444" t="s">
        <v>1306</v>
      </c>
      <c r="AS616" s="444" t="s">
        <v>1306</v>
      </c>
      <c r="AT616" s="448">
        <v>5</v>
      </c>
      <c r="AU616" s="448">
        <v>0</v>
      </c>
      <c r="AV616" s="425">
        <v>0</v>
      </c>
      <c r="AW616" s="449">
        <v>0</v>
      </c>
      <c r="AX616" s="450">
        <v>2</v>
      </c>
      <c r="AY616" s="450">
        <v>0</v>
      </c>
      <c r="AZ616" s="450">
        <v>0</v>
      </c>
      <c r="BA616" s="450">
        <v>0</v>
      </c>
    </row>
    <row r="617" spans="1:53" s="425" customFormat="1" hidden="1">
      <c r="A617" s="444">
        <v>275</v>
      </c>
      <c r="B617" s="444" t="s">
        <v>390</v>
      </c>
      <c r="C617" s="444">
        <v>3313</v>
      </c>
      <c r="D617" s="444" t="s">
        <v>1495</v>
      </c>
      <c r="E617" s="425" t="s">
        <v>1013</v>
      </c>
      <c r="F617" s="444"/>
      <c r="G617" s="444"/>
      <c r="H617" s="444"/>
      <c r="I617" s="444"/>
      <c r="J617" s="444"/>
      <c r="K617" s="444"/>
      <c r="L617" s="444"/>
      <c r="M617" s="444"/>
      <c r="N617" s="444"/>
      <c r="O617" s="444"/>
      <c r="P617" s="444"/>
      <c r="Q617" s="444"/>
      <c r="R617" s="444"/>
      <c r="S617" s="444">
        <v>1</v>
      </c>
      <c r="T617" s="444"/>
      <c r="U617" s="444"/>
      <c r="V617" s="445">
        <v>1</v>
      </c>
      <c r="W617" s="444"/>
      <c r="X617" s="444"/>
      <c r="Y617" s="444"/>
      <c r="Z617" s="444"/>
      <c r="AA617" s="444"/>
      <c r="AB617" s="444"/>
      <c r="AC617" s="444"/>
      <c r="AD617" s="444"/>
      <c r="AE617" s="444"/>
      <c r="AF617" s="444"/>
      <c r="AG617" s="444"/>
      <c r="AH617" s="444"/>
      <c r="AI617" s="444"/>
      <c r="AJ617" s="444">
        <v>1</v>
      </c>
      <c r="AK617" s="444"/>
      <c r="AL617" s="444"/>
      <c r="AM617" s="446">
        <v>1</v>
      </c>
      <c r="AN617" s="447">
        <v>1</v>
      </c>
      <c r="AO617" s="444" t="s">
        <v>473</v>
      </c>
      <c r="AP617" s="444" t="s">
        <v>868</v>
      </c>
      <c r="AQ617" s="444" t="s">
        <v>1304</v>
      </c>
      <c r="AR617" s="444" t="s">
        <v>1306</v>
      </c>
      <c r="AS617" s="444" t="s">
        <v>1306</v>
      </c>
      <c r="AT617" s="448">
        <v>1</v>
      </c>
      <c r="AU617" s="448">
        <v>0</v>
      </c>
      <c r="AV617" s="425">
        <v>0</v>
      </c>
      <c r="AW617" s="449">
        <v>0</v>
      </c>
      <c r="AX617" s="450">
        <v>0</v>
      </c>
      <c r="AY617" s="450">
        <v>0</v>
      </c>
      <c r="AZ617" s="450">
        <v>0</v>
      </c>
      <c r="BA617" s="450">
        <v>0</v>
      </c>
    </row>
    <row r="618" spans="1:53" s="425" customFormat="1" hidden="1">
      <c r="A618" s="444">
        <v>275</v>
      </c>
      <c r="B618" s="444" t="s">
        <v>390</v>
      </c>
      <c r="C618" s="444">
        <v>3324</v>
      </c>
      <c r="D618" s="444" t="s">
        <v>1496</v>
      </c>
      <c r="E618" s="425" t="s">
        <v>1013</v>
      </c>
      <c r="F618" s="444">
        <v>0.5</v>
      </c>
      <c r="G618" s="444">
        <v>1</v>
      </c>
      <c r="H618" s="444"/>
      <c r="I618" s="444">
        <v>1</v>
      </c>
      <c r="J618" s="444">
        <v>1</v>
      </c>
      <c r="K618" s="444">
        <v>3</v>
      </c>
      <c r="L618" s="444"/>
      <c r="M618" s="444">
        <v>1</v>
      </c>
      <c r="N618" s="444"/>
      <c r="O618" s="444"/>
      <c r="P618" s="444"/>
      <c r="Q618" s="444"/>
      <c r="R618" s="444"/>
      <c r="S618" s="444"/>
      <c r="T618" s="444"/>
      <c r="U618" s="444"/>
      <c r="V618" s="445">
        <v>7.5</v>
      </c>
      <c r="W618" s="444">
        <v>1</v>
      </c>
      <c r="X618" s="444">
        <v>2</v>
      </c>
      <c r="Y618" s="444"/>
      <c r="Z618" s="444">
        <v>1</v>
      </c>
      <c r="AA618" s="444">
        <v>1</v>
      </c>
      <c r="AB618" s="444">
        <v>3</v>
      </c>
      <c r="AC618" s="444"/>
      <c r="AD618" s="444">
        <v>1</v>
      </c>
      <c r="AE618" s="444"/>
      <c r="AF618" s="444"/>
      <c r="AG618" s="444"/>
      <c r="AH618" s="444"/>
      <c r="AI618" s="444"/>
      <c r="AJ618" s="444"/>
      <c r="AK618" s="444"/>
      <c r="AL618" s="444"/>
      <c r="AM618" s="446">
        <v>9</v>
      </c>
      <c r="AN618" s="447">
        <v>9</v>
      </c>
      <c r="AO618" s="444" t="s">
        <v>473</v>
      </c>
      <c r="AP618" s="444" t="s">
        <v>1463</v>
      </c>
      <c r="AQ618" s="444" t="s">
        <v>1304</v>
      </c>
      <c r="AR618" s="444" t="s">
        <v>1297</v>
      </c>
      <c r="AS618" s="444" t="s">
        <v>1297</v>
      </c>
      <c r="AT618" s="448">
        <v>0</v>
      </c>
      <c r="AU618" s="448">
        <v>0</v>
      </c>
      <c r="AV618" s="425">
        <v>0</v>
      </c>
      <c r="AW618" s="449">
        <v>0</v>
      </c>
      <c r="AX618" s="450">
        <v>0</v>
      </c>
      <c r="AY618" s="450">
        <v>0</v>
      </c>
      <c r="AZ618" s="450">
        <v>0</v>
      </c>
      <c r="BA618" s="450">
        <v>0</v>
      </c>
    </row>
    <row r="619" spans="1:53" s="425" customFormat="1" hidden="1">
      <c r="A619" s="444">
        <v>275</v>
      </c>
      <c r="B619" s="444" t="s">
        <v>390</v>
      </c>
      <c r="C619" s="444">
        <v>3330</v>
      </c>
      <c r="D619" s="444" t="s">
        <v>1012</v>
      </c>
      <c r="E619" s="425" t="s">
        <v>1013</v>
      </c>
      <c r="F619" s="444"/>
      <c r="G619" s="444"/>
      <c r="H619" s="444"/>
      <c r="I619" s="444"/>
      <c r="J619" s="444"/>
      <c r="K619" s="444"/>
      <c r="L619" s="444"/>
      <c r="M619" s="444"/>
      <c r="N619" s="444"/>
      <c r="O619" s="444"/>
      <c r="P619" s="444"/>
      <c r="Q619" s="444"/>
      <c r="R619" s="444">
        <v>3</v>
      </c>
      <c r="S619" s="444">
        <v>1</v>
      </c>
      <c r="T619" s="444">
        <v>1</v>
      </c>
      <c r="U619" s="444"/>
      <c r="V619" s="445">
        <v>5</v>
      </c>
      <c r="W619" s="444"/>
      <c r="X619" s="444"/>
      <c r="Y619" s="444"/>
      <c r="Z619" s="444"/>
      <c r="AA619" s="444"/>
      <c r="AB619" s="444"/>
      <c r="AC619" s="444"/>
      <c r="AD619" s="444"/>
      <c r="AE619" s="444"/>
      <c r="AF619" s="444"/>
      <c r="AG619" s="444"/>
      <c r="AH619" s="444"/>
      <c r="AI619" s="444">
        <v>3</v>
      </c>
      <c r="AJ619" s="444">
        <v>1</v>
      </c>
      <c r="AK619" s="444">
        <v>1</v>
      </c>
      <c r="AL619" s="444"/>
      <c r="AM619" s="446">
        <v>5</v>
      </c>
      <c r="AN619" s="447">
        <v>5</v>
      </c>
      <c r="AO619" s="444" t="s">
        <v>473</v>
      </c>
      <c r="AP619" s="444" t="s">
        <v>1405</v>
      </c>
      <c r="AQ619" s="444" t="s">
        <v>1304</v>
      </c>
      <c r="AR619" s="444" t="s">
        <v>1306</v>
      </c>
      <c r="AS619" s="444" t="s">
        <v>1306</v>
      </c>
      <c r="AT619" s="448">
        <v>3</v>
      </c>
      <c r="AU619" s="448">
        <v>0</v>
      </c>
      <c r="AV619" s="425">
        <v>0</v>
      </c>
      <c r="AW619" s="449">
        <v>0</v>
      </c>
      <c r="AX619" s="450">
        <v>2</v>
      </c>
      <c r="AY619" s="450">
        <v>0</v>
      </c>
      <c r="AZ619" s="450">
        <v>0</v>
      </c>
      <c r="BA619" s="450">
        <v>0</v>
      </c>
    </row>
    <row r="620" spans="1:53" s="425" customFormat="1" hidden="1">
      <c r="A620" s="444">
        <v>275</v>
      </c>
      <c r="B620" s="444" t="s">
        <v>390</v>
      </c>
      <c r="C620" s="444">
        <v>3342</v>
      </c>
      <c r="D620" s="444" t="s">
        <v>1057</v>
      </c>
      <c r="E620" s="425" t="s">
        <v>1013</v>
      </c>
      <c r="F620" s="444"/>
      <c r="G620" s="444"/>
      <c r="H620" s="444"/>
      <c r="I620" s="444"/>
      <c r="J620" s="444"/>
      <c r="K620" s="444"/>
      <c r="L620" s="444"/>
      <c r="M620" s="444"/>
      <c r="N620" s="444"/>
      <c r="O620" s="444"/>
      <c r="P620" s="444"/>
      <c r="Q620" s="444"/>
      <c r="R620" s="444">
        <v>1</v>
      </c>
      <c r="S620" s="444"/>
      <c r="T620" s="444">
        <v>1</v>
      </c>
      <c r="U620" s="444"/>
      <c r="V620" s="445">
        <v>2</v>
      </c>
      <c r="W620" s="444"/>
      <c r="X620" s="444"/>
      <c r="Y620" s="444"/>
      <c r="Z620" s="444"/>
      <c r="AA620" s="444"/>
      <c r="AB620" s="444"/>
      <c r="AC620" s="444"/>
      <c r="AD620" s="444"/>
      <c r="AE620" s="444"/>
      <c r="AF620" s="444"/>
      <c r="AG620" s="444"/>
      <c r="AH620" s="444"/>
      <c r="AI620" s="444">
        <v>1</v>
      </c>
      <c r="AJ620" s="444"/>
      <c r="AK620" s="444">
        <v>1</v>
      </c>
      <c r="AL620" s="444"/>
      <c r="AM620" s="446">
        <v>2</v>
      </c>
      <c r="AN620" s="447">
        <v>2</v>
      </c>
      <c r="AO620" s="444" t="s">
        <v>473</v>
      </c>
      <c r="AP620" s="444" t="s">
        <v>1388</v>
      </c>
      <c r="AQ620" s="444" t="s">
        <v>1304</v>
      </c>
      <c r="AR620" s="444" t="s">
        <v>1306</v>
      </c>
      <c r="AS620" s="444" t="s">
        <v>1306</v>
      </c>
      <c r="AT620" s="448">
        <v>1</v>
      </c>
      <c r="AU620" s="448">
        <v>0</v>
      </c>
      <c r="AV620" s="425">
        <v>0</v>
      </c>
      <c r="AW620" s="449">
        <v>0</v>
      </c>
      <c r="AX620" s="450">
        <v>1</v>
      </c>
      <c r="AY620" s="450">
        <v>0</v>
      </c>
      <c r="AZ620" s="450">
        <v>0</v>
      </c>
      <c r="BA620" s="450">
        <v>0</v>
      </c>
    </row>
    <row r="621" spans="1:53" s="425" customFormat="1" hidden="1">
      <c r="A621" s="444">
        <v>275</v>
      </c>
      <c r="B621" s="444" t="s">
        <v>390</v>
      </c>
      <c r="C621" s="444">
        <v>3343</v>
      </c>
      <c r="D621" s="444" t="s">
        <v>1473</v>
      </c>
      <c r="E621" s="425" t="s">
        <v>1013</v>
      </c>
      <c r="F621" s="444"/>
      <c r="G621" s="444"/>
      <c r="H621" s="444"/>
      <c r="I621" s="444"/>
      <c r="J621" s="444"/>
      <c r="K621" s="444"/>
      <c r="L621" s="444"/>
      <c r="M621" s="444"/>
      <c r="N621" s="444"/>
      <c r="O621" s="444"/>
      <c r="P621" s="444"/>
      <c r="Q621" s="444"/>
      <c r="R621" s="444">
        <v>1</v>
      </c>
      <c r="S621" s="444"/>
      <c r="T621" s="444"/>
      <c r="U621" s="444"/>
      <c r="V621" s="445">
        <v>1</v>
      </c>
      <c r="W621" s="444"/>
      <c r="X621" s="444"/>
      <c r="Y621" s="444"/>
      <c r="Z621" s="444"/>
      <c r="AA621" s="444"/>
      <c r="AB621" s="444"/>
      <c r="AC621" s="444"/>
      <c r="AD621" s="444"/>
      <c r="AE621" s="444"/>
      <c r="AF621" s="444"/>
      <c r="AG621" s="444"/>
      <c r="AH621" s="444"/>
      <c r="AI621" s="444">
        <v>1</v>
      </c>
      <c r="AJ621" s="444"/>
      <c r="AK621" s="444"/>
      <c r="AL621" s="444"/>
      <c r="AM621" s="446">
        <v>1</v>
      </c>
      <c r="AN621" s="447">
        <v>1</v>
      </c>
      <c r="AO621" s="444" t="s">
        <v>473</v>
      </c>
      <c r="AP621" s="444" t="s">
        <v>1388</v>
      </c>
      <c r="AQ621" s="444" t="s">
        <v>1304</v>
      </c>
      <c r="AR621" s="444" t="s">
        <v>1306</v>
      </c>
      <c r="AS621" s="444" t="s">
        <v>1306</v>
      </c>
      <c r="AT621" s="448">
        <v>1</v>
      </c>
      <c r="AU621" s="448">
        <v>0</v>
      </c>
      <c r="AV621" s="425">
        <v>0</v>
      </c>
      <c r="AW621" s="449">
        <v>0</v>
      </c>
      <c r="AX621" s="450">
        <v>0</v>
      </c>
      <c r="AY621" s="450">
        <v>0</v>
      </c>
      <c r="AZ621" s="450">
        <v>0</v>
      </c>
      <c r="BA621" s="450">
        <v>0</v>
      </c>
    </row>
    <row r="622" spans="1:53" s="425" customFormat="1" hidden="1">
      <c r="A622" s="444">
        <v>275</v>
      </c>
      <c r="B622" s="444" t="s">
        <v>390</v>
      </c>
      <c r="C622" s="444">
        <v>3350</v>
      </c>
      <c r="D622" s="444" t="s">
        <v>1059</v>
      </c>
      <c r="E622" s="425" t="s">
        <v>1013</v>
      </c>
      <c r="F622" s="444"/>
      <c r="G622" s="444"/>
      <c r="H622" s="444"/>
      <c r="I622" s="444"/>
      <c r="J622" s="444"/>
      <c r="K622" s="444"/>
      <c r="L622" s="444"/>
      <c r="M622" s="444"/>
      <c r="N622" s="444"/>
      <c r="O622" s="444"/>
      <c r="P622" s="444"/>
      <c r="Q622" s="444"/>
      <c r="R622" s="444">
        <v>1</v>
      </c>
      <c r="S622" s="444"/>
      <c r="T622" s="444">
        <v>1</v>
      </c>
      <c r="U622" s="444"/>
      <c r="V622" s="445">
        <v>2</v>
      </c>
      <c r="W622" s="444"/>
      <c r="X622" s="444"/>
      <c r="Y622" s="444"/>
      <c r="Z622" s="444"/>
      <c r="AA622" s="444"/>
      <c r="AB622" s="444"/>
      <c r="AC622" s="444"/>
      <c r="AD622" s="444"/>
      <c r="AE622" s="444"/>
      <c r="AF622" s="444"/>
      <c r="AG622" s="444"/>
      <c r="AH622" s="444"/>
      <c r="AI622" s="444">
        <v>1</v>
      </c>
      <c r="AJ622" s="444"/>
      <c r="AK622" s="444">
        <v>1</v>
      </c>
      <c r="AL622" s="444"/>
      <c r="AM622" s="446">
        <v>2</v>
      </c>
      <c r="AN622" s="447">
        <v>2</v>
      </c>
      <c r="AO622" s="444" t="s">
        <v>473</v>
      </c>
      <c r="AP622" s="444" t="s">
        <v>845</v>
      </c>
      <c r="AQ622" s="444" t="s">
        <v>1304</v>
      </c>
      <c r="AR622" s="444" t="s">
        <v>1306</v>
      </c>
      <c r="AS622" s="444" t="s">
        <v>1306</v>
      </c>
      <c r="AT622" s="448">
        <v>0</v>
      </c>
      <c r="AU622" s="448">
        <v>0</v>
      </c>
      <c r="AV622" s="425">
        <v>0</v>
      </c>
      <c r="AW622" s="449">
        <v>1</v>
      </c>
      <c r="AX622" s="450">
        <v>0</v>
      </c>
      <c r="AY622" s="450">
        <v>0</v>
      </c>
      <c r="AZ622" s="450">
        <v>0</v>
      </c>
      <c r="BA622" s="450">
        <v>1</v>
      </c>
    </row>
    <row r="623" spans="1:53" s="425" customFormat="1" hidden="1">
      <c r="A623" s="444">
        <v>275</v>
      </c>
      <c r="B623" s="444" t="s">
        <v>390</v>
      </c>
      <c r="C623" s="444">
        <v>3362</v>
      </c>
      <c r="D623" s="444" t="s">
        <v>1061</v>
      </c>
      <c r="E623" s="425" t="s">
        <v>1013</v>
      </c>
      <c r="F623" s="444"/>
      <c r="G623" s="444"/>
      <c r="H623" s="444"/>
      <c r="I623" s="444"/>
      <c r="J623" s="444"/>
      <c r="K623" s="444"/>
      <c r="L623" s="444"/>
      <c r="M623" s="444"/>
      <c r="N623" s="444"/>
      <c r="O623" s="444"/>
      <c r="P623" s="444"/>
      <c r="Q623" s="444"/>
      <c r="R623" s="444">
        <v>1</v>
      </c>
      <c r="S623" s="444">
        <v>1</v>
      </c>
      <c r="T623" s="444">
        <v>1</v>
      </c>
      <c r="U623" s="444"/>
      <c r="V623" s="445">
        <v>3</v>
      </c>
      <c r="W623" s="444"/>
      <c r="X623" s="444"/>
      <c r="Y623" s="444"/>
      <c r="Z623" s="444"/>
      <c r="AA623" s="444"/>
      <c r="AB623" s="444"/>
      <c r="AC623" s="444"/>
      <c r="AD623" s="444"/>
      <c r="AE623" s="444"/>
      <c r="AF623" s="444"/>
      <c r="AG623" s="444"/>
      <c r="AH623" s="444"/>
      <c r="AI623" s="444">
        <v>1</v>
      </c>
      <c r="AJ623" s="444">
        <v>1</v>
      </c>
      <c r="AK623" s="444">
        <v>1</v>
      </c>
      <c r="AL623" s="444"/>
      <c r="AM623" s="446">
        <v>3</v>
      </c>
      <c r="AN623" s="447">
        <v>3</v>
      </c>
      <c r="AO623" s="444" t="s">
        <v>473</v>
      </c>
      <c r="AP623" s="444" t="s">
        <v>1233</v>
      </c>
      <c r="AQ623" s="444" t="s">
        <v>1304</v>
      </c>
      <c r="AR623" s="444" t="s">
        <v>1306</v>
      </c>
      <c r="AS623" s="444" t="s">
        <v>1306</v>
      </c>
      <c r="AT623" s="448">
        <v>1</v>
      </c>
      <c r="AU623" s="448">
        <v>0</v>
      </c>
      <c r="AV623" s="425">
        <v>0</v>
      </c>
      <c r="AW623" s="449">
        <v>0</v>
      </c>
      <c r="AX623" s="452">
        <v>2</v>
      </c>
      <c r="AY623" s="450">
        <v>0</v>
      </c>
      <c r="AZ623" s="450">
        <v>0</v>
      </c>
      <c r="BA623" s="450">
        <v>0</v>
      </c>
    </row>
    <row r="624" spans="1:53" s="425" customFormat="1" hidden="1">
      <c r="A624" s="444">
        <v>275</v>
      </c>
      <c r="B624" s="444" t="s">
        <v>390</v>
      </c>
      <c r="C624" s="444">
        <v>3372</v>
      </c>
      <c r="D624" s="444" t="s">
        <v>976</v>
      </c>
      <c r="E624" s="425" t="s">
        <v>1013</v>
      </c>
      <c r="F624" s="444"/>
      <c r="G624" s="444"/>
      <c r="H624" s="444"/>
      <c r="I624" s="444"/>
      <c r="J624" s="444"/>
      <c r="K624" s="444"/>
      <c r="L624" s="444"/>
      <c r="M624" s="444"/>
      <c r="N624" s="444"/>
      <c r="O624" s="444"/>
      <c r="P624" s="444"/>
      <c r="Q624" s="444"/>
      <c r="R624" s="444">
        <v>1</v>
      </c>
      <c r="S624" s="444"/>
      <c r="T624" s="444">
        <v>2</v>
      </c>
      <c r="U624" s="444"/>
      <c r="V624" s="445">
        <v>3</v>
      </c>
      <c r="W624" s="444"/>
      <c r="X624" s="444"/>
      <c r="Y624" s="444"/>
      <c r="Z624" s="444"/>
      <c r="AA624" s="444"/>
      <c r="AB624" s="444"/>
      <c r="AC624" s="444"/>
      <c r="AD624" s="444"/>
      <c r="AE624" s="444"/>
      <c r="AF624" s="444"/>
      <c r="AG624" s="444"/>
      <c r="AH624" s="444"/>
      <c r="AI624" s="444">
        <v>1</v>
      </c>
      <c r="AJ624" s="444"/>
      <c r="AK624" s="444">
        <v>2</v>
      </c>
      <c r="AL624" s="444"/>
      <c r="AM624" s="446">
        <v>3</v>
      </c>
      <c r="AN624" s="447">
        <v>3</v>
      </c>
      <c r="AO624" s="444" t="s">
        <v>473</v>
      </c>
      <c r="AP624" s="444" t="s">
        <v>1405</v>
      </c>
      <c r="AQ624" s="444" t="s">
        <v>1304</v>
      </c>
      <c r="AR624" s="444" t="s">
        <v>1306</v>
      </c>
      <c r="AS624" s="444" t="s">
        <v>1306</v>
      </c>
      <c r="AT624" s="448">
        <v>2</v>
      </c>
      <c r="AU624" s="448">
        <v>0</v>
      </c>
      <c r="AV624" s="425">
        <v>0</v>
      </c>
      <c r="AW624" s="449">
        <v>0</v>
      </c>
      <c r="AX624" s="452">
        <v>1</v>
      </c>
      <c r="AY624" s="450">
        <v>0</v>
      </c>
      <c r="AZ624" s="450">
        <v>0</v>
      </c>
      <c r="BA624" s="450">
        <v>0</v>
      </c>
    </row>
    <row r="625" spans="1:53" s="425" customFormat="1" hidden="1">
      <c r="A625" s="444">
        <v>275</v>
      </c>
      <c r="B625" s="444" t="s">
        <v>390</v>
      </c>
      <c r="C625" s="444">
        <v>3379</v>
      </c>
      <c r="D625" s="444" t="s">
        <v>1051</v>
      </c>
      <c r="E625" s="425" t="s">
        <v>1013</v>
      </c>
      <c r="F625" s="444"/>
      <c r="G625" s="444"/>
      <c r="H625" s="444"/>
      <c r="I625" s="444"/>
      <c r="J625" s="444"/>
      <c r="K625" s="444"/>
      <c r="L625" s="444"/>
      <c r="M625" s="444"/>
      <c r="N625" s="444"/>
      <c r="O625" s="444">
        <v>1</v>
      </c>
      <c r="P625" s="444"/>
      <c r="Q625" s="444"/>
      <c r="R625" s="444"/>
      <c r="S625" s="444"/>
      <c r="T625" s="444">
        <v>1</v>
      </c>
      <c r="U625" s="444"/>
      <c r="V625" s="445">
        <v>2</v>
      </c>
      <c r="W625" s="444"/>
      <c r="X625" s="444"/>
      <c r="Y625" s="444"/>
      <c r="Z625" s="444"/>
      <c r="AA625" s="444"/>
      <c r="AB625" s="444"/>
      <c r="AC625" s="444"/>
      <c r="AD625" s="444"/>
      <c r="AE625" s="444"/>
      <c r="AF625" s="444">
        <v>1</v>
      </c>
      <c r="AG625" s="444"/>
      <c r="AH625" s="444"/>
      <c r="AI625" s="444"/>
      <c r="AJ625" s="444"/>
      <c r="AK625" s="444">
        <v>1</v>
      </c>
      <c r="AL625" s="444"/>
      <c r="AM625" s="446">
        <v>2</v>
      </c>
      <c r="AN625" s="447">
        <v>2</v>
      </c>
      <c r="AO625" s="444" t="s">
        <v>473</v>
      </c>
      <c r="AP625" s="444" t="s">
        <v>1233</v>
      </c>
      <c r="AQ625" s="444" t="s">
        <v>1304</v>
      </c>
      <c r="AR625" s="444" t="s">
        <v>1306</v>
      </c>
      <c r="AS625" s="444" t="s">
        <v>1306</v>
      </c>
      <c r="AT625" s="448">
        <v>1</v>
      </c>
      <c r="AU625" s="448">
        <v>0</v>
      </c>
      <c r="AV625" s="425">
        <v>0</v>
      </c>
      <c r="AW625" s="449">
        <v>0</v>
      </c>
      <c r="AX625" s="450">
        <v>1</v>
      </c>
      <c r="AY625" s="450">
        <v>0</v>
      </c>
      <c r="AZ625" s="450">
        <v>0</v>
      </c>
      <c r="BA625" s="450">
        <v>0</v>
      </c>
    </row>
    <row r="626" spans="1:53" s="425" customFormat="1" hidden="1">
      <c r="A626" s="444">
        <v>275</v>
      </c>
      <c r="B626" s="444" t="s">
        <v>390</v>
      </c>
      <c r="C626" s="444">
        <v>3400</v>
      </c>
      <c r="D626" s="444" t="s">
        <v>1064</v>
      </c>
      <c r="E626" s="425" t="s">
        <v>1013</v>
      </c>
      <c r="F626" s="444"/>
      <c r="G626" s="444"/>
      <c r="H626" s="444"/>
      <c r="I626" s="444"/>
      <c r="J626" s="444"/>
      <c r="K626" s="444"/>
      <c r="L626" s="444"/>
      <c r="M626" s="444"/>
      <c r="N626" s="444"/>
      <c r="O626" s="444"/>
      <c r="P626" s="444"/>
      <c r="Q626" s="444">
        <v>1</v>
      </c>
      <c r="R626" s="444">
        <v>1</v>
      </c>
      <c r="S626" s="444"/>
      <c r="T626" s="444">
        <v>1</v>
      </c>
      <c r="U626" s="444"/>
      <c r="V626" s="445">
        <v>3</v>
      </c>
      <c r="W626" s="444"/>
      <c r="X626" s="444"/>
      <c r="Y626" s="444"/>
      <c r="Z626" s="444"/>
      <c r="AA626" s="444"/>
      <c r="AB626" s="444"/>
      <c r="AC626" s="444"/>
      <c r="AD626" s="444"/>
      <c r="AE626" s="444"/>
      <c r="AF626" s="444"/>
      <c r="AG626" s="444"/>
      <c r="AH626" s="444">
        <v>1</v>
      </c>
      <c r="AI626" s="444">
        <v>1</v>
      </c>
      <c r="AJ626" s="444"/>
      <c r="AK626" s="444">
        <v>1</v>
      </c>
      <c r="AL626" s="444"/>
      <c r="AM626" s="446">
        <v>3</v>
      </c>
      <c r="AN626" s="447">
        <v>3</v>
      </c>
      <c r="AO626" s="444" t="s">
        <v>473</v>
      </c>
      <c r="AP626" s="444" t="s">
        <v>1388</v>
      </c>
      <c r="AQ626" s="444" t="s">
        <v>1304</v>
      </c>
      <c r="AR626" s="444" t="s">
        <v>1306</v>
      </c>
      <c r="AS626" s="444" t="s">
        <v>1306</v>
      </c>
      <c r="AT626" s="448">
        <v>2</v>
      </c>
      <c r="AU626" s="448">
        <v>0</v>
      </c>
      <c r="AV626" s="425">
        <v>0</v>
      </c>
      <c r="AW626" s="449">
        <v>0</v>
      </c>
      <c r="AX626" s="450">
        <v>1</v>
      </c>
      <c r="AY626" s="450">
        <v>0</v>
      </c>
      <c r="AZ626" s="450">
        <v>0</v>
      </c>
      <c r="BA626" s="450">
        <v>0</v>
      </c>
    </row>
    <row r="627" spans="1:53" s="425" customFormat="1" hidden="1">
      <c r="A627" s="444">
        <v>275</v>
      </c>
      <c r="B627" s="444" t="s">
        <v>390</v>
      </c>
      <c r="C627" s="444">
        <v>3460</v>
      </c>
      <c r="D627" s="444" t="s">
        <v>1497</v>
      </c>
      <c r="E627" s="425" t="s">
        <v>1013</v>
      </c>
      <c r="F627" s="444"/>
      <c r="G627" s="444"/>
      <c r="H627" s="444"/>
      <c r="I627" s="444"/>
      <c r="J627" s="444"/>
      <c r="K627" s="444"/>
      <c r="L627" s="444"/>
      <c r="M627" s="444"/>
      <c r="N627" s="444"/>
      <c r="O627" s="444"/>
      <c r="P627" s="444"/>
      <c r="Q627" s="444"/>
      <c r="R627" s="444">
        <v>4</v>
      </c>
      <c r="S627" s="444">
        <v>2</v>
      </c>
      <c r="T627" s="444">
        <v>2</v>
      </c>
      <c r="U627" s="444"/>
      <c r="V627" s="445">
        <v>8</v>
      </c>
      <c r="W627" s="444"/>
      <c r="X627" s="444"/>
      <c r="Y627" s="444"/>
      <c r="Z627" s="444"/>
      <c r="AA627" s="444"/>
      <c r="AB627" s="444"/>
      <c r="AC627" s="444"/>
      <c r="AD627" s="444"/>
      <c r="AE627" s="444"/>
      <c r="AF627" s="444"/>
      <c r="AG627" s="444"/>
      <c r="AH627" s="444"/>
      <c r="AI627" s="444">
        <v>4</v>
      </c>
      <c r="AJ627" s="444">
        <v>2</v>
      </c>
      <c r="AK627" s="444">
        <v>2</v>
      </c>
      <c r="AL627" s="444"/>
      <c r="AM627" s="446">
        <v>8</v>
      </c>
      <c r="AN627" s="447">
        <v>8</v>
      </c>
      <c r="AO627" s="444" t="s">
        <v>473</v>
      </c>
      <c r="AP627" s="444" t="s">
        <v>862</v>
      </c>
      <c r="AQ627" s="444" t="s">
        <v>1304</v>
      </c>
      <c r="AR627" s="444" t="s">
        <v>1306</v>
      </c>
      <c r="AS627" s="444" t="s">
        <v>1306</v>
      </c>
      <c r="AT627" s="448">
        <v>8</v>
      </c>
      <c r="AU627" s="448">
        <v>0</v>
      </c>
      <c r="AV627" s="425">
        <v>0</v>
      </c>
      <c r="AW627" s="449">
        <v>0</v>
      </c>
      <c r="AX627" s="450">
        <v>0</v>
      </c>
      <c r="AY627" s="450">
        <v>0</v>
      </c>
      <c r="AZ627" s="450">
        <v>0</v>
      </c>
      <c r="BA627" s="450">
        <v>0</v>
      </c>
    </row>
    <row r="628" spans="1:53" s="425" customFormat="1" hidden="1">
      <c r="A628" s="444">
        <v>275</v>
      </c>
      <c r="B628" s="444" t="s">
        <v>390</v>
      </c>
      <c r="C628" s="444">
        <v>3524</v>
      </c>
      <c r="D628" s="444" t="s">
        <v>1498</v>
      </c>
      <c r="E628" s="425" t="s">
        <v>1013</v>
      </c>
      <c r="F628" s="444"/>
      <c r="G628" s="444"/>
      <c r="H628" s="444"/>
      <c r="I628" s="444"/>
      <c r="J628" s="444"/>
      <c r="K628" s="444"/>
      <c r="L628" s="444"/>
      <c r="M628" s="444"/>
      <c r="N628" s="444"/>
      <c r="O628" s="444"/>
      <c r="P628" s="444"/>
      <c r="Q628" s="444">
        <v>1</v>
      </c>
      <c r="R628" s="444">
        <v>1</v>
      </c>
      <c r="S628" s="444"/>
      <c r="T628" s="444">
        <v>1</v>
      </c>
      <c r="U628" s="444"/>
      <c r="V628" s="445">
        <v>3</v>
      </c>
      <c r="W628" s="444"/>
      <c r="X628" s="444"/>
      <c r="Y628" s="444"/>
      <c r="Z628" s="444"/>
      <c r="AA628" s="444"/>
      <c r="AB628" s="444"/>
      <c r="AC628" s="444"/>
      <c r="AD628" s="444"/>
      <c r="AE628" s="444"/>
      <c r="AF628" s="444"/>
      <c r="AG628" s="444"/>
      <c r="AH628" s="444">
        <v>1</v>
      </c>
      <c r="AI628" s="444">
        <v>1</v>
      </c>
      <c r="AJ628" s="444"/>
      <c r="AK628" s="444">
        <v>1</v>
      </c>
      <c r="AL628" s="444"/>
      <c r="AM628" s="446">
        <v>3</v>
      </c>
      <c r="AN628" s="447">
        <v>3</v>
      </c>
      <c r="AO628" s="444" t="s">
        <v>473</v>
      </c>
      <c r="AP628" s="444" t="s">
        <v>862</v>
      </c>
      <c r="AQ628" s="444" t="s">
        <v>1304</v>
      </c>
      <c r="AR628" s="444" t="s">
        <v>1306</v>
      </c>
      <c r="AS628" s="444" t="s">
        <v>1306</v>
      </c>
      <c r="AT628" s="448">
        <v>3</v>
      </c>
      <c r="AU628" s="448">
        <v>0</v>
      </c>
      <c r="AV628" s="425">
        <v>0</v>
      </c>
      <c r="AW628" s="449">
        <v>0</v>
      </c>
      <c r="AX628" s="450">
        <v>0</v>
      </c>
      <c r="AY628" s="450">
        <v>0</v>
      </c>
      <c r="AZ628" s="450">
        <v>0</v>
      </c>
      <c r="BA628" s="450">
        <v>0</v>
      </c>
    </row>
    <row r="629" spans="1:53" s="425" customFormat="1" hidden="1">
      <c r="A629" s="444">
        <v>275</v>
      </c>
      <c r="B629" s="444" t="s">
        <v>390</v>
      </c>
      <c r="C629" s="444">
        <v>6003</v>
      </c>
      <c r="D629" s="444" t="s">
        <v>1066</v>
      </c>
      <c r="E629" s="425" t="s">
        <v>1013</v>
      </c>
      <c r="F629" s="444"/>
      <c r="G629" s="444"/>
      <c r="H629" s="444"/>
      <c r="I629" s="444"/>
      <c r="J629" s="444"/>
      <c r="K629" s="444"/>
      <c r="L629" s="444"/>
      <c r="M629" s="444"/>
      <c r="N629" s="444"/>
      <c r="O629" s="444"/>
      <c r="P629" s="444"/>
      <c r="Q629" s="444"/>
      <c r="R629" s="444"/>
      <c r="S629" s="444"/>
      <c r="T629" s="444">
        <v>1</v>
      </c>
      <c r="U629" s="444"/>
      <c r="V629" s="445">
        <v>1</v>
      </c>
      <c r="W629" s="444"/>
      <c r="X629" s="444"/>
      <c r="Y629" s="444"/>
      <c r="Z629" s="444"/>
      <c r="AA629" s="444"/>
      <c r="AB629" s="444"/>
      <c r="AC629" s="444"/>
      <c r="AD629" s="444"/>
      <c r="AE629" s="444"/>
      <c r="AF629" s="444"/>
      <c r="AG629" s="444"/>
      <c r="AH629" s="444"/>
      <c r="AI629" s="444"/>
      <c r="AJ629" s="444"/>
      <c r="AK629" s="444">
        <v>1</v>
      </c>
      <c r="AL629" s="444"/>
      <c r="AM629" s="446">
        <v>1</v>
      </c>
      <c r="AN629" s="447">
        <v>1</v>
      </c>
      <c r="AO629" s="444" t="s">
        <v>473</v>
      </c>
      <c r="AP629" s="444" t="s">
        <v>1233</v>
      </c>
      <c r="AQ629" s="444" t="s">
        <v>1304</v>
      </c>
      <c r="AR629" s="444" t="s">
        <v>1306</v>
      </c>
      <c r="AS629" s="444" t="s">
        <v>1306</v>
      </c>
      <c r="AT629" s="448">
        <v>0</v>
      </c>
      <c r="AU629" s="448">
        <v>0</v>
      </c>
      <c r="AV629" s="425">
        <v>0</v>
      </c>
      <c r="AW629" s="449">
        <v>0</v>
      </c>
      <c r="AX629" s="450">
        <v>1</v>
      </c>
      <c r="AY629" s="450">
        <v>0</v>
      </c>
      <c r="AZ629" s="450">
        <v>0</v>
      </c>
      <c r="BA629" s="450">
        <v>0</v>
      </c>
    </row>
    <row r="630" spans="1:53" s="425" customFormat="1" hidden="1">
      <c r="A630" s="444">
        <v>275</v>
      </c>
      <c r="B630" s="444" t="s">
        <v>390</v>
      </c>
      <c r="C630" s="444">
        <v>6178</v>
      </c>
      <c r="D630" s="444" t="s">
        <v>1068</v>
      </c>
      <c r="E630" s="425" t="s">
        <v>1013</v>
      </c>
      <c r="F630" s="444"/>
      <c r="G630" s="444"/>
      <c r="H630" s="444"/>
      <c r="I630" s="444"/>
      <c r="J630" s="444"/>
      <c r="K630" s="444"/>
      <c r="L630" s="444"/>
      <c r="M630" s="444"/>
      <c r="N630" s="444"/>
      <c r="O630" s="444"/>
      <c r="P630" s="444"/>
      <c r="Q630" s="444"/>
      <c r="R630" s="444"/>
      <c r="S630" s="444"/>
      <c r="T630" s="444">
        <v>1</v>
      </c>
      <c r="U630" s="444"/>
      <c r="V630" s="445">
        <v>1</v>
      </c>
      <c r="W630" s="444"/>
      <c r="X630" s="444"/>
      <c r="Y630" s="444"/>
      <c r="Z630" s="444"/>
      <c r="AA630" s="444"/>
      <c r="AB630" s="444"/>
      <c r="AC630" s="444"/>
      <c r="AD630" s="444"/>
      <c r="AE630" s="444"/>
      <c r="AF630" s="444"/>
      <c r="AG630" s="444"/>
      <c r="AH630" s="444"/>
      <c r="AI630" s="444"/>
      <c r="AJ630" s="444"/>
      <c r="AK630" s="444">
        <v>1</v>
      </c>
      <c r="AL630" s="444"/>
      <c r="AM630" s="446">
        <v>1</v>
      </c>
      <c r="AN630" s="447">
        <v>1</v>
      </c>
      <c r="AO630" s="444" t="s">
        <v>473</v>
      </c>
      <c r="AP630" s="444" t="s">
        <v>868</v>
      </c>
      <c r="AQ630" s="444" t="s">
        <v>1304</v>
      </c>
      <c r="AR630" s="444" t="s">
        <v>1306</v>
      </c>
      <c r="AS630" s="444" t="s">
        <v>1306</v>
      </c>
      <c r="AT630" s="448">
        <v>0</v>
      </c>
      <c r="AU630" s="448">
        <v>0</v>
      </c>
      <c r="AV630" s="425">
        <v>0</v>
      </c>
      <c r="AW630" s="449">
        <v>0</v>
      </c>
      <c r="AX630" s="450">
        <v>1</v>
      </c>
      <c r="AY630" s="450">
        <v>0</v>
      </c>
      <c r="AZ630" s="450">
        <v>0</v>
      </c>
      <c r="BA630" s="450">
        <v>0</v>
      </c>
    </row>
    <row r="631" spans="1:53" s="425" customFormat="1" hidden="1">
      <c r="A631" s="444">
        <v>275</v>
      </c>
      <c r="B631" s="444" t="s">
        <v>390</v>
      </c>
      <c r="C631" s="444">
        <v>6407</v>
      </c>
      <c r="D631" s="444" t="s">
        <v>1070</v>
      </c>
      <c r="E631" s="425" t="s">
        <v>1013</v>
      </c>
      <c r="F631" s="444"/>
      <c r="G631" s="444"/>
      <c r="H631" s="444"/>
      <c r="I631" s="444"/>
      <c r="J631" s="444"/>
      <c r="K631" s="444"/>
      <c r="L631" s="444"/>
      <c r="M631" s="444"/>
      <c r="N631" s="444"/>
      <c r="O631" s="444"/>
      <c r="P631" s="444"/>
      <c r="Q631" s="444"/>
      <c r="R631" s="444"/>
      <c r="S631" s="444"/>
      <c r="T631" s="444">
        <v>1</v>
      </c>
      <c r="U631" s="444"/>
      <c r="V631" s="445">
        <v>1</v>
      </c>
      <c r="W631" s="444"/>
      <c r="X631" s="444"/>
      <c r="Y631" s="444"/>
      <c r="Z631" s="444"/>
      <c r="AA631" s="444"/>
      <c r="AB631" s="444"/>
      <c r="AC631" s="444"/>
      <c r="AD631" s="444"/>
      <c r="AE631" s="444"/>
      <c r="AF631" s="444"/>
      <c r="AG631" s="444"/>
      <c r="AH631" s="444"/>
      <c r="AI631" s="444"/>
      <c r="AJ631" s="444"/>
      <c r="AK631" s="444">
        <v>1</v>
      </c>
      <c r="AL631" s="444"/>
      <c r="AM631" s="446">
        <v>1</v>
      </c>
      <c r="AN631" s="447">
        <v>1</v>
      </c>
      <c r="AO631" s="444" t="s">
        <v>473</v>
      </c>
      <c r="AP631" s="444" t="s">
        <v>1233</v>
      </c>
      <c r="AQ631" s="444" t="s">
        <v>1304</v>
      </c>
      <c r="AR631" s="444" t="s">
        <v>1306</v>
      </c>
      <c r="AS631" s="444" t="s">
        <v>1306</v>
      </c>
      <c r="AT631" s="448">
        <v>0</v>
      </c>
      <c r="AU631" s="448">
        <v>0</v>
      </c>
      <c r="AV631" s="425">
        <v>0</v>
      </c>
      <c r="AW631" s="449">
        <v>0</v>
      </c>
      <c r="AX631" s="450">
        <v>1</v>
      </c>
      <c r="AY631" s="450">
        <v>0</v>
      </c>
      <c r="AZ631" s="450">
        <v>0</v>
      </c>
      <c r="BA631" s="450">
        <v>0</v>
      </c>
    </row>
    <row r="632" spans="1:53" s="425" customFormat="1" hidden="1">
      <c r="A632" s="444">
        <v>275</v>
      </c>
      <c r="B632" s="444" t="s">
        <v>390</v>
      </c>
      <c r="C632" s="444">
        <v>6415</v>
      </c>
      <c r="D632" s="444" t="s">
        <v>1072</v>
      </c>
      <c r="E632" s="444" t="s">
        <v>1013</v>
      </c>
      <c r="F632" s="444"/>
      <c r="M632" s="430"/>
      <c r="O632" s="449"/>
      <c r="P632" s="449"/>
      <c r="Q632" s="449">
        <v>1</v>
      </c>
      <c r="R632" s="449"/>
      <c r="S632" s="449"/>
      <c r="T632" s="449">
        <v>2</v>
      </c>
      <c r="V632" s="453">
        <v>3</v>
      </c>
      <c r="W632" s="454"/>
      <c r="X632" s="449"/>
      <c r="Y632" s="449"/>
      <c r="Z632" s="449"/>
      <c r="AA632" s="449"/>
      <c r="AB632" s="449"/>
      <c r="AC632" s="449"/>
      <c r="AD632" s="449"/>
      <c r="AE632" s="449"/>
      <c r="AF632" s="449"/>
      <c r="AG632" s="449"/>
      <c r="AH632" s="449">
        <v>1</v>
      </c>
      <c r="AI632" s="449"/>
      <c r="AJ632" s="449"/>
      <c r="AK632" s="449">
        <v>2</v>
      </c>
      <c r="AL632" s="449"/>
      <c r="AM632" s="454">
        <v>3</v>
      </c>
      <c r="AN632" s="455">
        <v>3</v>
      </c>
      <c r="AO632" s="449" t="s">
        <v>473</v>
      </c>
      <c r="AP632" s="449" t="s">
        <v>868</v>
      </c>
      <c r="AQ632" s="449" t="s">
        <v>1304</v>
      </c>
      <c r="AR632" s="449" t="s">
        <v>1306</v>
      </c>
      <c r="AS632" s="449" t="s">
        <v>1306</v>
      </c>
      <c r="AT632" s="448">
        <v>1</v>
      </c>
      <c r="AU632" s="448">
        <v>0</v>
      </c>
      <c r="AV632" s="425">
        <v>0</v>
      </c>
      <c r="AW632" s="425">
        <v>0</v>
      </c>
      <c r="AX632" s="450">
        <v>1</v>
      </c>
      <c r="AY632" s="450">
        <v>0</v>
      </c>
      <c r="AZ632" s="450">
        <v>0</v>
      </c>
      <c r="BA632" s="450">
        <v>0</v>
      </c>
    </row>
    <row r="633" spans="1:53" s="425" customFormat="1" hidden="1">
      <c r="A633" s="444">
        <v>275</v>
      </c>
      <c r="B633" s="444" t="s">
        <v>390</v>
      </c>
      <c r="C633" s="444">
        <v>7868</v>
      </c>
      <c r="D633" s="444" t="s">
        <v>1499</v>
      </c>
      <c r="E633" s="425" t="s">
        <v>1013</v>
      </c>
      <c r="O633" s="449"/>
      <c r="P633" s="449"/>
      <c r="Q633" s="449"/>
      <c r="R633" s="449"/>
      <c r="S633" s="449"/>
      <c r="T633" s="449"/>
      <c r="V633" s="453">
        <v>0</v>
      </c>
      <c r="W633" s="449"/>
      <c r="X633" s="449"/>
      <c r="Y633" s="449"/>
      <c r="Z633" s="449"/>
      <c r="AA633" s="449"/>
      <c r="AB633" s="449"/>
      <c r="AC633" s="449"/>
      <c r="AD633" s="449"/>
      <c r="AE633" s="449"/>
      <c r="AF633" s="449"/>
      <c r="AG633" s="449"/>
      <c r="AH633" s="449"/>
      <c r="AI633" s="449"/>
      <c r="AJ633" s="449"/>
      <c r="AK633" s="449"/>
      <c r="AL633" s="449"/>
      <c r="AM633" s="454">
        <v>0</v>
      </c>
      <c r="AN633" s="455">
        <v>0</v>
      </c>
      <c r="AO633" s="449" t="s">
        <v>473</v>
      </c>
      <c r="AP633" s="449" t="s">
        <v>1477</v>
      </c>
      <c r="AQ633" s="449" t="s">
        <v>1304</v>
      </c>
      <c r="AR633" s="449" t="s">
        <v>1306</v>
      </c>
      <c r="AS633" s="449" t="s">
        <v>1306</v>
      </c>
      <c r="AT633" s="448">
        <v>0</v>
      </c>
      <c r="AU633" s="448">
        <v>0</v>
      </c>
      <c r="AV633" s="425">
        <v>0</v>
      </c>
      <c r="AW633" s="425">
        <v>0</v>
      </c>
      <c r="AX633" s="450">
        <v>0</v>
      </c>
      <c r="AY633" s="450">
        <v>0</v>
      </c>
      <c r="AZ633" s="450">
        <v>0</v>
      </c>
      <c r="BA633" s="450">
        <v>0</v>
      </c>
    </row>
    <row r="634" spans="1:53" s="425" customFormat="1" hidden="1">
      <c r="A634" s="444">
        <v>275</v>
      </c>
      <c r="B634" s="444" t="s">
        <v>390</v>
      </c>
      <c r="C634" s="444">
        <v>8230</v>
      </c>
      <c r="D634" s="444" t="s">
        <v>1029</v>
      </c>
      <c r="E634" s="425" t="s">
        <v>1013</v>
      </c>
      <c r="O634" s="449"/>
      <c r="P634" s="449"/>
      <c r="Q634" s="449"/>
      <c r="R634" s="449"/>
      <c r="S634" s="449"/>
      <c r="T634" s="449"/>
      <c r="V634" s="453">
        <v>0</v>
      </c>
      <c r="W634" s="449"/>
      <c r="X634" s="449"/>
      <c r="Y634" s="449"/>
      <c r="Z634" s="449"/>
      <c r="AA634" s="449"/>
      <c r="AB634" s="449"/>
      <c r="AC634" s="449"/>
      <c r="AD634" s="449"/>
      <c r="AE634" s="449"/>
      <c r="AF634" s="449"/>
      <c r="AG634" s="449"/>
      <c r="AH634" s="449"/>
      <c r="AI634" s="449"/>
      <c r="AJ634" s="449"/>
      <c r="AK634" s="449"/>
      <c r="AL634" s="449"/>
      <c r="AM634" s="454">
        <v>0</v>
      </c>
      <c r="AN634" s="455">
        <v>0</v>
      </c>
      <c r="AO634" s="449" t="s">
        <v>473</v>
      </c>
      <c r="AP634" s="449" t="s">
        <v>1405</v>
      </c>
      <c r="AQ634" s="449" t="s">
        <v>1304</v>
      </c>
      <c r="AR634" s="449" t="s">
        <v>1306</v>
      </c>
      <c r="AS634" s="449" t="s">
        <v>1306</v>
      </c>
      <c r="AT634" s="448">
        <v>0</v>
      </c>
      <c r="AU634" s="448">
        <v>0</v>
      </c>
      <c r="AV634" s="425">
        <v>0</v>
      </c>
      <c r="AW634" s="425">
        <v>0</v>
      </c>
      <c r="AX634" s="450">
        <v>0</v>
      </c>
      <c r="AY634" s="450">
        <v>0</v>
      </c>
      <c r="AZ634" s="450">
        <v>0</v>
      </c>
      <c r="BA634" s="450">
        <v>0</v>
      </c>
    </row>
    <row r="635" spans="1:53" s="425" customFormat="1" hidden="1">
      <c r="A635" s="444">
        <v>275</v>
      </c>
      <c r="B635" s="444" t="s">
        <v>390</v>
      </c>
      <c r="C635" s="444">
        <v>8930</v>
      </c>
      <c r="D635" s="444" t="s">
        <v>1040</v>
      </c>
      <c r="E635" s="425" t="s">
        <v>1013</v>
      </c>
      <c r="O635" s="449"/>
      <c r="P635" s="449"/>
      <c r="Q635" s="449"/>
      <c r="R635" s="449"/>
      <c r="S635" s="449"/>
      <c r="T635" s="449">
        <v>1</v>
      </c>
      <c r="V635" s="453">
        <v>1</v>
      </c>
      <c r="W635" s="449"/>
      <c r="X635" s="449"/>
      <c r="Y635" s="449"/>
      <c r="Z635" s="449"/>
      <c r="AA635" s="449"/>
      <c r="AB635" s="449"/>
      <c r="AC635" s="449"/>
      <c r="AD635" s="449"/>
      <c r="AE635" s="449"/>
      <c r="AF635" s="449"/>
      <c r="AG635" s="449"/>
      <c r="AH635" s="449"/>
      <c r="AI635" s="449"/>
      <c r="AJ635" s="449"/>
      <c r="AK635" s="449">
        <v>1</v>
      </c>
      <c r="AL635" s="449"/>
      <c r="AM635" s="454">
        <v>1</v>
      </c>
      <c r="AN635" s="455">
        <v>1</v>
      </c>
      <c r="AO635" s="449" t="s">
        <v>473</v>
      </c>
      <c r="AP635" s="449" t="s">
        <v>1233</v>
      </c>
      <c r="AQ635" s="449" t="s">
        <v>1304</v>
      </c>
      <c r="AR635" s="449" t="s">
        <v>1306</v>
      </c>
      <c r="AS635" s="449" t="s">
        <v>1306</v>
      </c>
      <c r="AT635" s="448">
        <v>0</v>
      </c>
      <c r="AU635" s="448">
        <v>0</v>
      </c>
      <c r="AV635" s="425">
        <v>0</v>
      </c>
      <c r="AW635" s="425">
        <v>0</v>
      </c>
      <c r="AX635" s="450">
        <v>1</v>
      </c>
      <c r="AY635" s="450">
        <v>0</v>
      </c>
      <c r="AZ635" s="450">
        <v>0</v>
      </c>
      <c r="BA635" s="450">
        <v>0</v>
      </c>
    </row>
    <row r="636" spans="1:53" s="425" customFormat="1" hidden="1">
      <c r="A636" s="444">
        <v>286</v>
      </c>
      <c r="B636" s="444" t="s">
        <v>406</v>
      </c>
      <c r="C636" s="444">
        <v>3303</v>
      </c>
      <c r="D636" s="444" t="s">
        <v>1493</v>
      </c>
      <c r="E636" s="425" t="s">
        <v>1013</v>
      </c>
      <c r="O636" s="449"/>
      <c r="P636" s="449"/>
      <c r="Q636" s="449"/>
      <c r="R636" s="449">
        <v>1</v>
      </c>
      <c r="S636" s="449"/>
      <c r="T636" s="449"/>
      <c r="V636" s="453">
        <v>1</v>
      </c>
      <c r="W636" s="449"/>
      <c r="X636" s="449"/>
      <c r="Y636" s="449"/>
      <c r="Z636" s="449"/>
      <c r="AA636" s="449"/>
      <c r="AB636" s="449"/>
      <c r="AC636" s="449"/>
      <c r="AD636" s="449"/>
      <c r="AE636" s="449"/>
      <c r="AF636" s="449"/>
      <c r="AG636" s="449"/>
      <c r="AH636" s="449"/>
      <c r="AI636" s="449">
        <v>1</v>
      </c>
      <c r="AJ636" s="449"/>
      <c r="AK636" s="449"/>
      <c r="AL636" s="449"/>
      <c r="AM636" s="454">
        <v>1</v>
      </c>
      <c r="AN636" s="455">
        <v>1</v>
      </c>
      <c r="AO636" s="449" t="s">
        <v>473</v>
      </c>
      <c r="AP636" s="449" t="s">
        <v>845</v>
      </c>
      <c r="AQ636" s="449" t="s">
        <v>446</v>
      </c>
      <c r="AR636" s="449" t="s">
        <v>1306</v>
      </c>
      <c r="AS636" s="449" t="s">
        <v>1306</v>
      </c>
      <c r="AT636" s="448">
        <v>1</v>
      </c>
      <c r="AU636" s="448">
        <v>0</v>
      </c>
      <c r="AV636" s="425">
        <v>0</v>
      </c>
      <c r="AW636" s="425">
        <v>0</v>
      </c>
      <c r="AX636" s="450">
        <v>0</v>
      </c>
      <c r="AY636" s="450">
        <v>0</v>
      </c>
      <c r="AZ636" s="450">
        <v>0</v>
      </c>
      <c r="BA636" s="450">
        <v>0</v>
      </c>
    </row>
    <row r="637" spans="1:53" s="425" customFormat="1" hidden="1">
      <c r="A637" s="444">
        <v>286</v>
      </c>
      <c r="B637" s="444" t="s">
        <v>406</v>
      </c>
      <c r="C637" s="444">
        <v>3310</v>
      </c>
      <c r="D637" s="444" t="s">
        <v>1045</v>
      </c>
      <c r="E637" s="425" t="s">
        <v>1013</v>
      </c>
      <c r="O637" s="449"/>
      <c r="P637" s="449"/>
      <c r="Q637" s="449">
        <v>1</v>
      </c>
      <c r="R637" s="449"/>
      <c r="S637" s="449">
        <v>1</v>
      </c>
      <c r="T637" s="449"/>
      <c r="V637" s="453">
        <v>2</v>
      </c>
      <c r="W637" s="449"/>
      <c r="X637" s="449"/>
      <c r="Y637" s="449"/>
      <c r="Z637" s="449"/>
      <c r="AA637" s="449"/>
      <c r="AB637" s="449"/>
      <c r="AC637" s="449"/>
      <c r="AD637" s="449"/>
      <c r="AE637" s="449"/>
      <c r="AF637" s="449"/>
      <c r="AG637" s="449"/>
      <c r="AH637" s="449">
        <v>1</v>
      </c>
      <c r="AI637" s="449"/>
      <c r="AJ637" s="449">
        <v>1</v>
      </c>
      <c r="AK637" s="449"/>
      <c r="AL637" s="449"/>
      <c r="AM637" s="454">
        <v>2</v>
      </c>
      <c r="AN637" s="455">
        <v>2</v>
      </c>
      <c r="AO637" s="449" t="s">
        <v>473</v>
      </c>
      <c r="AP637" s="449" t="s">
        <v>1233</v>
      </c>
      <c r="AQ637" s="449" t="s">
        <v>446</v>
      </c>
      <c r="AR637" s="449" t="s">
        <v>1306</v>
      </c>
      <c r="AS637" s="449" t="s">
        <v>1306</v>
      </c>
      <c r="AT637" s="448">
        <v>2</v>
      </c>
      <c r="AU637" s="448">
        <v>0</v>
      </c>
      <c r="AV637" s="425">
        <v>0</v>
      </c>
      <c r="AW637" s="425">
        <v>0</v>
      </c>
      <c r="AX637" s="450">
        <v>0</v>
      </c>
      <c r="AY637" s="450">
        <v>0</v>
      </c>
      <c r="AZ637" s="450">
        <v>0</v>
      </c>
      <c r="BA637" s="450">
        <v>0</v>
      </c>
    </row>
    <row r="638" spans="1:53" s="425" customFormat="1" hidden="1">
      <c r="A638" s="444">
        <v>286</v>
      </c>
      <c r="B638" s="444" t="s">
        <v>406</v>
      </c>
      <c r="C638" s="444">
        <v>5736</v>
      </c>
      <c r="D638" s="444" t="s">
        <v>1500</v>
      </c>
      <c r="E638" s="425" t="s">
        <v>1013</v>
      </c>
      <c r="O638" s="449"/>
      <c r="P638" s="449"/>
      <c r="Q638" s="449"/>
      <c r="R638" s="449">
        <v>1</v>
      </c>
      <c r="S638" s="449"/>
      <c r="T638" s="449"/>
      <c r="V638" s="453">
        <v>1</v>
      </c>
      <c r="W638" s="449"/>
      <c r="X638" s="449"/>
      <c r="Y638" s="449"/>
      <c r="Z638" s="449"/>
      <c r="AA638" s="449"/>
      <c r="AB638" s="449"/>
      <c r="AC638" s="449"/>
      <c r="AD638" s="449"/>
      <c r="AE638" s="449"/>
      <c r="AF638" s="449"/>
      <c r="AG638" s="449"/>
      <c r="AH638" s="449"/>
      <c r="AI638" s="449">
        <v>1</v>
      </c>
      <c r="AJ638" s="449"/>
      <c r="AK638" s="449"/>
      <c r="AL638" s="449"/>
      <c r="AM638" s="454">
        <v>1</v>
      </c>
      <c r="AN638" s="455">
        <v>1</v>
      </c>
      <c r="AO638" s="449" t="s">
        <v>473</v>
      </c>
      <c r="AP638" s="449" t="s">
        <v>845</v>
      </c>
      <c r="AQ638" s="449" t="s">
        <v>446</v>
      </c>
      <c r="AR638" s="449" t="s">
        <v>1306</v>
      </c>
      <c r="AS638" s="449" t="s">
        <v>1306</v>
      </c>
      <c r="AT638" s="448">
        <v>1</v>
      </c>
      <c r="AU638" s="448">
        <v>0</v>
      </c>
      <c r="AV638" s="425">
        <v>0</v>
      </c>
      <c r="AW638" s="425">
        <v>0</v>
      </c>
      <c r="AX638" s="456">
        <v>0</v>
      </c>
      <c r="AY638" s="450">
        <v>0</v>
      </c>
      <c r="AZ638" s="450">
        <v>0</v>
      </c>
      <c r="BA638" s="450">
        <v>0</v>
      </c>
    </row>
    <row r="639" spans="1:53" s="425" customFormat="1" hidden="1">
      <c r="A639" s="444">
        <v>286</v>
      </c>
      <c r="B639" s="444" t="s">
        <v>406</v>
      </c>
      <c r="C639" s="444">
        <v>7870</v>
      </c>
      <c r="D639" s="444" t="s">
        <v>1501</v>
      </c>
      <c r="E639" s="425" t="s">
        <v>1013</v>
      </c>
      <c r="O639" s="449"/>
      <c r="P639" s="449"/>
      <c r="Q639" s="449">
        <v>6</v>
      </c>
      <c r="R639" s="449">
        <v>6</v>
      </c>
      <c r="S639" s="449">
        <v>6</v>
      </c>
      <c r="T639" s="449">
        <v>11</v>
      </c>
      <c r="V639" s="453">
        <v>29</v>
      </c>
      <c r="W639" s="449"/>
      <c r="X639" s="449"/>
      <c r="Y639" s="449"/>
      <c r="Z639" s="449"/>
      <c r="AA639" s="449"/>
      <c r="AB639" s="449"/>
      <c r="AC639" s="449"/>
      <c r="AD639" s="449"/>
      <c r="AE639" s="449"/>
      <c r="AF639" s="449"/>
      <c r="AG639" s="449"/>
      <c r="AH639" s="449">
        <v>6</v>
      </c>
      <c r="AI639" s="449">
        <v>6</v>
      </c>
      <c r="AJ639" s="449">
        <v>6</v>
      </c>
      <c r="AK639" s="449">
        <v>11</v>
      </c>
      <c r="AL639" s="449"/>
      <c r="AM639" s="454">
        <v>29</v>
      </c>
      <c r="AN639" s="455">
        <v>29</v>
      </c>
      <c r="AO639" s="449" t="s">
        <v>473</v>
      </c>
      <c r="AP639" s="449" t="s">
        <v>1454</v>
      </c>
      <c r="AQ639" s="449" t="s">
        <v>446</v>
      </c>
      <c r="AR639" s="449" t="s">
        <v>1306</v>
      </c>
      <c r="AS639" s="449" t="s">
        <v>1306</v>
      </c>
      <c r="AT639" s="448">
        <v>0</v>
      </c>
      <c r="AU639" s="448">
        <v>0</v>
      </c>
      <c r="AV639" s="425">
        <v>0</v>
      </c>
      <c r="AW639" s="425">
        <v>0</v>
      </c>
      <c r="AX639" s="452">
        <v>0</v>
      </c>
      <c r="AY639" s="450">
        <v>0</v>
      </c>
      <c r="AZ639" s="450">
        <v>0</v>
      </c>
      <c r="BA639" s="450">
        <v>0</v>
      </c>
    </row>
    <row r="640" spans="1:53" s="425" customFormat="1" hidden="1">
      <c r="A640" s="444">
        <v>288</v>
      </c>
      <c r="B640" s="444" t="s">
        <v>398</v>
      </c>
      <c r="C640" s="444">
        <v>20891</v>
      </c>
      <c r="D640" s="444" t="s">
        <v>1502</v>
      </c>
      <c r="E640" s="425" t="s">
        <v>1027</v>
      </c>
      <c r="I640" s="425">
        <v>1</v>
      </c>
      <c r="O640" s="449"/>
      <c r="P640" s="449"/>
      <c r="Q640" s="449">
        <v>4</v>
      </c>
      <c r="R640" s="449">
        <v>4</v>
      </c>
      <c r="S640" s="449">
        <v>5</v>
      </c>
      <c r="T640" s="449">
        <v>1</v>
      </c>
      <c r="V640" s="453">
        <v>15</v>
      </c>
      <c r="W640" s="449"/>
      <c r="X640" s="449"/>
      <c r="Y640" s="449"/>
      <c r="Z640" s="449">
        <v>1</v>
      </c>
      <c r="AA640" s="449"/>
      <c r="AB640" s="449"/>
      <c r="AC640" s="449"/>
      <c r="AD640" s="449"/>
      <c r="AE640" s="449"/>
      <c r="AF640" s="449"/>
      <c r="AG640" s="449"/>
      <c r="AH640" s="449">
        <v>4</v>
      </c>
      <c r="AI640" s="449">
        <v>4</v>
      </c>
      <c r="AJ640" s="449">
        <v>5</v>
      </c>
      <c r="AK640" s="449">
        <v>1</v>
      </c>
      <c r="AL640" s="449"/>
      <c r="AM640" s="454">
        <v>15</v>
      </c>
      <c r="AN640" s="455">
        <v>15</v>
      </c>
      <c r="AO640" s="449" t="s">
        <v>473</v>
      </c>
      <c r="AP640" s="449" t="s">
        <v>1397</v>
      </c>
      <c r="AQ640" s="449" t="s">
        <v>445</v>
      </c>
      <c r="AR640" s="449" t="s">
        <v>1306</v>
      </c>
      <c r="AS640" s="449" t="s">
        <v>1306</v>
      </c>
      <c r="AT640" s="448">
        <v>0</v>
      </c>
      <c r="AU640" s="448">
        <v>0</v>
      </c>
      <c r="AV640" s="425">
        <v>0</v>
      </c>
      <c r="AW640" s="425">
        <v>0</v>
      </c>
      <c r="AX640" s="452">
        <v>0</v>
      </c>
      <c r="AY640" s="450">
        <v>0</v>
      </c>
      <c r="AZ640" s="450">
        <v>0</v>
      </c>
      <c r="BA640" s="450">
        <v>0</v>
      </c>
    </row>
    <row r="641" spans="1:53" s="425" customFormat="1" hidden="1">
      <c r="A641" s="444">
        <v>288</v>
      </c>
      <c r="B641" s="444" t="s">
        <v>398</v>
      </c>
      <c r="C641" s="444">
        <v>3403</v>
      </c>
      <c r="D641" s="444" t="s">
        <v>1503</v>
      </c>
      <c r="E641" s="425" t="s">
        <v>1013</v>
      </c>
      <c r="O641" s="449"/>
      <c r="P641" s="449"/>
      <c r="Q641" s="449">
        <v>1</v>
      </c>
      <c r="R641" s="449"/>
      <c r="S641" s="449">
        <v>2</v>
      </c>
      <c r="T641" s="449"/>
      <c r="V641" s="453">
        <v>3</v>
      </c>
      <c r="W641" s="449"/>
      <c r="X641" s="449"/>
      <c r="Y641" s="449"/>
      <c r="Z641" s="449"/>
      <c r="AA641" s="449"/>
      <c r="AB641" s="449"/>
      <c r="AC641" s="449"/>
      <c r="AD641" s="449"/>
      <c r="AE641" s="449"/>
      <c r="AF641" s="449"/>
      <c r="AG641" s="449"/>
      <c r="AH641" s="449">
        <v>1</v>
      </c>
      <c r="AI641" s="449"/>
      <c r="AJ641" s="449">
        <v>2</v>
      </c>
      <c r="AK641" s="449"/>
      <c r="AL641" s="449"/>
      <c r="AM641" s="454">
        <v>3</v>
      </c>
      <c r="AN641" s="455">
        <v>3</v>
      </c>
      <c r="AO641" s="449" t="s">
        <v>473</v>
      </c>
      <c r="AP641" s="449" t="s">
        <v>856</v>
      </c>
      <c r="AQ641" s="449" t="s">
        <v>445</v>
      </c>
      <c r="AR641" s="449" t="s">
        <v>1306</v>
      </c>
      <c r="AS641" s="449" t="s">
        <v>1306</v>
      </c>
      <c r="AT641" s="448">
        <v>0</v>
      </c>
      <c r="AU641" s="448">
        <v>0</v>
      </c>
      <c r="AV641" s="425">
        <v>0</v>
      </c>
      <c r="AW641" s="425">
        <v>0</v>
      </c>
      <c r="AX641" s="456">
        <v>0</v>
      </c>
      <c r="AY641" s="450">
        <v>0</v>
      </c>
      <c r="AZ641" s="450">
        <v>0</v>
      </c>
      <c r="BA641" s="450">
        <v>0</v>
      </c>
    </row>
    <row r="642" spans="1:53" s="425" customFormat="1" hidden="1">
      <c r="A642" s="444">
        <v>295</v>
      </c>
      <c r="B642" s="444" t="s">
        <v>320</v>
      </c>
      <c r="C642" s="444">
        <v>3285</v>
      </c>
      <c r="D642" s="444" t="s">
        <v>1485</v>
      </c>
      <c r="E642" s="425" t="s">
        <v>1013</v>
      </c>
      <c r="O642" s="449"/>
      <c r="P642" s="449"/>
      <c r="Q642" s="449"/>
      <c r="R642" s="449"/>
      <c r="S642" s="449">
        <v>1</v>
      </c>
      <c r="T642" s="449"/>
      <c r="V642" s="453">
        <v>1</v>
      </c>
      <c r="W642" s="449"/>
      <c r="X642" s="449"/>
      <c r="Y642" s="449"/>
      <c r="Z642" s="449"/>
      <c r="AA642" s="449"/>
      <c r="AB642" s="449"/>
      <c r="AC642" s="449"/>
      <c r="AD642" s="449"/>
      <c r="AE642" s="449"/>
      <c r="AF642" s="449"/>
      <c r="AG642" s="449"/>
      <c r="AH642" s="449"/>
      <c r="AI642" s="449"/>
      <c r="AJ642" s="449">
        <v>1</v>
      </c>
      <c r="AK642" s="449"/>
      <c r="AL642" s="449"/>
      <c r="AM642" s="454">
        <v>1</v>
      </c>
      <c r="AN642" s="455">
        <v>1</v>
      </c>
      <c r="AO642" s="449" t="s">
        <v>473</v>
      </c>
      <c r="AP642" s="449" t="s">
        <v>851</v>
      </c>
      <c r="AQ642" s="449" t="s">
        <v>451</v>
      </c>
      <c r="AR642" s="449" t="s">
        <v>1306</v>
      </c>
      <c r="AS642" s="449" t="s">
        <v>1306</v>
      </c>
      <c r="AT642" s="448">
        <v>1</v>
      </c>
      <c r="AU642" s="448">
        <v>0</v>
      </c>
      <c r="AV642" s="425">
        <v>0</v>
      </c>
      <c r="AW642" s="425">
        <v>0</v>
      </c>
      <c r="AX642" s="452">
        <v>0</v>
      </c>
      <c r="AY642" s="450">
        <v>0</v>
      </c>
      <c r="AZ642" s="450">
        <v>0</v>
      </c>
      <c r="BA642" s="450">
        <v>0</v>
      </c>
    </row>
    <row r="643" spans="1:53" s="425" customFormat="1" hidden="1">
      <c r="A643" s="444">
        <v>304</v>
      </c>
      <c r="B643" s="444" t="s">
        <v>641</v>
      </c>
      <c r="C643" s="444">
        <v>1758</v>
      </c>
      <c r="D643" s="444" t="s">
        <v>1020</v>
      </c>
      <c r="E643" s="425" t="s">
        <v>1013</v>
      </c>
      <c r="O643" s="449"/>
      <c r="P643" s="449"/>
      <c r="Q643" s="449"/>
      <c r="R643" s="449">
        <v>7</v>
      </c>
      <c r="S643" s="449">
        <v>1</v>
      </c>
      <c r="T643" s="449">
        <v>1</v>
      </c>
      <c r="V643" s="453">
        <v>9</v>
      </c>
      <c r="W643" s="449"/>
      <c r="X643" s="449"/>
      <c r="Y643" s="449"/>
      <c r="Z643" s="449"/>
      <c r="AA643" s="449"/>
      <c r="AB643" s="449"/>
      <c r="AC643" s="449"/>
      <c r="AD643" s="449"/>
      <c r="AE643" s="449"/>
      <c r="AF643" s="449"/>
      <c r="AG643" s="449"/>
      <c r="AH643" s="449"/>
      <c r="AI643" s="449">
        <v>7</v>
      </c>
      <c r="AJ643" s="449">
        <v>1</v>
      </c>
      <c r="AK643" s="449">
        <v>1</v>
      </c>
      <c r="AL643" s="449"/>
      <c r="AM643" s="454">
        <v>9</v>
      </c>
      <c r="AN643" s="455">
        <v>9</v>
      </c>
      <c r="AO643" s="449" t="s">
        <v>474</v>
      </c>
      <c r="AP643" s="449" t="s">
        <v>1463</v>
      </c>
      <c r="AQ643" s="449" t="s">
        <v>441</v>
      </c>
      <c r="AR643" s="449" t="s">
        <v>1306</v>
      </c>
      <c r="AS643" s="449" t="s">
        <v>1306</v>
      </c>
      <c r="AT643" s="448">
        <v>5</v>
      </c>
      <c r="AU643" s="448">
        <v>2</v>
      </c>
      <c r="AV643" s="425">
        <v>0</v>
      </c>
      <c r="AW643" s="425">
        <v>0</v>
      </c>
      <c r="AX643" s="452">
        <v>2</v>
      </c>
      <c r="AY643" s="450">
        <v>0</v>
      </c>
      <c r="AZ643" s="450">
        <v>0</v>
      </c>
      <c r="BA643" s="450">
        <v>0</v>
      </c>
    </row>
    <row r="644" spans="1:53" s="425" customFormat="1" hidden="1">
      <c r="A644" s="444">
        <v>304</v>
      </c>
      <c r="B644" s="444" t="s">
        <v>641</v>
      </c>
      <c r="C644" s="444">
        <v>1765</v>
      </c>
      <c r="D644" s="444" t="s">
        <v>1080</v>
      </c>
      <c r="E644" s="425" t="s">
        <v>1013</v>
      </c>
      <c r="H644" s="430"/>
      <c r="K644" s="430"/>
      <c r="O644" s="449"/>
      <c r="P644" s="449"/>
      <c r="Q644" s="449"/>
      <c r="R644" s="449"/>
      <c r="S644" s="449">
        <v>1</v>
      </c>
      <c r="T644" s="449">
        <v>1</v>
      </c>
      <c r="U644" s="430"/>
      <c r="V644" s="453">
        <v>2</v>
      </c>
      <c r="W644" s="449"/>
      <c r="X644" s="449"/>
      <c r="Y644" s="449"/>
      <c r="Z644" s="449"/>
      <c r="AA644" s="449"/>
      <c r="AB644" s="449"/>
      <c r="AC644" s="449"/>
      <c r="AD644" s="449"/>
      <c r="AE644" s="449"/>
      <c r="AF644" s="449"/>
      <c r="AG644" s="449"/>
      <c r="AH644" s="449"/>
      <c r="AI644" s="449"/>
      <c r="AJ644" s="449">
        <v>1</v>
      </c>
      <c r="AK644" s="449">
        <v>1</v>
      </c>
      <c r="AL644" s="449"/>
      <c r="AM644" s="454">
        <v>2</v>
      </c>
      <c r="AN644" s="455">
        <v>2</v>
      </c>
      <c r="AO644" s="449" t="s">
        <v>474</v>
      </c>
      <c r="AP644" s="449" t="s">
        <v>1463</v>
      </c>
      <c r="AQ644" s="449" t="s">
        <v>441</v>
      </c>
      <c r="AR644" s="449" t="s">
        <v>1306</v>
      </c>
      <c r="AS644" s="449" t="s">
        <v>1306</v>
      </c>
      <c r="AT644" s="448">
        <v>0</v>
      </c>
      <c r="AU644" s="448">
        <v>0</v>
      </c>
      <c r="AV644" s="425">
        <v>0</v>
      </c>
      <c r="AW644" s="425">
        <v>0</v>
      </c>
      <c r="AX644" s="452">
        <v>2</v>
      </c>
      <c r="AY644" s="450">
        <v>0</v>
      </c>
      <c r="AZ644" s="450">
        <v>0</v>
      </c>
      <c r="BA644" s="450">
        <v>0</v>
      </c>
    </row>
    <row r="645" spans="1:53" s="425" customFormat="1" hidden="1">
      <c r="A645" s="444">
        <v>304</v>
      </c>
      <c r="B645" s="444" t="s">
        <v>641</v>
      </c>
      <c r="C645" s="444">
        <v>3548</v>
      </c>
      <c r="D645" s="444" t="s">
        <v>1081</v>
      </c>
      <c r="E645" s="425" t="s">
        <v>1013</v>
      </c>
      <c r="H645" s="430"/>
      <c r="K645" s="430"/>
      <c r="O645" s="449"/>
      <c r="P645" s="449"/>
      <c r="Q645" s="449">
        <v>2</v>
      </c>
      <c r="R645" s="449">
        <v>5</v>
      </c>
      <c r="S645" s="449">
        <v>2</v>
      </c>
      <c r="T645" s="449">
        <v>2</v>
      </c>
      <c r="U645" s="430"/>
      <c r="V645" s="453">
        <v>11</v>
      </c>
      <c r="W645" s="449"/>
      <c r="X645" s="449"/>
      <c r="Y645" s="449"/>
      <c r="Z645" s="449"/>
      <c r="AA645" s="449"/>
      <c r="AB645" s="449"/>
      <c r="AC645" s="449"/>
      <c r="AD645" s="449"/>
      <c r="AE645" s="449"/>
      <c r="AF645" s="449"/>
      <c r="AG645" s="449"/>
      <c r="AH645" s="449">
        <v>2</v>
      </c>
      <c r="AI645" s="449">
        <v>5</v>
      </c>
      <c r="AJ645" s="449">
        <v>2</v>
      </c>
      <c r="AK645" s="449">
        <v>2</v>
      </c>
      <c r="AL645" s="449"/>
      <c r="AM645" s="454">
        <v>11</v>
      </c>
      <c r="AN645" s="455">
        <v>11</v>
      </c>
      <c r="AO645" s="449" t="s">
        <v>474</v>
      </c>
      <c r="AP645" s="449" t="s">
        <v>854</v>
      </c>
      <c r="AQ645" s="449" t="s">
        <v>441</v>
      </c>
      <c r="AR645" s="449" t="s">
        <v>1306</v>
      </c>
      <c r="AS645" s="449" t="s">
        <v>1306</v>
      </c>
      <c r="AT645" s="448">
        <v>7</v>
      </c>
      <c r="AU645" s="448">
        <v>0</v>
      </c>
      <c r="AV645" s="425">
        <v>0</v>
      </c>
      <c r="AW645" s="425">
        <v>0</v>
      </c>
      <c r="AX645" s="452">
        <v>4</v>
      </c>
      <c r="AY645" s="450">
        <v>0</v>
      </c>
      <c r="AZ645" s="450">
        <v>0</v>
      </c>
      <c r="BA645" s="450">
        <v>0</v>
      </c>
    </row>
    <row r="646" spans="1:53" s="425" customFormat="1" hidden="1">
      <c r="A646" s="444">
        <v>305</v>
      </c>
      <c r="B646" s="444" t="s">
        <v>404</v>
      </c>
      <c r="C646" s="444">
        <v>3563</v>
      </c>
      <c r="D646" s="444" t="s">
        <v>1267</v>
      </c>
      <c r="E646" s="425" t="s">
        <v>1013</v>
      </c>
      <c r="F646" s="425">
        <v>1</v>
      </c>
      <c r="K646" s="425">
        <v>1</v>
      </c>
      <c r="M646" s="425">
        <v>1</v>
      </c>
      <c r="N646" s="425">
        <v>1</v>
      </c>
      <c r="O646" s="449"/>
      <c r="P646" s="449"/>
      <c r="Q646" s="449">
        <v>1</v>
      </c>
      <c r="R646" s="449">
        <v>4</v>
      </c>
      <c r="S646" s="449">
        <v>4</v>
      </c>
      <c r="T646" s="449">
        <v>2</v>
      </c>
      <c r="V646" s="453">
        <v>15</v>
      </c>
      <c r="W646" s="449">
        <v>2</v>
      </c>
      <c r="X646" s="449"/>
      <c r="Y646" s="449"/>
      <c r="Z646" s="449"/>
      <c r="AA646" s="449"/>
      <c r="AB646" s="449">
        <v>1</v>
      </c>
      <c r="AC646" s="449"/>
      <c r="AD646" s="449">
        <v>1</v>
      </c>
      <c r="AE646" s="449">
        <v>1</v>
      </c>
      <c r="AF646" s="449"/>
      <c r="AG646" s="449"/>
      <c r="AH646" s="449">
        <v>1</v>
      </c>
      <c r="AI646" s="449">
        <v>4</v>
      </c>
      <c r="AJ646" s="449">
        <v>4</v>
      </c>
      <c r="AK646" s="449">
        <v>2</v>
      </c>
      <c r="AL646" s="449"/>
      <c r="AM646" s="454">
        <v>16</v>
      </c>
      <c r="AN646" s="455">
        <v>16</v>
      </c>
      <c r="AO646" s="449" t="s">
        <v>474</v>
      </c>
      <c r="AP646" s="449" t="s">
        <v>1463</v>
      </c>
      <c r="AQ646" s="449" t="s">
        <v>441</v>
      </c>
      <c r="AR646" s="449" t="s">
        <v>1297</v>
      </c>
      <c r="AS646" s="449" t="s">
        <v>1306</v>
      </c>
      <c r="AT646" s="448">
        <v>0</v>
      </c>
      <c r="AU646" s="448">
        <v>0</v>
      </c>
      <c r="AV646" s="425">
        <v>0</v>
      </c>
      <c r="AW646" s="425">
        <v>0</v>
      </c>
      <c r="AX646" s="452">
        <v>0</v>
      </c>
      <c r="AY646" s="450">
        <v>0</v>
      </c>
      <c r="AZ646" s="450">
        <v>0</v>
      </c>
      <c r="BA646" s="450">
        <v>0</v>
      </c>
    </row>
    <row r="647" spans="1:53" s="425" customFormat="1" hidden="1">
      <c r="A647" s="444">
        <v>327</v>
      </c>
      <c r="B647" s="444" t="s">
        <v>638</v>
      </c>
      <c r="C647" s="444">
        <v>8193</v>
      </c>
      <c r="D647" s="444" t="s">
        <v>1472</v>
      </c>
      <c r="E647" s="425" t="s">
        <v>1027</v>
      </c>
      <c r="O647" s="449"/>
      <c r="P647" s="449"/>
      <c r="Q647" s="449">
        <v>1</v>
      </c>
      <c r="R647" s="449"/>
      <c r="S647" s="449"/>
      <c r="T647" s="449">
        <v>3</v>
      </c>
      <c r="V647" s="453">
        <v>4</v>
      </c>
      <c r="W647" s="449"/>
      <c r="X647" s="449"/>
      <c r="Y647" s="449"/>
      <c r="Z647" s="449"/>
      <c r="AA647" s="449"/>
      <c r="AB647" s="449"/>
      <c r="AC647" s="449"/>
      <c r="AD647" s="449"/>
      <c r="AE647" s="449"/>
      <c r="AF647" s="449"/>
      <c r="AG647" s="449"/>
      <c r="AH647" s="449">
        <v>1</v>
      </c>
      <c r="AI647" s="449"/>
      <c r="AJ647" s="449"/>
      <c r="AK647" s="449">
        <v>3</v>
      </c>
      <c r="AL647" s="449"/>
      <c r="AM647" s="454">
        <v>4</v>
      </c>
      <c r="AN647" s="455">
        <v>4</v>
      </c>
      <c r="AO647" s="449" t="s">
        <v>474</v>
      </c>
      <c r="AP647" s="449" t="s">
        <v>1233</v>
      </c>
      <c r="AQ647" s="449" t="s">
        <v>441</v>
      </c>
      <c r="AR647" s="449" t="s">
        <v>1306</v>
      </c>
      <c r="AS647" s="449" t="s">
        <v>1306</v>
      </c>
      <c r="AT647" s="448">
        <v>0</v>
      </c>
      <c r="AU647" s="448">
        <v>0</v>
      </c>
      <c r="AV647" s="425">
        <v>0</v>
      </c>
      <c r="AW647" s="425">
        <v>0</v>
      </c>
      <c r="AX647" s="452">
        <v>0</v>
      </c>
      <c r="AY647" s="450">
        <v>0</v>
      </c>
      <c r="AZ647" s="450">
        <v>0</v>
      </c>
      <c r="BA647" s="450">
        <v>0</v>
      </c>
    </row>
    <row r="648" spans="1:53" s="425" customFormat="1" hidden="1">
      <c r="F648" s="425">
        <f>SUBTOTAL(109,BProvPrivEnrlmtUnder2246[K4])</f>
        <v>0</v>
      </c>
      <c r="G648" s="425">
        <f>SUBTOTAL(109,BProvPrivEnrlmtUnder2246[K5])</f>
        <v>0</v>
      </c>
      <c r="H648" s="425">
        <f>SUBTOTAL(109,BProvPrivEnrlmtUnder2246[Grade 1])</f>
        <v>0</v>
      </c>
      <c r="I648" s="425">
        <f>SUBTOTAL(109,BProvPrivEnrlmtUnder2246[Grade 2])</f>
        <v>0</v>
      </c>
      <c r="J648" s="425">
        <f>SUBTOTAL(109,BProvPrivEnrlmtUnder2246[Grade 3])</f>
        <v>0</v>
      </c>
      <c r="K648" s="425">
        <f>SUBTOTAL(109,BProvPrivEnrlmtUnder2246[Grade 4])</f>
        <v>0</v>
      </c>
      <c r="L648" s="425">
        <f>SUBTOTAL(109,BProvPrivEnrlmtUnder2246[Grade 5])</f>
        <v>0</v>
      </c>
      <c r="M648" s="425">
        <f>SUBTOTAL(109,BProvPrivEnrlmtUnder2246[Grade 6])</f>
        <v>0</v>
      </c>
      <c r="N648" s="425">
        <f>SUBTOTAL(109,BProvPrivEnrlmtUnder2246[Grade 7])</f>
        <v>0</v>
      </c>
      <c r="O648" s="425">
        <f>SUBTOTAL(109,BProvPrivEnrlmtUnder2246[Grade 8])</f>
        <v>0</v>
      </c>
      <c r="P648" s="425">
        <f>SUBTOTAL(109,BProvPrivEnrlmtUnder2246[Ungradable Elem FTE])</f>
        <v>0</v>
      </c>
      <c r="Q648" s="425">
        <f>SUBTOTAL(109,BProvPrivEnrlmtUnder2246[Grade 9])</f>
        <v>0</v>
      </c>
      <c r="R648" s="425">
        <f>SUBTOTAL(109,BProvPrivEnrlmtUnder2246[Grade 10])</f>
        <v>0</v>
      </c>
      <c r="S648" s="425">
        <f>SUBTOTAL(109,BProvPrivEnrlmtUnder2246[Grade 11])</f>
        <v>0</v>
      </c>
      <c r="T648" s="425">
        <f>SUBTOTAL(109,BProvPrivEnrlmtUnder2246[Grade 12])</f>
        <v>0</v>
      </c>
      <c r="U648" s="425">
        <f>SUBTOTAL(109,BProvPrivEnrlmtUnder2246[Ungradable Second FTE])</f>
        <v>0</v>
      </c>
      <c r="V648" s="428">
        <f>SUBTOTAL(109,BProvPrivEnrlmtUnder2246[TOTAL &lt;22 FTE])</f>
        <v>0</v>
      </c>
      <c r="W648" s="425">
        <f>SUBTOTAL(109,BProvPrivEnrlmtUnder2246[K4 H])</f>
        <v>0</v>
      </c>
      <c r="X648" s="425">
        <f>SUBTOTAL(109,BProvPrivEnrlmtUnder2246[K5 H])</f>
        <v>0</v>
      </c>
      <c r="Y648" s="425">
        <f>SUBTOTAL(109,BProvPrivEnrlmtUnder2246[Grade 1 H])</f>
        <v>0</v>
      </c>
      <c r="Z648" s="425">
        <f>SUBTOTAL(109,BProvPrivEnrlmtUnder2246[Grade 2 H])</f>
        <v>0</v>
      </c>
      <c r="AA648" s="425">
        <f>SUBTOTAL(109,BProvPrivEnrlmtUnder2246[Grade 3 H])</f>
        <v>0</v>
      </c>
      <c r="AB648" s="425">
        <f>SUBTOTAL(109,BProvPrivEnrlmtUnder2246[Grade 4 H])</f>
        <v>0</v>
      </c>
      <c r="AC648" s="425">
        <f>SUBTOTAL(109,BProvPrivEnrlmtUnder2246[Grade 5 H])</f>
        <v>0</v>
      </c>
      <c r="AD648" s="425">
        <f>SUBTOTAL(109,BProvPrivEnrlmtUnder2246[Grade 6 H])</f>
        <v>0</v>
      </c>
      <c r="AE648" s="425">
        <f>SUBTOTAL(109,BProvPrivEnrlmtUnder2246[Grade 7 H])</f>
        <v>0</v>
      </c>
      <c r="AF648" s="425">
        <f>SUBTOTAL(109,BProvPrivEnrlmtUnder2246[Grade 8 H])</f>
        <v>0</v>
      </c>
      <c r="AG648" s="425">
        <f>SUBTOTAL(109,BProvPrivEnrlmtUnder2246[Ungradable Elem H])</f>
        <v>0</v>
      </c>
      <c r="AH648" s="425">
        <f>SUBTOTAL(109,BProvPrivEnrlmtUnder2246[Grade 9 H])</f>
        <v>0</v>
      </c>
      <c r="AI648" s="425">
        <f>SUBTOTAL(109,BProvPrivEnrlmtUnder2246[Grade 10 H])</f>
        <v>0</v>
      </c>
      <c r="AJ648" s="425">
        <f>SUBTOTAL(109,BProvPrivEnrlmtUnder2246[Grade 11 H])</f>
        <v>0</v>
      </c>
      <c r="AK648" s="425">
        <f>SUBTOTAL(109,BProvPrivEnrlmtUnder2246[Grade 12 H])</f>
        <v>0</v>
      </c>
      <c r="AL648" s="425">
        <f>SUBTOTAL(109,BProvPrivEnrlmtUnder2246[Ungradable Second H])</f>
        <v>0</v>
      </c>
      <c r="AM648" s="425">
        <f>SUBTOTAL(109,BProvPrivEnrlmtUnder2246[TOTAL &lt;22 HEADCOUNT])</f>
        <v>0</v>
      </c>
      <c r="AN648" s="425">
        <f>SUBTOTAL(109,BProvPrivEnrlmtUnder2246[ADJUSTED HEADCOUNT FOR TRANSPORTATION])</f>
        <v>0</v>
      </c>
      <c r="AT648" s="425">
        <f>SUBTOTAL(109,BProvPrivEnrlmtUnder2246[Mandatory room &amp; board &lt;18])</f>
        <v>0</v>
      </c>
      <c r="AU648" s="425">
        <f>SUBTOTAL(109,BProvPrivEnrlmtUnder2246[Student residence &lt;18])</f>
        <v>0</v>
      </c>
      <c r="AV648" s="425">
        <f>SUBTOTAL(109,BProvPrivEnrlmtUnder2246[Boarding school &lt;18])</f>
        <v>0</v>
      </c>
      <c r="AW648" s="425">
        <f>SUBTOTAL(109,BProvPrivEnrlmtUnder2246[Room and board (5 days) &lt;18])</f>
        <v>0</v>
      </c>
      <c r="AX648" s="425">
        <f>SUBTOTAL(109,BProvPrivEnrlmtUnder2246[Mandatory room &amp; board 18-21])</f>
        <v>0</v>
      </c>
      <c r="AY648" s="425">
        <f>SUBTOTAL(109,BProvPrivEnrlmtUnder2246[Student residence 18-21])</f>
        <v>0</v>
      </c>
      <c r="AZ648" s="425">
        <f>SUBTOTAL(109,BProvPrivEnrlmtUnder2246[Boarding school 18-21])</f>
        <v>0</v>
      </c>
      <c r="BA648" s="425">
        <f>SUBTOTAL(109,BProvPrivEnrlmtUnder2246[Room and board (5 days) 18-21])</f>
        <v>0</v>
      </c>
    </row>
    <row r="649" spans="1:53" s="425" customFormat="1" hidden="1"/>
    <row r="650" spans="1:53" s="425" customFormat="1" hidden="1"/>
    <row r="651" spans="1:53" s="425" customFormat="1" hidden="1"/>
    <row r="652" spans="1:53" s="425" customFormat="1" hidden="1"/>
    <row r="653" spans="1:53" s="425" customFormat="1" hidden="1"/>
    <row r="654" spans="1:53" s="425" customFormat="1" hidden="1"/>
    <row r="655" spans="1:53" s="425" customFormat="1" hidden="1"/>
    <row r="656" spans="1:53" s="425" customFormat="1" hidden="1"/>
    <row r="657" spans="1:53" s="425" customFormat="1" hidden="1">
      <c r="AS657" s="449"/>
    </row>
    <row r="658" spans="1:53" s="425" customFormat="1" hidden="1"/>
    <row r="659" spans="1:53" s="425" customFormat="1" hidden="1"/>
    <row r="660" spans="1:53" s="425" customFormat="1" hidden="1">
      <c r="A660" s="425" t="s">
        <v>1504</v>
      </c>
    </row>
    <row r="661" spans="1:53" s="425" customFormat="1" ht="45" hidden="1">
      <c r="A661" s="1509" t="s">
        <v>739</v>
      </c>
      <c r="B661" s="1509" t="s">
        <v>481</v>
      </c>
      <c r="C661" s="1509" t="s">
        <v>375</v>
      </c>
      <c r="D661" s="1509" t="s">
        <v>331</v>
      </c>
      <c r="E661" s="1519" t="s">
        <v>338</v>
      </c>
      <c r="F661" s="1520" t="s">
        <v>1276</v>
      </c>
      <c r="G661" s="1520" t="s">
        <v>1277</v>
      </c>
      <c r="H661" s="1520" t="s">
        <v>1320</v>
      </c>
      <c r="I661" s="1520" t="s">
        <v>1321</v>
      </c>
      <c r="J661" s="1520" t="s">
        <v>1322</v>
      </c>
      <c r="K661" s="1520" t="s">
        <v>1323</v>
      </c>
      <c r="L661" s="1520" t="s">
        <v>1324</v>
      </c>
      <c r="M661" s="1520" t="s">
        <v>1325</v>
      </c>
      <c r="N661" s="1520" t="s">
        <v>1326</v>
      </c>
      <c r="O661" s="1520" t="s">
        <v>1327</v>
      </c>
      <c r="P661" s="1520" t="s">
        <v>1328</v>
      </c>
      <c r="Q661" s="1520" t="s">
        <v>1329</v>
      </c>
      <c r="R661" s="1520" t="s">
        <v>1330</v>
      </c>
      <c r="S661" s="1520" t="s">
        <v>1331</v>
      </c>
      <c r="T661" s="1520" t="s">
        <v>1332</v>
      </c>
      <c r="U661" s="1520" t="s">
        <v>1333</v>
      </c>
      <c r="V661" s="1521" t="s">
        <v>1334</v>
      </c>
      <c r="W661" s="1522" t="s">
        <v>1278</v>
      </c>
      <c r="X661" s="1522" t="s">
        <v>1279</v>
      </c>
      <c r="Y661" s="1522" t="s">
        <v>1335</v>
      </c>
      <c r="Z661" s="1522" t="s">
        <v>1336</v>
      </c>
      <c r="AA661" s="1522" t="s">
        <v>1337</v>
      </c>
      <c r="AB661" s="1522" t="s">
        <v>1338</v>
      </c>
      <c r="AC661" s="1522" t="s">
        <v>1339</v>
      </c>
      <c r="AD661" s="1522" t="s">
        <v>1340</v>
      </c>
      <c r="AE661" s="1522" t="s">
        <v>1341</v>
      </c>
      <c r="AF661" s="1522" t="s">
        <v>1342</v>
      </c>
      <c r="AG661" s="1522" t="s">
        <v>1343</v>
      </c>
      <c r="AH661" s="1522" t="s">
        <v>1344</v>
      </c>
      <c r="AI661" s="1522" t="s">
        <v>1345</v>
      </c>
      <c r="AJ661" s="1522" t="s">
        <v>1346</v>
      </c>
      <c r="AK661" s="1522" t="s">
        <v>1347</v>
      </c>
      <c r="AL661" s="1522" t="s">
        <v>1348</v>
      </c>
      <c r="AM661" s="1521" t="s">
        <v>1349</v>
      </c>
      <c r="AN661" s="1523" t="s">
        <v>1382</v>
      </c>
      <c r="AO661" s="1522" t="s">
        <v>1350</v>
      </c>
      <c r="AP661" s="1522" t="s">
        <v>832</v>
      </c>
      <c r="AQ661" s="1522" t="s">
        <v>1351</v>
      </c>
      <c r="AR661" s="1522" t="s">
        <v>1186</v>
      </c>
      <c r="AS661" s="1522" t="s">
        <v>1187</v>
      </c>
      <c r="AT661" s="1524" t="s">
        <v>1216</v>
      </c>
      <c r="AU661" s="1524" t="s">
        <v>1217</v>
      </c>
      <c r="AV661" s="1524" t="s">
        <v>1218</v>
      </c>
      <c r="AW661" s="1524" t="s">
        <v>1219</v>
      </c>
      <c r="AX661" s="1525" t="s">
        <v>1220</v>
      </c>
      <c r="AY661" s="1525" t="s">
        <v>1221</v>
      </c>
      <c r="AZ661" s="1525" t="s">
        <v>1222</v>
      </c>
      <c r="BA661" s="1525" t="s">
        <v>1223</v>
      </c>
    </row>
    <row r="662" spans="1:53" s="425" customFormat="1" hidden="1">
      <c r="A662" s="444">
        <v>261</v>
      </c>
      <c r="B662" s="444" t="s">
        <v>1295</v>
      </c>
      <c r="C662" s="444">
        <v>1744</v>
      </c>
      <c r="D662" s="444" t="s">
        <v>1470</v>
      </c>
      <c r="E662" s="425" t="s">
        <v>666</v>
      </c>
      <c r="F662" s="444"/>
      <c r="G662" s="444">
        <v>1</v>
      </c>
      <c r="H662" s="444"/>
      <c r="I662" s="444">
        <v>1</v>
      </c>
      <c r="J662" s="444"/>
      <c r="K662" s="444">
        <v>1</v>
      </c>
      <c r="L662" s="444"/>
      <c r="M662" s="444"/>
      <c r="N662" s="444">
        <v>1</v>
      </c>
      <c r="O662" s="444"/>
      <c r="P662" s="444"/>
      <c r="Q662" s="444"/>
      <c r="R662" s="444"/>
      <c r="S662" s="444"/>
      <c r="T662" s="444"/>
      <c r="U662" s="444"/>
      <c r="V662" s="445">
        <v>4</v>
      </c>
      <c r="W662" s="444"/>
      <c r="X662" s="444">
        <v>1</v>
      </c>
      <c r="Y662" s="444"/>
      <c r="Z662" s="444">
        <v>1</v>
      </c>
      <c r="AA662" s="444"/>
      <c r="AB662" s="444">
        <v>1</v>
      </c>
      <c r="AC662" s="444"/>
      <c r="AD662" s="444"/>
      <c r="AE662" s="444">
        <v>1</v>
      </c>
      <c r="AF662" s="444"/>
      <c r="AG662" s="444"/>
      <c r="AH662" s="444"/>
      <c r="AI662" s="444"/>
      <c r="AJ662" s="444"/>
      <c r="AK662" s="444"/>
      <c r="AL662" s="444"/>
      <c r="AM662" s="446">
        <v>4</v>
      </c>
      <c r="AN662" s="447">
        <v>4</v>
      </c>
      <c r="AO662" s="444" t="s">
        <v>473</v>
      </c>
      <c r="AP662" s="444" t="s">
        <v>1384</v>
      </c>
      <c r="AQ662" s="444" t="s">
        <v>443</v>
      </c>
      <c r="AR662" s="444" t="s">
        <v>1306</v>
      </c>
      <c r="AS662" s="444" t="s">
        <v>1298</v>
      </c>
      <c r="AT662" s="449"/>
      <c r="AU662" s="449"/>
      <c r="AW662" s="449"/>
      <c r="AX662" s="450"/>
      <c r="AY662" s="450"/>
      <c r="AZ662" s="450"/>
      <c r="BA662" s="450"/>
    </row>
    <row r="663" spans="1:53" s="425" customFormat="1" hidden="1">
      <c r="A663" s="444">
        <v>261</v>
      </c>
      <c r="B663" s="444" t="s">
        <v>1295</v>
      </c>
      <c r="C663" s="444">
        <v>3310</v>
      </c>
      <c r="D663" s="444" t="s">
        <v>1045</v>
      </c>
      <c r="E663" s="425" t="s">
        <v>666</v>
      </c>
      <c r="F663" s="444"/>
      <c r="G663" s="444"/>
      <c r="H663" s="444"/>
      <c r="I663" s="444"/>
      <c r="J663" s="444"/>
      <c r="K663" s="444"/>
      <c r="L663" s="444"/>
      <c r="M663" s="444"/>
      <c r="N663" s="444"/>
      <c r="O663" s="444"/>
      <c r="P663" s="444"/>
      <c r="Q663" s="444"/>
      <c r="R663" s="444"/>
      <c r="S663" s="444">
        <v>1</v>
      </c>
      <c r="T663" s="444"/>
      <c r="U663" s="444"/>
      <c r="V663" s="445">
        <v>1</v>
      </c>
      <c r="W663" s="444"/>
      <c r="X663" s="444"/>
      <c r="Y663" s="444"/>
      <c r="Z663" s="444"/>
      <c r="AA663" s="444"/>
      <c r="AB663" s="444"/>
      <c r="AC663" s="444"/>
      <c r="AD663" s="444"/>
      <c r="AE663" s="444"/>
      <c r="AF663" s="444"/>
      <c r="AG663" s="444"/>
      <c r="AH663" s="444"/>
      <c r="AI663" s="444"/>
      <c r="AJ663" s="444">
        <v>1</v>
      </c>
      <c r="AK663" s="444"/>
      <c r="AL663" s="444"/>
      <c r="AM663" s="446">
        <v>1</v>
      </c>
      <c r="AN663" s="447">
        <v>1</v>
      </c>
      <c r="AO663" s="444" t="s">
        <v>473</v>
      </c>
      <c r="AP663" s="444" t="s">
        <v>1233</v>
      </c>
      <c r="AQ663" s="444" t="s">
        <v>443</v>
      </c>
      <c r="AR663" s="444" t="s">
        <v>1306</v>
      </c>
      <c r="AS663" s="444" t="s">
        <v>1306</v>
      </c>
      <c r="AT663" s="449">
        <v>1</v>
      </c>
      <c r="AU663" s="449"/>
      <c r="AW663" s="449"/>
      <c r="AX663" s="450"/>
      <c r="AY663" s="450"/>
      <c r="AZ663" s="450"/>
      <c r="BA663" s="450"/>
    </row>
    <row r="664" spans="1:53" s="425" customFormat="1" hidden="1">
      <c r="A664" s="444">
        <v>261</v>
      </c>
      <c r="B664" s="444" t="s">
        <v>1295</v>
      </c>
      <c r="C664" s="444">
        <v>3330</v>
      </c>
      <c r="D664" s="444" t="s">
        <v>1012</v>
      </c>
      <c r="E664" s="425" t="s">
        <v>666</v>
      </c>
      <c r="F664" s="444"/>
      <c r="G664" s="444"/>
      <c r="H664" s="444"/>
      <c r="I664" s="444"/>
      <c r="J664" s="444"/>
      <c r="K664" s="444"/>
      <c r="L664" s="444"/>
      <c r="M664" s="444"/>
      <c r="N664" s="444"/>
      <c r="O664" s="444"/>
      <c r="P664" s="444"/>
      <c r="Q664" s="444"/>
      <c r="R664" s="444"/>
      <c r="S664" s="444"/>
      <c r="T664" s="444">
        <v>1</v>
      </c>
      <c r="U664" s="444"/>
      <c r="V664" s="445">
        <v>1</v>
      </c>
      <c r="W664" s="444"/>
      <c r="X664" s="444"/>
      <c r="Y664" s="444"/>
      <c r="Z664" s="444"/>
      <c r="AA664" s="444"/>
      <c r="AB664" s="444"/>
      <c r="AC664" s="444"/>
      <c r="AD664" s="444"/>
      <c r="AE664" s="444"/>
      <c r="AF664" s="444"/>
      <c r="AG664" s="444"/>
      <c r="AH664" s="444"/>
      <c r="AI664" s="444"/>
      <c r="AJ664" s="444"/>
      <c r="AK664" s="444">
        <v>1</v>
      </c>
      <c r="AL664" s="444"/>
      <c r="AM664" s="446">
        <v>1</v>
      </c>
      <c r="AN664" s="447">
        <v>1</v>
      </c>
      <c r="AO664" s="444" t="s">
        <v>473</v>
      </c>
      <c r="AP664" s="444" t="s">
        <v>1405</v>
      </c>
      <c r="AQ664" s="444" t="s">
        <v>443</v>
      </c>
      <c r="AR664" s="444" t="s">
        <v>1306</v>
      </c>
      <c r="AS664" s="444" t="s">
        <v>1306</v>
      </c>
      <c r="AT664" s="449">
        <v>1</v>
      </c>
      <c r="AU664" s="449"/>
      <c r="AW664" s="449"/>
      <c r="AX664" s="450"/>
      <c r="AY664" s="450"/>
      <c r="AZ664" s="450"/>
      <c r="BA664" s="450"/>
    </row>
    <row r="665" spans="1:53" s="425" customFormat="1" hidden="1">
      <c r="A665" s="444">
        <v>261</v>
      </c>
      <c r="B665" s="444" t="s">
        <v>1295</v>
      </c>
      <c r="C665" s="444">
        <v>3449</v>
      </c>
      <c r="D665" s="444" t="s">
        <v>1015</v>
      </c>
      <c r="E665" s="425" t="s">
        <v>666</v>
      </c>
      <c r="F665" s="444"/>
      <c r="G665" s="444"/>
      <c r="H665" s="444"/>
      <c r="I665" s="444"/>
      <c r="J665" s="444"/>
      <c r="K665" s="444"/>
      <c r="L665" s="444"/>
      <c r="M665" s="444"/>
      <c r="N665" s="444"/>
      <c r="O665" s="444"/>
      <c r="P665" s="444"/>
      <c r="Q665" s="444"/>
      <c r="R665" s="444">
        <v>2</v>
      </c>
      <c r="S665" s="444">
        <v>7</v>
      </c>
      <c r="T665" s="444">
        <v>7</v>
      </c>
      <c r="U665" s="444"/>
      <c r="V665" s="445">
        <v>16</v>
      </c>
      <c r="W665" s="444"/>
      <c r="X665" s="444"/>
      <c r="Y665" s="444"/>
      <c r="Z665" s="444"/>
      <c r="AA665" s="444"/>
      <c r="AB665" s="444"/>
      <c r="AC665" s="444"/>
      <c r="AD665" s="444"/>
      <c r="AE665" s="444"/>
      <c r="AF665" s="444"/>
      <c r="AG665" s="444"/>
      <c r="AH665" s="444"/>
      <c r="AI665" s="444">
        <v>2</v>
      </c>
      <c r="AJ665" s="444">
        <v>7</v>
      </c>
      <c r="AK665" s="444">
        <v>7</v>
      </c>
      <c r="AL665" s="444"/>
      <c r="AM665" s="446">
        <v>16</v>
      </c>
      <c r="AN665" s="447">
        <v>16</v>
      </c>
      <c r="AO665" s="444" t="s">
        <v>473</v>
      </c>
      <c r="AP665" s="444" t="s">
        <v>1384</v>
      </c>
      <c r="AQ665" s="444" t="s">
        <v>443</v>
      </c>
      <c r="AR665" s="444" t="s">
        <v>1306</v>
      </c>
      <c r="AS665" s="444" t="s">
        <v>1306</v>
      </c>
      <c r="AT665" s="449"/>
      <c r="AU665" s="449">
        <v>3</v>
      </c>
      <c r="AW665" s="449"/>
      <c r="AX665" s="450"/>
      <c r="AY665" s="450"/>
      <c r="AZ665" s="450"/>
      <c r="BA665" s="450"/>
    </row>
    <row r="666" spans="1:53" s="425" customFormat="1" hidden="1">
      <c r="A666" s="444">
        <v>261</v>
      </c>
      <c r="B666" s="444" t="s">
        <v>1295</v>
      </c>
      <c r="C666" s="444">
        <v>3483</v>
      </c>
      <c r="D666" s="444" t="s">
        <v>1471</v>
      </c>
      <c r="E666" s="425" t="s">
        <v>666</v>
      </c>
      <c r="F666" s="444"/>
      <c r="G666" s="444"/>
      <c r="H666" s="444">
        <v>1</v>
      </c>
      <c r="I666" s="444">
        <v>1</v>
      </c>
      <c r="J666" s="444">
        <v>1</v>
      </c>
      <c r="K666" s="444">
        <v>1</v>
      </c>
      <c r="L666" s="444">
        <v>3</v>
      </c>
      <c r="M666" s="444">
        <v>3</v>
      </c>
      <c r="N666" s="444">
        <v>4</v>
      </c>
      <c r="O666" s="444">
        <v>3</v>
      </c>
      <c r="P666" s="444"/>
      <c r="Q666" s="444">
        <v>1</v>
      </c>
      <c r="R666" s="444"/>
      <c r="S666" s="444"/>
      <c r="T666" s="444"/>
      <c r="U666" s="444"/>
      <c r="V666" s="445">
        <v>18</v>
      </c>
      <c r="W666" s="444"/>
      <c r="X666" s="444"/>
      <c r="Y666" s="444">
        <v>1</v>
      </c>
      <c r="Z666" s="444">
        <v>1</v>
      </c>
      <c r="AA666" s="444">
        <v>1</v>
      </c>
      <c r="AB666" s="444">
        <v>1</v>
      </c>
      <c r="AC666" s="444">
        <v>3</v>
      </c>
      <c r="AD666" s="444">
        <v>3</v>
      </c>
      <c r="AE666" s="444">
        <v>4</v>
      </c>
      <c r="AF666" s="444">
        <v>3</v>
      </c>
      <c r="AG666" s="444"/>
      <c r="AH666" s="444">
        <v>1</v>
      </c>
      <c r="AI666" s="444"/>
      <c r="AJ666" s="444"/>
      <c r="AK666" s="444"/>
      <c r="AL666" s="444"/>
      <c r="AM666" s="446">
        <v>18</v>
      </c>
      <c r="AN666" s="447">
        <v>18</v>
      </c>
      <c r="AO666" s="444" t="s">
        <v>473</v>
      </c>
      <c r="AP666" s="444" t="s">
        <v>1384</v>
      </c>
      <c r="AQ666" s="444" t="s">
        <v>443</v>
      </c>
      <c r="AR666" s="444" t="s">
        <v>1306</v>
      </c>
      <c r="AS666" s="444" t="s">
        <v>1306</v>
      </c>
      <c r="AT666" s="449"/>
      <c r="AU666" s="451"/>
      <c r="AW666" s="449"/>
      <c r="AX666" s="450"/>
      <c r="AY666" s="450"/>
      <c r="AZ666" s="450"/>
      <c r="BA666" s="450"/>
    </row>
    <row r="667" spans="1:53" s="425" customFormat="1" hidden="1">
      <c r="A667" s="444">
        <v>261</v>
      </c>
      <c r="B667" s="444" t="s">
        <v>1295</v>
      </c>
      <c r="C667" s="444">
        <v>8193</v>
      </c>
      <c r="D667" s="444" t="s">
        <v>1472</v>
      </c>
      <c r="E667" s="425" t="s">
        <v>973</v>
      </c>
      <c r="O667" s="449"/>
      <c r="P667" s="449"/>
      <c r="Q667" s="449">
        <v>1</v>
      </c>
      <c r="R667" s="449"/>
      <c r="S667" s="449"/>
      <c r="T667" s="449">
        <v>20</v>
      </c>
      <c r="U667" s="425">
        <v>1</v>
      </c>
      <c r="V667" s="453">
        <v>22</v>
      </c>
      <c r="W667" s="449"/>
      <c r="X667" s="449"/>
      <c r="Y667" s="449"/>
      <c r="Z667" s="449"/>
      <c r="AA667" s="449"/>
      <c r="AB667" s="449"/>
      <c r="AC667" s="449"/>
      <c r="AD667" s="449"/>
      <c r="AE667" s="449"/>
      <c r="AF667" s="449"/>
      <c r="AG667" s="449"/>
      <c r="AH667" s="449">
        <v>1</v>
      </c>
      <c r="AI667" s="449"/>
      <c r="AJ667" s="449"/>
      <c r="AK667" s="449">
        <v>20</v>
      </c>
      <c r="AL667" s="449">
        <v>1</v>
      </c>
      <c r="AM667" s="454">
        <v>22</v>
      </c>
      <c r="AN667" s="455">
        <v>22</v>
      </c>
      <c r="AO667" s="449" t="s">
        <v>473</v>
      </c>
      <c r="AP667" s="449" t="s">
        <v>1397</v>
      </c>
      <c r="AQ667" s="449" t="s">
        <v>443</v>
      </c>
      <c r="AR667" s="449" t="s">
        <v>1306</v>
      </c>
      <c r="AS667" s="449" t="s">
        <v>1306</v>
      </c>
      <c r="AT667" s="449"/>
      <c r="AX667" s="450"/>
      <c r="AY667" s="450"/>
      <c r="AZ667" s="450"/>
      <c r="BA667" s="450"/>
    </row>
    <row r="668" spans="1:53" s="425" customFormat="1" hidden="1">
      <c r="A668" s="444">
        <v>267</v>
      </c>
      <c r="B668" s="444" t="s">
        <v>392</v>
      </c>
      <c r="C668" s="444">
        <v>1306</v>
      </c>
      <c r="D668" s="444" t="s">
        <v>1018</v>
      </c>
      <c r="E668" s="425" t="s">
        <v>666</v>
      </c>
      <c r="F668" s="444"/>
      <c r="G668" s="444"/>
      <c r="H668" s="444"/>
      <c r="I668" s="444"/>
      <c r="J668" s="444"/>
      <c r="K668" s="444"/>
      <c r="L668" s="444"/>
      <c r="M668" s="444"/>
      <c r="N668" s="444"/>
      <c r="O668" s="444"/>
      <c r="P668" s="444"/>
      <c r="Q668" s="444"/>
      <c r="R668" s="444">
        <v>2</v>
      </c>
      <c r="S668" s="444">
        <v>2</v>
      </c>
      <c r="T668" s="444"/>
      <c r="U668" s="444"/>
      <c r="V668" s="445">
        <v>4</v>
      </c>
      <c r="W668" s="444"/>
      <c r="X668" s="444"/>
      <c r="Y668" s="444"/>
      <c r="Z668" s="444"/>
      <c r="AA668" s="444"/>
      <c r="AB668" s="444"/>
      <c r="AC668" s="444"/>
      <c r="AD668" s="444"/>
      <c r="AE668" s="444"/>
      <c r="AF668" s="444"/>
      <c r="AG668" s="444"/>
      <c r="AH668" s="444"/>
      <c r="AI668" s="444">
        <v>2</v>
      </c>
      <c r="AJ668" s="444">
        <v>2</v>
      </c>
      <c r="AK668" s="444"/>
      <c r="AL668" s="444"/>
      <c r="AM668" s="446">
        <v>4</v>
      </c>
      <c r="AN668" s="447">
        <v>4</v>
      </c>
      <c r="AO668" s="444" t="s">
        <v>473</v>
      </c>
      <c r="AP668" s="444" t="s">
        <v>866</v>
      </c>
      <c r="AQ668" s="444" t="s">
        <v>441</v>
      </c>
      <c r="AR668" s="444" t="s">
        <v>1306</v>
      </c>
      <c r="AS668" s="444" t="s">
        <v>1306</v>
      </c>
      <c r="AT668" s="448">
        <v>4</v>
      </c>
      <c r="AU668" s="449"/>
      <c r="AW668" s="449"/>
      <c r="AX668" s="450"/>
      <c r="AY668" s="450"/>
      <c r="AZ668" s="450"/>
      <c r="BA668" s="450"/>
    </row>
    <row r="669" spans="1:53" s="425" customFormat="1" hidden="1">
      <c r="A669" s="444">
        <v>267</v>
      </c>
      <c r="B669" s="444" t="s">
        <v>392</v>
      </c>
      <c r="C669" s="444">
        <v>1758</v>
      </c>
      <c r="D669" s="444" t="s">
        <v>1020</v>
      </c>
      <c r="E669" s="425" t="s">
        <v>666</v>
      </c>
      <c r="F669" s="444"/>
      <c r="G669" s="444"/>
      <c r="H669" s="444"/>
      <c r="I669" s="444"/>
      <c r="J669" s="444"/>
      <c r="K669" s="444"/>
      <c r="L669" s="444"/>
      <c r="M669" s="444"/>
      <c r="N669" s="444"/>
      <c r="O669" s="444"/>
      <c r="P669" s="444"/>
      <c r="Q669" s="444"/>
      <c r="R669" s="444">
        <v>4</v>
      </c>
      <c r="S669" s="444">
        <v>3</v>
      </c>
      <c r="T669" s="444">
        <v>1</v>
      </c>
      <c r="U669" s="444"/>
      <c r="V669" s="445">
        <v>8</v>
      </c>
      <c r="W669" s="444"/>
      <c r="X669" s="444"/>
      <c r="Y669" s="444"/>
      <c r="Z669" s="444"/>
      <c r="AA669" s="444"/>
      <c r="AB669" s="444"/>
      <c r="AC669" s="444"/>
      <c r="AD669" s="444"/>
      <c r="AE669" s="444"/>
      <c r="AF669" s="444"/>
      <c r="AG669" s="444"/>
      <c r="AH669" s="444"/>
      <c r="AI669" s="444">
        <v>4</v>
      </c>
      <c r="AJ669" s="444">
        <v>3</v>
      </c>
      <c r="AK669" s="444">
        <v>1</v>
      </c>
      <c r="AL669" s="444"/>
      <c r="AM669" s="446">
        <v>8</v>
      </c>
      <c r="AN669" s="447">
        <v>8</v>
      </c>
      <c r="AO669" s="444" t="s">
        <v>473</v>
      </c>
      <c r="AP669" s="444" t="s">
        <v>1463</v>
      </c>
      <c r="AQ669" s="444" t="s">
        <v>441</v>
      </c>
      <c r="AR669" s="444" t="s">
        <v>1306</v>
      </c>
      <c r="AS669" s="444" t="s">
        <v>1306</v>
      </c>
      <c r="AT669" s="449"/>
      <c r="AU669" s="448">
        <v>8</v>
      </c>
      <c r="AW669" s="449"/>
      <c r="AX669" s="450"/>
      <c r="AY669" s="450"/>
      <c r="AZ669" s="450"/>
      <c r="BA669" s="450"/>
    </row>
    <row r="670" spans="1:53" s="425" customFormat="1" hidden="1">
      <c r="A670" s="444">
        <v>267</v>
      </c>
      <c r="B670" s="444" t="s">
        <v>392</v>
      </c>
      <c r="C670" s="444">
        <v>3282</v>
      </c>
      <c r="D670" s="444" t="s">
        <v>1022</v>
      </c>
      <c r="E670" s="425" t="s">
        <v>666</v>
      </c>
      <c r="F670" s="444"/>
      <c r="G670" s="444"/>
      <c r="H670" s="444"/>
      <c r="I670" s="444"/>
      <c r="J670" s="444"/>
      <c r="K670" s="444"/>
      <c r="L670" s="444"/>
      <c r="M670" s="444"/>
      <c r="N670" s="444"/>
      <c r="O670" s="444"/>
      <c r="P670" s="444"/>
      <c r="Q670" s="444"/>
      <c r="R670" s="444">
        <v>3</v>
      </c>
      <c r="S670" s="444"/>
      <c r="T670" s="444">
        <v>2</v>
      </c>
      <c r="U670" s="444"/>
      <c r="V670" s="445">
        <v>5</v>
      </c>
      <c r="W670" s="444"/>
      <c r="X670" s="444"/>
      <c r="Y670" s="444"/>
      <c r="Z670" s="444"/>
      <c r="AA670" s="444"/>
      <c r="AB670" s="444"/>
      <c r="AC670" s="444"/>
      <c r="AD670" s="444"/>
      <c r="AE670" s="444"/>
      <c r="AF670" s="444"/>
      <c r="AG670" s="444"/>
      <c r="AH670" s="444"/>
      <c r="AI670" s="444">
        <v>3</v>
      </c>
      <c r="AJ670" s="444"/>
      <c r="AK670" s="444">
        <v>2</v>
      </c>
      <c r="AL670" s="444"/>
      <c r="AM670" s="446">
        <v>5</v>
      </c>
      <c r="AN670" s="447">
        <v>5</v>
      </c>
      <c r="AO670" s="444" t="s">
        <v>473</v>
      </c>
      <c r="AP670" s="444" t="s">
        <v>1233</v>
      </c>
      <c r="AQ670" s="444" t="s">
        <v>441</v>
      </c>
      <c r="AR670" s="444" t="s">
        <v>1306</v>
      </c>
      <c r="AS670" s="444" t="s">
        <v>1306</v>
      </c>
      <c r="AT670" s="448">
        <v>5</v>
      </c>
      <c r="AU670" s="449"/>
      <c r="AW670" s="449"/>
      <c r="AX670" s="450"/>
      <c r="AY670" s="450"/>
      <c r="AZ670" s="450"/>
      <c r="BA670" s="450"/>
    </row>
    <row r="671" spans="1:53" s="425" customFormat="1" hidden="1">
      <c r="A671" s="444">
        <v>267</v>
      </c>
      <c r="B671" s="444" t="s">
        <v>392</v>
      </c>
      <c r="C671" s="444">
        <v>3305</v>
      </c>
      <c r="D671" s="444" t="s">
        <v>1024</v>
      </c>
      <c r="E671" s="425" t="s">
        <v>666</v>
      </c>
      <c r="F671" s="444"/>
      <c r="G671" s="444"/>
      <c r="H671" s="444"/>
      <c r="I671" s="444"/>
      <c r="J671" s="444"/>
      <c r="K671" s="444"/>
      <c r="L671" s="444"/>
      <c r="M671" s="444"/>
      <c r="N671" s="444"/>
      <c r="O671" s="444"/>
      <c r="P671" s="444"/>
      <c r="Q671" s="444"/>
      <c r="R671" s="444"/>
      <c r="S671" s="444">
        <v>2</v>
      </c>
      <c r="T671" s="444"/>
      <c r="U671" s="444"/>
      <c r="V671" s="445">
        <v>2</v>
      </c>
      <c r="W671" s="444"/>
      <c r="X671" s="444"/>
      <c r="Y671" s="444"/>
      <c r="Z671" s="444"/>
      <c r="AA671" s="444"/>
      <c r="AB671" s="444"/>
      <c r="AC671" s="444"/>
      <c r="AD671" s="444"/>
      <c r="AE671" s="444"/>
      <c r="AF671" s="444"/>
      <c r="AG671" s="444"/>
      <c r="AH671" s="444"/>
      <c r="AI671" s="444"/>
      <c r="AJ671" s="444">
        <v>2</v>
      </c>
      <c r="AK671" s="444"/>
      <c r="AL671" s="444"/>
      <c r="AM671" s="446">
        <v>2</v>
      </c>
      <c r="AN671" s="447">
        <v>2</v>
      </c>
      <c r="AO671" s="444" t="s">
        <v>473</v>
      </c>
      <c r="AP671" s="444" t="s">
        <v>1233</v>
      </c>
      <c r="AQ671" s="444" t="s">
        <v>441</v>
      </c>
      <c r="AR671" s="444" t="s">
        <v>1306</v>
      </c>
      <c r="AS671" s="444" t="s">
        <v>1306</v>
      </c>
      <c r="AT671" s="448">
        <v>2</v>
      </c>
      <c r="AU671" s="449"/>
      <c r="AW671" s="449"/>
      <c r="AX671" s="450"/>
      <c r="AY671" s="450"/>
      <c r="AZ671" s="450"/>
      <c r="BA671" s="450"/>
    </row>
    <row r="672" spans="1:53" s="425" customFormat="1" hidden="1">
      <c r="A672" s="444">
        <v>267</v>
      </c>
      <c r="B672" s="444" t="s">
        <v>392</v>
      </c>
      <c r="C672" s="444">
        <v>3343</v>
      </c>
      <c r="D672" s="444" t="s">
        <v>1473</v>
      </c>
      <c r="E672" s="425" t="s">
        <v>666</v>
      </c>
      <c r="F672" s="444"/>
      <c r="G672" s="444"/>
      <c r="H672" s="444"/>
      <c r="I672" s="444"/>
      <c r="J672" s="444"/>
      <c r="K672" s="444"/>
      <c r="L672" s="444"/>
      <c r="M672" s="444"/>
      <c r="N672" s="444"/>
      <c r="O672" s="444"/>
      <c r="P672" s="444"/>
      <c r="Q672" s="444"/>
      <c r="R672" s="444"/>
      <c r="S672" s="444">
        <v>1</v>
      </c>
      <c r="T672" s="444"/>
      <c r="U672" s="444"/>
      <c r="V672" s="445">
        <v>1</v>
      </c>
      <c r="W672" s="444"/>
      <c r="X672" s="444"/>
      <c r="Y672" s="444"/>
      <c r="Z672" s="444"/>
      <c r="AA672" s="444"/>
      <c r="AB672" s="444"/>
      <c r="AC672" s="444"/>
      <c r="AD672" s="444"/>
      <c r="AE672" s="444"/>
      <c r="AF672" s="444"/>
      <c r="AG672" s="444"/>
      <c r="AH672" s="444"/>
      <c r="AI672" s="444"/>
      <c r="AJ672" s="444">
        <v>1</v>
      </c>
      <c r="AK672" s="444"/>
      <c r="AL672" s="444"/>
      <c r="AM672" s="446">
        <v>1</v>
      </c>
      <c r="AN672" s="447">
        <v>1</v>
      </c>
      <c r="AO672" s="444" t="s">
        <v>473</v>
      </c>
      <c r="AP672" s="444" t="s">
        <v>1388</v>
      </c>
      <c r="AQ672" s="444" t="s">
        <v>441</v>
      </c>
      <c r="AR672" s="444" t="s">
        <v>1306</v>
      </c>
      <c r="AS672" s="444" t="s">
        <v>1306</v>
      </c>
      <c r="AT672" s="448">
        <v>1</v>
      </c>
      <c r="AU672" s="449"/>
      <c r="AW672" s="449"/>
      <c r="AX672" s="450"/>
      <c r="AY672" s="450"/>
      <c r="AZ672" s="450"/>
      <c r="BA672" s="450"/>
    </row>
    <row r="673" spans="1:53" s="425" customFormat="1" hidden="1">
      <c r="A673" s="444">
        <v>267</v>
      </c>
      <c r="B673" s="444" t="s">
        <v>392</v>
      </c>
      <c r="C673" s="444">
        <v>3491</v>
      </c>
      <c r="D673" s="444" t="s">
        <v>1474</v>
      </c>
      <c r="E673" s="425" t="s">
        <v>666</v>
      </c>
      <c r="F673" s="444"/>
      <c r="G673" s="444"/>
      <c r="H673" s="444"/>
      <c r="I673" s="444"/>
      <c r="J673" s="444"/>
      <c r="K673" s="444"/>
      <c r="L673" s="444"/>
      <c r="M673" s="444"/>
      <c r="N673" s="444"/>
      <c r="O673" s="444"/>
      <c r="P673" s="444"/>
      <c r="Q673" s="444"/>
      <c r="R673" s="444"/>
      <c r="S673" s="444"/>
      <c r="T673" s="444">
        <v>1</v>
      </c>
      <c r="U673" s="444"/>
      <c r="V673" s="445">
        <v>1</v>
      </c>
      <c r="W673" s="444"/>
      <c r="X673" s="444"/>
      <c r="Y673" s="444"/>
      <c r="Z673" s="444"/>
      <c r="AA673" s="444"/>
      <c r="AB673" s="444"/>
      <c r="AC673" s="444"/>
      <c r="AD673" s="444"/>
      <c r="AE673" s="444"/>
      <c r="AF673" s="444"/>
      <c r="AG673" s="444"/>
      <c r="AH673" s="444"/>
      <c r="AI673" s="444"/>
      <c r="AJ673" s="444"/>
      <c r="AK673" s="444">
        <v>1</v>
      </c>
      <c r="AL673" s="444"/>
      <c r="AM673" s="446">
        <v>1</v>
      </c>
      <c r="AN673" s="447">
        <v>1</v>
      </c>
      <c r="AO673" s="444" t="s">
        <v>473</v>
      </c>
      <c r="AP673" s="444" t="s">
        <v>846</v>
      </c>
      <c r="AQ673" s="444" t="s">
        <v>441</v>
      </c>
      <c r="AR673" s="444" t="s">
        <v>1306</v>
      </c>
      <c r="AS673" s="444" t="s">
        <v>1306</v>
      </c>
      <c r="AT673" s="448">
        <v>1</v>
      </c>
      <c r="AU673" s="449"/>
      <c r="AW673" s="449"/>
      <c r="AX673" s="450"/>
      <c r="AY673" s="450"/>
      <c r="AZ673" s="450"/>
      <c r="BA673" s="450"/>
    </row>
    <row r="674" spans="1:53" s="425" customFormat="1" hidden="1">
      <c r="A674" s="444">
        <v>267</v>
      </c>
      <c r="B674" s="444" t="s">
        <v>392</v>
      </c>
      <c r="C674" s="444">
        <v>6912</v>
      </c>
      <c r="D674" s="444" t="s">
        <v>1475</v>
      </c>
      <c r="E674" s="425" t="s">
        <v>666</v>
      </c>
      <c r="F674" s="444"/>
      <c r="G674" s="444"/>
      <c r="H674" s="444"/>
      <c r="I674" s="444"/>
      <c r="J674" s="444"/>
      <c r="K674" s="444"/>
      <c r="L674" s="444"/>
      <c r="M674" s="444"/>
      <c r="N674" s="444"/>
      <c r="O674" s="444"/>
      <c r="P674" s="444"/>
      <c r="Q674" s="444"/>
      <c r="R674" s="444"/>
      <c r="S674" s="444">
        <v>1</v>
      </c>
      <c r="T674" s="444"/>
      <c r="U674" s="444"/>
      <c r="V674" s="445">
        <v>1</v>
      </c>
      <c r="W674" s="444"/>
      <c r="X674" s="444"/>
      <c r="Y674" s="444"/>
      <c r="Z674" s="444"/>
      <c r="AA674" s="444"/>
      <c r="AB674" s="444"/>
      <c r="AC674" s="444"/>
      <c r="AD674" s="444"/>
      <c r="AE674" s="444"/>
      <c r="AF674" s="444"/>
      <c r="AG674" s="444"/>
      <c r="AH674" s="444"/>
      <c r="AI674" s="444"/>
      <c r="AJ674" s="444">
        <v>1</v>
      </c>
      <c r="AK674" s="444"/>
      <c r="AL674" s="444"/>
      <c r="AM674" s="446">
        <v>1</v>
      </c>
      <c r="AN674" s="447">
        <v>1</v>
      </c>
      <c r="AO674" s="444" t="s">
        <v>473</v>
      </c>
      <c r="AP674" s="444" t="s">
        <v>1505</v>
      </c>
      <c r="AQ674" s="444" t="s">
        <v>441</v>
      </c>
      <c r="AR674" s="444" t="s">
        <v>1306</v>
      </c>
      <c r="AS674" s="444" t="s">
        <v>1306</v>
      </c>
      <c r="AT674" s="448">
        <v>1</v>
      </c>
      <c r="AU674" s="449"/>
      <c r="AW674" s="449"/>
      <c r="AX674" s="450"/>
      <c r="AY674" s="450"/>
      <c r="AZ674" s="450"/>
      <c r="BA674" s="450"/>
    </row>
    <row r="675" spans="1:53" s="425" customFormat="1" hidden="1">
      <c r="A675" s="444">
        <v>267</v>
      </c>
      <c r="B675" s="444" t="s">
        <v>392</v>
      </c>
      <c r="C675" s="444">
        <v>7502</v>
      </c>
      <c r="D675" s="444" t="s">
        <v>1026</v>
      </c>
      <c r="E675" s="425" t="s">
        <v>973</v>
      </c>
      <c r="O675" s="449"/>
      <c r="P675" s="449"/>
      <c r="Q675" s="449"/>
      <c r="R675" s="449">
        <v>4</v>
      </c>
      <c r="S675" s="449">
        <v>3</v>
      </c>
      <c r="T675" s="449"/>
      <c r="V675" s="453">
        <v>7</v>
      </c>
      <c r="W675" s="449"/>
      <c r="X675" s="449"/>
      <c r="Y675" s="449"/>
      <c r="Z675" s="449"/>
      <c r="AA675" s="449"/>
      <c r="AB675" s="449"/>
      <c r="AC675" s="449"/>
      <c r="AD675" s="449"/>
      <c r="AE675" s="449"/>
      <c r="AF675" s="449"/>
      <c r="AG675" s="449"/>
      <c r="AH675" s="449"/>
      <c r="AI675" s="449">
        <v>4</v>
      </c>
      <c r="AJ675" s="449">
        <v>3</v>
      </c>
      <c r="AK675" s="449"/>
      <c r="AL675" s="449"/>
      <c r="AM675" s="454">
        <v>7</v>
      </c>
      <c r="AN675" s="455">
        <v>7</v>
      </c>
      <c r="AO675" s="449" t="s">
        <v>473</v>
      </c>
      <c r="AP675" s="449" t="s">
        <v>1397</v>
      </c>
      <c r="AQ675" s="449" t="s">
        <v>441</v>
      </c>
      <c r="AR675" s="449" t="s">
        <v>1306</v>
      </c>
      <c r="AS675" s="449" t="s">
        <v>1306</v>
      </c>
      <c r="AT675" s="449"/>
      <c r="AU675" s="425">
        <v>7</v>
      </c>
      <c r="AX675" s="450"/>
      <c r="AY675" s="450"/>
      <c r="AZ675" s="450"/>
      <c r="BA675" s="450"/>
    </row>
    <row r="676" spans="1:53" s="425" customFormat="1" hidden="1">
      <c r="A676" s="444">
        <v>267</v>
      </c>
      <c r="B676" s="444" t="s">
        <v>392</v>
      </c>
      <c r="C676" s="444">
        <v>8193</v>
      </c>
      <c r="D676" s="444" t="s">
        <v>1472</v>
      </c>
      <c r="E676" s="425" t="s">
        <v>973</v>
      </c>
      <c r="O676" s="449"/>
      <c r="P676" s="449"/>
      <c r="Q676" s="449"/>
      <c r="R676" s="449"/>
      <c r="S676" s="449"/>
      <c r="T676" s="449">
        <v>27</v>
      </c>
      <c r="V676" s="453">
        <v>27</v>
      </c>
      <c r="W676" s="449"/>
      <c r="X676" s="449"/>
      <c r="Y676" s="449"/>
      <c r="Z676" s="449"/>
      <c r="AA676" s="449"/>
      <c r="AB676" s="449"/>
      <c r="AC676" s="449"/>
      <c r="AD676" s="449"/>
      <c r="AE676" s="449"/>
      <c r="AF676" s="449"/>
      <c r="AG676" s="449"/>
      <c r="AH676" s="449"/>
      <c r="AI676" s="449"/>
      <c r="AJ676" s="449"/>
      <c r="AK676" s="449">
        <v>27</v>
      </c>
      <c r="AL676" s="449"/>
      <c r="AM676" s="454">
        <v>27</v>
      </c>
      <c r="AN676" s="455">
        <v>27</v>
      </c>
      <c r="AO676" s="449" t="s">
        <v>473</v>
      </c>
      <c r="AP676" s="449" t="s">
        <v>1397</v>
      </c>
      <c r="AQ676" s="449" t="s">
        <v>441</v>
      </c>
      <c r="AR676" s="449" t="s">
        <v>1306</v>
      </c>
      <c r="AS676" s="449" t="s">
        <v>1306</v>
      </c>
      <c r="AT676" s="451"/>
      <c r="AX676" s="450"/>
      <c r="AY676" s="450"/>
      <c r="AZ676" s="450"/>
      <c r="BA676" s="450"/>
    </row>
    <row r="677" spans="1:53" s="425" customFormat="1" hidden="1">
      <c r="A677" s="444">
        <v>267</v>
      </c>
      <c r="B677" s="444" t="s">
        <v>392</v>
      </c>
      <c r="C677" s="444">
        <v>8230</v>
      </c>
      <c r="D677" s="444" t="s">
        <v>1029</v>
      </c>
      <c r="E677" s="425" t="s">
        <v>1506</v>
      </c>
      <c r="F677" s="444"/>
      <c r="G677" s="444"/>
      <c r="H677" s="444"/>
      <c r="I677" s="444"/>
      <c r="J677" s="444"/>
      <c r="K677" s="444"/>
      <c r="L677" s="444"/>
      <c r="M677" s="444"/>
      <c r="N677" s="444"/>
      <c r="O677" s="444"/>
      <c r="P677" s="444"/>
      <c r="Q677" s="444"/>
      <c r="R677" s="444"/>
      <c r="S677" s="444">
        <v>1</v>
      </c>
      <c r="T677" s="444">
        <v>1</v>
      </c>
      <c r="U677" s="444"/>
      <c r="V677" s="445">
        <v>2</v>
      </c>
      <c r="W677" s="444"/>
      <c r="X677" s="444"/>
      <c r="Y677" s="444"/>
      <c r="Z677" s="444"/>
      <c r="AA677" s="444"/>
      <c r="AB677" s="444"/>
      <c r="AC677" s="444"/>
      <c r="AD677" s="444"/>
      <c r="AE677" s="444"/>
      <c r="AF677" s="444"/>
      <c r="AG677" s="444"/>
      <c r="AH677" s="444"/>
      <c r="AI677" s="444"/>
      <c r="AJ677" s="444">
        <v>1</v>
      </c>
      <c r="AK677" s="444">
        <v>1</v>
      </c>
      <c r="AL677" s="444"/>
      <c r="AM677" s="446">
        <v>2</v>
      </c>
      <c r="AN677" s="447">
        <v>0</v>
      </c>
      <c r="AO677" s="444" t="s">
        <v>473</v>
      </c>
      <c r="AP677" s="444" t="s">
        <v>1477</v>
      </c>
      <c r="AQ677" s="444" t="s">
        <v>441</v>
      </c>
      <c r="AR677" s="444" t="s">
        <v>1306</v>
      </c>
      <c r="AS677" s="444" t="s">
        <v>1306</v>
      </c>
      <c r="AT677" s="448">
        <v>2</v>
      </c>
      <c r="AU677" s="449"/>
      <c r="AW677" s="449"/>
      <c r="AX677" s="450"/>
      <c r="AY677" s="450"/>
      <c r="AZ677" s="450"/>
      <c r="BA677" s="450"/>
    </row>
    <row r="678" spans="1:53" s="425" customFormat="1" hidden="1">
      <c r="A678" s="444">
        <v>271</v>
      </c>
      <c r="B678" s="444" t="s">
        <v>396</v>
      </c>
      <c r="C678" s="444">
        <v>1045</v>
      </c>
      <c r="D678" s="444" t="s">
        <v>1476</v>
      </c>
      <c r="E678" s="425" t="s">
        <v>1506</v>
      </c>
      <c r="O678" s="449"/>
      <c r="P678" s="449"/>
      <c r="Q678" s="449"/>
      <c r="R678" s="449"/>
      <c r="S678" s="449"/>
      <c r="T678" s="449">
        <v>5</v>
      </c>
      <c r="V678" s="453">
        <v>5</v>
      </c>
      <c r="W678" s="449"/>
      <c r="X678" s="449"/>
      <c r="Y678" s="449"/>
      <c r="Z678" s="449"/>
      <c r="AA678" s="449"/>
      <c r="AB678" s="449"/>
      <c r="AC678" s="449"/>
      <c r="AD678" s="449"/>
      <c r="AE678" s="449"/>
      <c r="AF678" s="449"/>
      <c r="AG678" s="449"/>
      <c r="AH678" s="449"/>
      <c r="AI678" s="449"/>
      <c r="AJ678" s="449"/>
      <c r="AK678" s="449">
        <v>5</v>
      </c>
      <c r="AL678" s="449"/>
      <c r="AM678" s="454">
        <v>5</v>
      </c>
      <c r="AN678" s="455">
        <v>0</v>
      </c>
      <c r="AO678" s="449" t="s">
        <v>473</v>
      </c>
      <c r="AP678" s="449" t="s">
        <v>1477</v>
      </c>
      <c r="AQ678" s="449" t="s">
        <v>442</v>
      </c>
      <c r="AR678" s="449" t="s">
        <v>1306</v>
      </c>
      <c r="AS678" s="449" t="s">
        <v>1306</v>
      </c>
      <c r="AX678" s="456">
        <v>5</v>
      </c>
      <c r="AY678" s="450"/>
      <c r="AZ678" s="450"/>
      <c r="BA678" s="450"/>
    </row>
    <row r="679" spans="1:53" s="425" customFormat="1" hidden="1">
      <c r="A679" s="444">
        <v>271</v>
      </c>
      <c r="B679" s="444" t="s">
        <v>396</v>
      </c>
      <c r="C679" s="444">
        <v>2198</v>
      </c>
      <c r="D679" s="444" t="s">
        <v>1032</v>
      </c>
      <c r="E679" s="425" t="s">
        <v>666</v>
      </c>
      <c r="F679" s="444"/>
      <c r="G679" s="444"/>
      <c r="H679" s="444"/>
      <c r="I679" s="444"/>
      <c r="J679" s="444"/>
      <c r="K679" s="444"/>
      <c r="L679" s="444"/>
      <c r="M679" s="444"/>
      <c r="N679" s="444"/>
      <c r="O679" s="444"/>
      <c r="P679" s="444"/>
      <c r="Q679" s="444"/>
      <c r="R679" s="444">
        <v>1</v>
      </c>
      <c r="S679" s="444"/>
      <c r="T679" s="444"/>
      <c r="U679" s="444"/>
      <c r="V679" s="445">
        <v>1</v>
      </c>
      <c r="W679" s="444"/>
      <c r="X679" s="444"/>
      <c r="Y679" s="444"/>
      <c r="Z679" s="444"/>
      <c r="AA679" s="444"/>
      <c r="AB679" s="444"/>
      <c r="AC679" s="444"/>
      <c r="AD679" s="444"/>
      <c r="AE679" s="444"/>
      <c r="AF679" s="444"/>
      <c r="AG679" s="444"/>
      <c r="AH679" s="444"/>
      <c r="AI679" s="444">
        <v>1</v>
      </c>
      <c r="AJ679" s="444"/>
      <c r="AK679" s="444"/>
      <c r="AL679" s="444"/>
      <c r="AM679" s="446">
        <v>1</v>
      </c>
      <c r="AN679" s="447">
        <v>1</v>
      </c>
      <c r="AO679" s="444" t="s">
        <v>473</v>
      </c>
      <c r="AP679" s="444" t="s">
        <v>1405</v>
      </c>
      <c r="AQ679" s="444" t="s">
        <v>442</v>
      </c>
      <c r="AR679" s="444" t="s">
        <v>1306</v>
      </c>
      <c r="AS679" s="444" t="s">
        <v>1306</v>
      </c>
      <c r="AT679" s="448">
        <v>1</v>
      </c>
      <c r="AU679" s="449"/>
      <c r="AW679" s="449"/>
      <c r="AX679" s="450"/>
      <c r="AY679" s="450"/>
      <c r="AZ679" s="450"/>
      <c r="BA679" s="450"/>
    </row>
    <row r="680" spans="1:53" s="425" customFormat="1" hidden="1">
      <c r="A680" s="444">
        <v>271</v>
      </c>
      <c r="B680" s="444" t="s">
        <v>396</v>
      </c>
      <c r="C680" s="444">
        <v>3321</v>
      </c>
      <c r="D680" s="444" t="s">
        <v>1047</v>
      </c>
      <c r="E680" s="425" t="s">
        <v>666</v>
      </c>
      <c r="F680" s="444"/>
      <c r="G680" s="444"/>
      <c r="H680" s="444"/>
      <c r="I680" s="444"/>
      <c r="J680" s="444"/>
      <c r="K680" s="444"/>
      <c r="L680" s="444"/>
      <c r="M680" s="444"/>
      <c r="N680" s="444"/>
      <c r="O680" s="444"/>
      <c r="P680" s="444"/>
      <c r="Q680" s="444">
        <v>1</v>
      </c>
      <c r="R680" s="444">
        <v>2</v>
      </c>
      <c r="S680" s="444"/>
      <c r="T680" s="444"/>
      <c r="U680" s="444"/>
      <c r="V680" s="445">
        <v>3</v>
      </c>
      <c r="W680" s="444"/>
      <c r="X680" s="444"/>
      <c r="Y680" s="444"/>
      <c r="Z680" s="444"/>
      <c r="AA680" s="444"/>
      <c r="AB680" s="444"/>
      <c r="AC680" s="444"/>
      <c r="AD680" s="444"/>
      <c r="AE680" s="444"/>
      <c r="AF680" s="444"/>
      <c r="AG680" s="444"/>
      <c r="AH680" s="444">
        <v>1</v>
      </c>
      <c r="AI680" s="444">
        <v>2</v>
      </c>
      <c r="AJ680" s="444"/>
      <c r="AK680" s="444"/>
      <c r="AL680" s="444"/>
      <c r="AM680" s="446">
        <v>3</v>
      </c>
      <c r="AN680" s="447">
        <v>3</v>
      </c>
      <c r="AO680" s="444" t="s">
        <v>473</v>
      </c>
      <c r="AP680" s="444" t="s">
        <v>1233</v>
      </c>
      <c r="AQ680" s="444" t="s">
        <v>442</v>
      </c>
      <c r="AR680" s="444" t="s">
        <v>1306</v>
      </c>
      <c r="AS680" s="444" t="s">
        <v>1306</v>
      </c>
      <c r="AT680" s="448">
        <v>3</v>
      </c>
      <c r="AU680" s="449"/>
      <c r="AW680" s="449"/>
      <c r="AX680" s="450"/>
      <c r="AY680" s="450"/>
      <c r="AZ680" s="450"/>
      <c r="BA680" s="450"/>
    </row>
    <row r="681" spans="1:53" s="425" customFormat="1" hidden="1">
      <c r="A681" s="444">
        <v>271</v>
      </c>
      <c r="B681" s="444" t="s">
        <v>396</v>
      </c>
      <c r="C681" s="444">
        <v>3349</v>
      </c>
      <c r="D681" s="444" t="s">
        <v>1478</v>
      </c>
      <c r="E681" s="425" t="s">
        <v>666</v>
      </c>
      <c r="F681" s="444"/>
      <c r="G681" s="444"/>
      <c r="H681" s="444"/>
      <c r="I681" s="444"/>
      <c r="J681" s="444"/>
      <c r="K681" s="444"/>
      <c r="L681" s="444"/>
      <c r="M681" s="444"/>
      <c r="N681" s="444"/>
      <c r="O681" s="444"/>
      <c r="P681" s="444"/>
      <c r="Q681" s="444"/>
      <c r="R681" s="444">
        <v>1</v>
      </c>
      <c r="S681" s="444"/>
      <c r="T681" s="444"/>
      <c r="U681" s="444"/>
      <c r="V681" s="445">
        <v>1</v>
      </c>
      <c r="W681" s="444"/>
      <c r="X681" s="444"/>
      <c r="Y681" s="444"/>
      <c r="Z681" s="444"/>
      <c r="AA681" s="444"/>
      <c r="AB681" s="444"/>
      <c r="AC681" s="444"/>
      <c r="AD681" s="444"/>
      <c r="AE681" s="444"/>
      <c r="AF681" s="444"/>
      <c r="AG681" s="444"/>
      <c r="AH681" s="444"/>
      <c r="AI681" s="444">
        <v>1</v>
      </c>
      <c r="AJ681" s="444"/>
      <c r="AK681" s="444"/>
      <c r="AL681" s="444"/>
      <c r="AM681" s="446">
        <v>1</v>
      </c>
      <c r="AN681" s="447">
        <v>1</v>
      </c>
      <c r="AO681" s="444" t="s">
        <v>473</v>
      </c>
      <c r="AP681" s="444" t="s">
        <v>1388</v>
      </c>
      <c r="AQ681" s="444" t="s">
        <v>442</v>
      </c>
      <c r="AR681" s="444" t="s">
        <v>1306</v>
      </c>
      <c r="AS681" s="444" t="s">
        <v>1306</v>
      </c>
      <c r="AT681" s="448">
        <v>1</v>
      </c>
      <c r="AU681" s="449"/>
      <c r="AW681" s="449"/>
      <c r="AX681" s="450"/>
      <c r="AY681" s="450"/>
      <c r="AZ681" s="450"/>
      <c r="BA681" s="450"/>
    </row>
    <row r="682" spans="1:53" s="425" customFormat="1" hidden="1">
      <c r="A682" s="444">
        <v>271</v>
      </c>
      <c r="B682" s="444" t="s">
        <v>396</v>
      </c>
      <c r="C682" s="444">
        <v>3379</v>
      </c>
      <c r="D682" s="444" t="s">
        <v>1051</v>
      </c>
      <c r="E682" s="425" t="s">
        <v>666</v>
      </c>
      <c r="F682" s="444"/>
      <c r="G682" s="444"/>
      <c r="H682" s="444"/>
      <c r="I682" s="444"/>
      <c r="J682" s="444"/>
      <c r="K682" s="444"/>
      <c r="L682" s="444"/>
      <c r="M682" s="444"/>
      <c r="N682" s="444"/>
      <c r="O682" s="444"/>
      <c r="P682" s="444"/>
      <c r="Q682" s="444">
        <v>1</v>
      </c>
      <c r="R682" s="444"/>
      <c r="S682" s="444">
        <v>1</v>
      </c>
      <c r="T682" s="444"/>
      <c r="U682" s="444"/>
      <c r="V682" s="445">
        <v>2</v>
      </c>
      <c r="W682" s="444"/>
      <c r="X682" s="444"/>
      <c r="Y682" s="444"/>
      <c r="Z682" s="444"/>
      <c r="AA682" s="444"/>
      <c r="AB682" s="444"/>
      <c r="AC682" s="444"/>
      <c r="AD682" s="444"/>
      <c r="AE682" s="444"/>
      <c r="AF682" s="444"/>
      <c r="AG682" s="444"/>
      <c r="AH682" s="444">
        <v>1</v>
      </c>
      <c r="AI682" s="444"/>
      <c r="AJ682" s="444">
        <v>1</v>
      </c>
      <c r="AK682" s="444"/>
      <c r="AL682" s="444"/>
      <c r="AM682" s="446">
        <v>2</v>
      </c>
      <c r="AN682" s="447">
        <v>2</v>
      </c>
      <c r="AO682" s="444" t="s">
        <v>473</v>
      </c>
      <c r="AP682" s="444" t="s">
        <v>1233</v>
      </c>
      <c r="AQ682" s="444" t="s">
        <v>442</v>
      </c>
      <c r="AR682" s="444" t="s">
        <v>1306</v>
      </c>
      <c r="AS682" s="444" t="s">
        <v>1306</v>
      </c>
      <c r="AT682" s="448">
        <v>2</v>
      </c>
      <c r="AU682" s="449"/>
      <c r="AW682" s="449"/>
      <c r="AX682" s="450"/>
      <c r="AY682" s="450"/>
      <c r="AZ682" s="450"/>
      <c r="BA682" s="450"/>
    </row>
    <row r="683" spans="1:53" s="425" customFormat="1" hidden="1">
      <c r="A683" s="444">
        <v>271</v>
      </c>
      <c r="B683" s="444" t="s">
        <v>396</v>
      </c>
      <c r="C683" s="444">
        <v>3395</v>
      </c>
      <c r="D683" s="444" t="s">
        <v>1479</v>
      </c>
      <c r="E683" s="425" t="s">
        <v>666</v>
      </c>
      <c r="F683" s="444"/>
      <c r="G683" s="444"/>
      <c r="H683" s="444"/>
      <c r="I683" s="444"/>
      <c r="J683" s="444"/>
      <c r="K683" s="444"/>
      <c r="L683" s="444"/>
      <c r="M683" s="444"/>
      <c r="N683" s="444"/>
      <c r="O683" s="444"/>
      <c r="P683" s="444"/>
      <c r="Q683" s="444"/>
      <c r="R683" s="444">
        <v>1</v>
      </c>
      <c r="S683" s="444"/>
      <c r="T683" s="444"/>
      <c r="U683" s="444"/>
      <c r="V683" s="445">
        <v>1</v>
      </c>
      <c r="W683" s="444"/>
      <c r="X683" s="444"/>
      <c r="Y683" s="444"/>
      <c r="Z683" s="444"/>
      <c r="AA683" s="444"/>
      <c r="AB683" s="444"/>
      <c r="AC683" s="444"/>
      <c r="AD683" s="444"/>
      <c r="AE683" s="444"/>
      <c r="AF683" s="444"/>
      <c r="AG683" s="444"/>
      <c r="AH683" s="444"/>
      <c r="AI683" s="444">
        <v>1</v>
      </c>
      <c r="AJ683" s="444"/>
      <c r="AK683" s="444"/>
      <c r="AL683" s="444"/>
      <c r="AM683" s="446">
        <v>1</v>
      </c>
      <c r="AN683" s="447">
        <v>1</v>
      </c>
      <c r="AO683" s="444" t="s">
        <v>473</v>
      </c>
      <c r="AP683" s="444" t="s">
        <v>1233</v>
      </c>
      <c r="AQ683" s="444" t="s">
        <v>442</v>
      </c>
      <c r="AR683" s="444" t="s">
        <v>1306</v>
      </c>
      <c r="AS683" s="444" t="s">
        <v>1306</v>
      </c>
      <c r="AT683" s="448">
        <v>1</v>
      </c>
      <c r="AU683" s="449"/>
      <c r="AW683" s="449"/>
      <c r="AX683" s="450"/>
      <c r="AY683" s="450"/>
      <c r="AZ683" s="450"/>
      <c r="BA683" s="450"/>
    </row>
    <row r="684" spans="1:53" s="425" customFormat="1" hidden="1">
      <c r="A684" s="444">
        <v>271</v>
      </c>
      <c r="B684" s="444" t="s">
        <v>396</v>
      </c>
      <c r="C684" s="444">
        <v>3401</v>
      </c>
      <c r="D684" s="444" t="s">
        <v>1034</v>
      </c>
      <c r="E684" s="425" t="s">
        <v>1506</v>
      </c>
      <c r="O684" s="449"/>
      <c r="P684" s="449"/>
      <c r="Q684" s="449"/>
      <c r="R684" s="449"/>
      <c r="S684" s="449"/>
      <c r="T684" s="449">
        <v>1</v>
      </c>
      <c r="V684" s="453">
        <v>1</v>
      </c>
      <c r="W684" s="449"/>
      <c r="X684" s="449"/>
      <c r="Y684" s="449"/>
      <c r="Z684" s="449"/>
      <c r="AA684" s="449"/>
      <c r="AB684" s="449"/>
      <c r="AC684" s="449"/>
      <c r="AD684" s="449"/>
      <c r="AE684" s="449"/>
      <c r="AF684" s="449"/>
      <c r="AG684" s="449"/>
      <c r="AH684" s="449"/>
      <c r="AI684" s="449"/>
      <c r="AJ684" s="449"/>
      <c r="AK684" s="449">
        <v>1</v>
      </c>
      <c r="AL684" s="449"/>
      <c r="AM684" s="454">
        <v>1</v>
      </c>
      <c r="AN684" s="455">
        <v>0</v>
      </c>
      <c r="AO684" s="449" t="s">
        <v>473</v>
      </c>
      <c r="AP684" s="449" t="s">
        <v>1477</v>
      </c>
      <c r="AQ684" s="449" t="s">
        <v>442</v>
      </c>
      <c r="AR684" s="449" t="s">
        <v>1306</v>
      </c>
      <c r="AS684" s="449" t="s">
        <v>1306</v>
      </c>
      <c r="AX684" s="452">
        <v>1</v>
      </c>
      <c r="AY684" s="450"/>
      <c r="AZ684" s="450"/>
      <c r="BA684" s="450"/>
    </row>
    <row r="685" spans="1:53" s="425" customFormat="1" hidden="1">
      <c r="A685" s="444">
        <v>271</v>
      </c>
      <c r="B685" s="444" t="s">
        <v>396</v>
      </c>
      <c r="C685" s="444">
        <v>3411</v>
      </c>
      <c r="D685" s="444" t="s">
        <v>1036</v>
      </c>
      <c r="E685" s="425" t="s">
        <v>666</v>
      </c>
      <c r="F685" s="444"/>
      <c r="G685" s="444"/>
      <c r="H685" s="444"/>
      <c r="I685" s="444"/>
      <c r="J685" s="444"/>
      <c r="K685" s="444"/>
      <c r="L685" s="444"/>
      <c r="M685" s="444"/>
      <c r="N685" s="444"/>
      <c r="O685" s="444"/>
      <c r="P685" s="444"/>
      <c r="Q685" s="444"/>
      <c r="R685" s="444">
        <v>1</v>
      </c>
      <c r="S685" s="444"/>
      <c r="T685" s="444">
        <v>1</v>
      </c>
      <c r="U685" s="444"/>
      <c r="V685" s="445">
        <v>2</v>
      </c>
      <c r="W685" s="444"/>
      <c r="X685" s="444"/>
      <c r="Y685" s="444"/>
      <c r="Z685" s="444"/>
      <c r="AA685" s="444"/>
      <c r="AB685" s="444"/>
      <c r="AC685" s="444"/>
      <c r="AD685" s="444"/>
      <c r="AE685" s="444"/>
      <c r="AF685" s="444"/>
      <c r="AG685" s="444"/>
      <c r="AH685" s="444"/>
      <c r="AI685" s="444">
        <v>1</v>
      </c>
      <c r="AJ685" s="444"/>
      <c r="AK685" s="444">
        <v>1</v>
      </c>
      <c r="AL685" s="444"/>
      <c r="AM685" s="446">
        <v>2</v>
      </c>
      <c r="AN685" s="447">
        <v>2</v>
      </c>
      <c r="AO685" s="444" t="s">
        <v>473</v>
      </c>
      <c r="AP685" s="444" t="s">
        <v>1233</v>
      </c>
      <c r="AQ685" s="444" t="s">
        <v>442</v>
      </c>
      <c r="AR685" s="444" t="s">
        <v>1306</v>
      </c>
      <c r="AS685" s="444" t="s">
        <v>1306</v>
      </c>
      <c r="AT685" s="448">
        <v>2</v>
      </c>
      <c r="AU685" s="449"/>
      <c r="AW685" s="449"/>
      <c r="AX685" s="450"/>
      <c r="AY685" s="450"/>
      <c r="AZ685" s="450"/>
      <c r="BA685" s="450"/>
    </row>
    <row r="686" spans="1:53" s="425" customFormat="1" hidden="1">
      <c r="A686" s="444">
        <v>271</v>
      </c>
      <c r="B686" s="444" t="s">
        <v>396</v>
      </c>
      <c r="C686" s="444">
        <v>5725</v>
      </c>
      <c r="D686" s="444" t="s">
        <v>1038</v>
      </c>
      <c r="E686" s="425" t="s">
        <v>666</v>
      </c>
      <c r="F686" s="444"/>
      <c r="G686" s="444"/>
      <c r="H686" s="444"/>
      <c r="I686" s="444"/>
      <c r="J686" s="444"/>
      <c r="K686" s="444"/>
      <c r="L686" s="444"/>
      <c r="M686" s="444"/>
      <c r="N686" s="444"/>
      <c r="O686" s="444"/>
      <c r="P686" s="444"/>
      <c r="Q686" s="444"/>
      <c r="R686" s="444"/>
      <c r="S686" s="444"/>
      <c r="T686" s="444">
        <v>1</v>
      </c>
      <c r="U686" s="444"/>
      <c r="V686" s="445">
        <v>1</v>
      </c>
      <c r="W686" s="444"/>
      <c r="X686" s="444"/>
      <c r="Y686" s="444"/>
      <c r="Z686" s="444"/>
      <c r="AA686" s="444"/>
      <c r="AB686" s="444"/>
      <c r="AC686" s="444"/>
      <c r="AD686" s="444"/>
      <c r="AE686" s="444"/>
      <c r="AF686" s="444"/>
      <c r="AG686" s="444"/>
      <c r="AH686" s="444"/>
      <c r="AI686" s="444"/>
      <c r="AJ686" s="444"/>
      <c r="AK686" s="444">
        <v>1</v>
      </c>
      <c r="AL686" s="444"/>
      <c r="AM686" s="446">
        <v>1</v>
      </c>
      <c r="AN686" s="447">
        <v>1</v>
      </c>
      <c r="AO686" s="444" t="s">
        <v>473</v>
      </c>
      <c r="AP686" s="444" t="s">
        <v>862</v>
      </c>
      <c r="AQ686" s="444" t="s">
        <v>442</v>
      </c>
      <c r="AR686" s="444" t="s">
        <v>1306</v>
      </c>
      <c r="AS686" s="444" t="s">
        <v>1306</v>
      </c>
      <c r="AT686" s="449"/>
      <c r="AU686" s="449"/>
      <c r="AW686" s="448">
        <v>1</v>
      </c>
      <c r="AX686" s="450"/>
      <c r="AY686" s="450"/>
      <c r="AZ686" s="450"/>
      <c r="BA686" s="450"/>
    </row>
    <row r="687" spans="1:53" s="425" customFormat="1" hidden="1">
      <c r="A687" s="444">
        <v>271</v>
      </c>
      <c r="B687" s="444" t="s">
        <v>396</v>
      </c>
      <c r="C687" s="444">
        <v>7045</v>
      </c>
      <c r="D687" s="444" t="s">
        <v>1481</v>
      </c>
      <c r="E687" s="425" t="s">
        <v>666</v>
      </c>
      <c r="F687" s="444"/>
      <c r="G687" s="444"/>
      <c r="H687" s="444"/>
      <c r="I687" s="444"/>
      <c r="J687" s="444"/>
      <c r="K687" s="444"/>
      <c r="L687" s="444"/>
      <c r="M687" s="444"/>
      <c r="N687" s="444"/>
      <c r="O687" s="444"/>
      <c r="P687" s="444"/>
      <c r="Q687" s="444"/>
      <c r="R687" s="444"/>
      <c r="S687" s="444">
        <v>1</v>
      </c>
      <c r="T687" s="444"/>
      <c r="U687" s="444"/>
      <c r="V687" s="445">
        <v>1</v>
      </c>
      <c r="W687" s="444"/>
      <c r="X687" s="444"/>
      <c r="Y687" s="444"/>
      <c r="Z687" s="444"/>
      <c r="AA687" s="444"/>
      <c r="AB687" s="444"/>
      <c r="AC687" s="444"/>
      <c r="AD687" s="444"/>
      <c r="AE687" s="444"/>
      <c r="AF687" s="444"/>
      <c r="AG687" s="444"/>
      <c r="AH687" s="444"/>
      <c r="AI687" s="444"/>
      <c r="AJ687" s="444">
        <v>1</v>
      </c>
      <c r="AK687" s="444"/>
      <c r="AL687" s="444"/>
      <c r="AM687" s="446">
        <v>1</v>
      </c>
      <c r="AN687" s="447">
        <v>1</v>
      </c>
      <c r="AO687" s="444" t="s">
        <v>473</v>
      </c>
      <c r="AP687" s="444" t="s">
        <v>1233</v>
      </c>
      <c r="AQ687" s="444" t="s">
        <v>442</v>
      </c>
      <c r="AR687" s="444" t="s">
        <v>1306</v>
      </c>
      <c r="AS687" s="444" t="s">
        <v>1306</v>
      </c>
      <c r="AT687" s="448">
        <v>1</v>
      </c>
      <c r="AU687" s="449"/>
      <c r="AW687" s="449"/>
      <c r="AX687" s="450"/>
      <c r="AY687" s="450"/>
      <c r="AZ687" s="450"/>
      <c r="BA687" s="450"/>
    </row>
    <row r="688" spans="1:53" s="425" customFormat="1" hidden="1">
      <c r="A688" s="444">
        <v>271</v>
      </c>
      <c r="B688" s="444" t="s">
        <v>396</v>
      </c>
      <c r="C688" s="444">
        <v>7203</v>
      </c>
      <c r="D688" s="444" t="s">
        <v>1482</v>
      </c>
      <c r="E688" s="425" t="s">
        <v>666</v>
      </c>
      <c r="F688" s="444"/>
      <c r="G688" s="444"/>
      <c r="H688" s="444"/>
      <c r="I688" s="444"/>
      <c r="J688" s="444"/>
      <c r="K688" s="444"/>
      <c r="L688" s="444"/>
      <c r="M688" s="444"/>
      <c r="N688" s="444"/>
      <c r="O688" s="444"/>
      <c r="P688" s="444"/>
      <c r="Q688" s="444">
        <v>18</v>
      </c>
      <c r="R688" s="444">
        <v>13</v>
      </c>
      <c r="S688" s="444">
        <v>14</v>
      </c>
      <c r="T688" s="444">
        <v>12</v>
      </c>
      <c r="U688" s="444"/>
      <c r="V688" s="445">
        <v>57</v>
      </c>
      <c r="W688" s="444"/>
      <c r="X688" s="444"/>
      <c r="Y688" s="444"/>
      <c r="Z688" s="444"/>
      <c r="AA688" s="444"/>
      <c r="AB688" s="444"/>
      <c r="AC688" s="444"/>
      <c r="AD688" s="444"/>
      <c r="AE688" s="444"/>
      <c r="AF688" s="444"/>
      <c r="AG688" s="444"/>
      <c r="AH688" s="444">
        <v>18</v>
      </c>
      <c r="AI688" s="444">
        <v>13</v>
      </c>
      <c r="AJ688" s="444">
        <v>14</v>
      </c>
      <c r="AK688" s="444">
        <v>12</v>
      </c>
      <c r="AL688" s="444"/>
      <c r="AM688" s="446">
        <v>57</v>
      </c>
      <c r="AN688" s="447">
        <v>57</v>
      </c>
      <c r="AO688" s="444" t="s">
        <v>473</v>
      </c>
      <c r="AP688" s="444" t="s">
        <v>851</v>
      </c>
      <c r="AQ688" s="444" t="s">
        <v>442</v>
      </c>
      <c r="AR688" s="444" t="s">
        <v>1306</v>
      </c>
      <c r="AS688" s="444" t="s">
        <v>1306</v>
      </c>
      <c r="AT688" s="449"/>
      <c r="AU688" s="449"/>
      <c r="AW688" s="449"/>
      <c r="AX688" s="450"/>
      <c r="AY688" s="450"/>
      <c r="AZ688" s="450"/>
      <c r="BA688" s="450"/>
    </row>
    <row r="689" spans="1:53" s="425" customFormat="1" hidden="1">
      <c r="A689" s="444">
        <v>271</v>
      </c>
      <c r="B689" s="444" t="s">
        <v>396</v>
      </c>
      <c r="C689" s="444">
        <v>7592</v>
      </c>
      <c r="D689" s="444" t="s">
        <v>1483</v>
      </c>
      <c r="E689" s="425" t="s">
        <v>666</v>
      </c>
      <c r="F689" s="444"/>
      <c r="G689" s="444"/>
      <c r="H689" s="444"/>
      <c r="I689" s="444"/>
      <c r="J689" s="444"/>
      <c r="K689" s="444"/>
      <c r="L689" s="444"/>
      <c r="M689" s="444"/>
      <c r="N689" s="444"/>
      <c r="O689" s="444"/>
      <c r="P689" s="444"/>
      <c r="Q689" s="444">
        <v>1</v>
      </c>
      <c r="R689" s="444"/>
      <c r="S689" s="444"/>
      <c r="T689" s="444">
        <v>1</v>
      </c>
      <c r="U689" s="444"/>
      <c r="V689" s="445">
        <v>2</v>
      </c>
      <c r="W689" s="444"/>
      <c r="X689" s="444"/>
      <c r="Y689" s="444"/>
      <c r="Z689" s="444"/>
      <c r="AA689" s="444"/>
      <c r="AB689" s="444"/>
      <c r="AC689" s="444"/>
      <c r="AD689" s="444"/>
      <c r="AE689" s="444"/>
      <c r="AF689" s="444"/>
      <c r="AG689" s="444"/>
      <c r="AH689" s="444">
        <v>1</v>
      </c>
      <c r="AI689" s="444"/>
      <c r="AJ689" s="444"/>
      <c r="AK689" s="444">
        <v>1</v>
      </c>
      <c r="AL689" s="444"/>
      <c r="AM689" s="446">
        <v>2</v>
      </c>
      <c r="AN689" s="447">
        <v>2</v>
      </c>
      <c r="AO689" s="444" t="s">
        <v>473</v>
      </c>
      <c r="AP689" s="444" t="s">
        <v>1484</v>
      </c>
      <c r="AQ689" s="444" t="s">
        <v>442</v>
      </c>
      <c r="AR689" s="444" t="s">
        <v>1306</v>
      </c>
      <c r="AS689" s="444" t="s">
        <v>1306</v>
      </c>
      <c r="AT689" s="448">
        <v>2</v>
      </c>
      <c r="AU689" s="449"/>
      <c r="AW689" s="449"/>
      <c r="AX689" s="450"/>
      <c r="AY689" s="450"/>
      <c r="AZ689" s="450"/>
      <c r="BA689" s="450"/>
    </row>
    <row r="690" spans="1:53" s="425" customFormat="1" hidden="1">
      <c r="A690" s="444">
        <v>271</v>
      </c>
      <c r="B690" s="444" t="s">
        <v>396</v>
      </c>
      <c r="C690" s="444">
        <v>8193</v>
      </c>
      <c r="D690" s="444" t="s">
        <v>1472</v>
      </c>
      <c r="E690" s="425" t="s">
        <v>973</v>
      </c>
      <c r="O690" s="449"/>
      <c r="P690" s="449"/>
      <c r="Q690" s="449"/>
      <c r="R690" s="449"/>
      <c r="S690" s="449">
        <v>1</v>
      </c>
      <c r="T690" s="449"/>
      <c r="V690" s="453">
        <v>1</v>
      </c>
      <c r="W690" s="449"/>
      <c r="X690" s="449"/>
      <c r="Y690" s="449"/>
      <c r="Z690" s="449"/>
      <c r="AA690" s="449"/>
      <c r="AB690" s="449"/>
      <c r="AC690" s="449"/>
      <c r="AD690" s="449"/>
      <c r="AE690" s="449"/>
      <c r="AF690" s="449"/>
      <c r="AG690" s="449"/>
      <c r="AH690" s="449"/>
      <c r="AI690" s="449"/>
      <c r="AJ690" s="449">
        <v>1</v>
      </c>
      <c r="AK690" s="449"/>
      <c r="AL690" s="449"/>
      <c r="AM690" s="454">
        <v>1</v>
      </c>
      <c r="AN690" s="455">
        <v>1</v>
      </c>
      <c r="AO690" s="449" t="s">
        <v>473</v>
      </c>
      <c r="AP690" s="449" t="s">
        <v>1397</v>
      </c>
      <c r="AQ690" s="449" t="s">
        <v>442</v>
      </c>
      <c r="AR690" s="449" t="s">
        <v>1306</v>
      </c>
      <c r="AS690" s="449" t="s">
        <v>1306</v>
      </c>
      <c r="AT690" s="448">
        <v>1</v>
      </c>
      <c r="AX690" s="450"/>
      <c r="AY690" s="450"/>
      <c r="AZ690" s="450"/>
      <c r="BA690" s="450"/>
    </row>
    <row r="691" spans="1:53" s="425" customFormat="1" hidden="1">
      <c r="A691" s="444">
        <v>271</v>
      </c>
      <c r="B691" s="444" t="s">
        <v>396</v>
      </c>
      <c r="C691" s="444">
        <v>8930</v>
      </c>
      <c r="D691" s="444" t="s">
        <v>1040</v>
      </c>
      <c r="E691" s="425" t="s">
        <v>1506</v>
      </c>
      <c r="O691" s="449"/>
      <c r="P691" s="449"/>
      <c r="Q691" s="449"/>
      <c r="R691" s="449"/>
      <c r="S691" s="449"/>
      <c r="T691" s="449">
        <v>3</v>
      </c>
      <c r="V691" s="453">
        <v>3</v>
      </c>
      <c r="W691" s="449"/>
      <c r="X691" s="449"/>
      <c r="Y691" s="449"/>
      <c r="Z691" s="449"/>
      <c r="AA691" s="449"/>
      <c r="AB691" s="449"/>
      <c r="AC691" s="449"/>
      <c r="AD691" s="449"/>
      <c r="AE691" s="449"/>
      <c r="AF691" s="449"/>
      <c r="AG691" s="449"/>
      <c r="AH691" s="449"/>
      <c r="AI691" s="449"/>
      <c r="AJ691" s="449"/>
      <c r="AK691" s="449">
        <v>3</v>
      </c>
      <c r="AL691" s="449"/>
      <c r="AM691" s="454">
        <v>3</v>
      </c>
      <c r="AN691" s="455">
        <v>0</v>
      </c>
      <c r="AO691" s="449" t="s">
        <v>473</v>
      </c>
      <c r="AP691" s="449" t="s">
        <v>1233</v>
      </c>
      <c r="AQ691" s="449" t="s">
        <v>442</v>
      </c>
      <c r="AR691" s="449" t="s">
        <v>1306</v>
      </c>
      <c r="AS691" s="449" t="s">
        <v>1306</v>
      </c>
      <c r="AX691" s="452">
        <v>3</v>
      </c>
      <c r="AY691" s="450"/>
      <c r="AZ691" s="450"/>
      <c r="BA691" s="450"/>
    </row>
    <row r="692" spans="1:53" s="425" customFormat="1" hidden="1">
      <c r="A692" s="444">
        <v>271</v>
      </c>
      <c r="B692" s="444" t="s">
        <v>396</v>
      </c>
      <c r="C692" s="444">
        <v>38065</v>
      </c>
      <c r="D692" s="444" t="s">
        <v>1480</v>
      </c>
      <c r="E692" s="425" t="s">
        <v>666</v>
      </c>
      <c r="F692" s="444"/>
      <c r="G692" s="444">
        <v>1</v>
      </c>
      <c r="H692" s="444"/>
      <c r="I692" s="444"/>
      <c r="J692" s="444"/>
      <c r="K692" s="444"/>
      <c r="L692" s="444"/>
      <c r="M692" s="444">
        <v>1</v>
      </c>
      <c r="N692" s="444"/>
      <c r="O692" s="444"/>
      <c r="P692" s="444"/>
      <c r="Q692" s="444"/>
      <c r="R692" s="444"/>
      <c r="S692" s="444"/>
      <c r="T692" s="444"/>
      <c r="U692" s="444"/>
      <c r="V692" s="445">
        <v>2</v>
      </c>
      <c r="W692" s="444"/>
      <c r="X692" s="444">
        <v>1</v>
      </c>
      <c r="Y692" s="444"/>
      <c r="Z692" s="444"/>
      <c r="AA692" s="444"/>
      <c r="AB692" s="444"/>
      <c r="AC692" s="444"/>
      <c r="AD692" s="444">
        <v>1</v>
      </c>
      <c r="AE692" s="444"/>
      <c r="AF692" s="444"/>
      <c r="AG692" s="444"/>
      <c r="AH692" s="444"/>
      <c r="AI692" s="444"/>
      <c r="AJ692" s="444"/>
      <c r="AK692" s="444"/>
      <c r="AL692" s="444"/>
      <c r="AM692" s="446">
        <v>2</v>
      </c>
      <c r="AN692" s="447">
        <v>2</v>
      </c>
      <c r="AO692" s="444" t="s">
        <v>473</v>
      </c>
      <c r="AP692" s="444" t="s">
        <v>851</v>
      </c>
      <c r="AQ692" s="444" t="s">
        <v>442</v>
      </c>
      <c r="AR692" s="444" t="s">
        <v>1306</v>
      </c>
      <c r="AS692" s="444" t="s">
        <v>1298</v>
      </c>
      <c r="AT692" s="449"/>
      <c r="AU692" s="449"/>
      <c r="AW692" s="449"/>
      <c r="AX692" s="450"/>
      <c r="AY692" s="450"/>
      <c r="AZ692" s="450"/>
      <c r="BA692" s="450"/>
    </row>
    <row r="693" spans="1:53" s="425" customFormat="1" hidden="1">
      <c r="A693" s="444">
        <v>272</v>
      </c>
      <c r="B693" s="444" t="s">
        <v>388</v>
      </c>
      <c r="C693" s="444">
        <v>1283</v>
      </c>
      <c r="D693" s="444" t="s">
        <v>1043</v>
      </c>
      <c r="E693" s="425" t="s">
        <v>1506</v>
      </c>
      <c r="O693" s="449"/>
      <c r="P693" s="449"/>
      <c r="Q693" s="449"/>
      <c r="R693" s="449"/>
      <c r="S693" s="449"/>
      <c r="T693" s="449">
        <v>1</v>
      </c>
      <c r="V693" s="453">
        <v>1</v>
      </c>
      <c r="W693" s="449"/>
      <c r="X693" s="449"/>
      <c r="Y693" s="449"/>
      <c r="Z693" s="449"/>
      <c r="AA693" s="449"/>
      <c r="AB693" s="449"/>
      <c r="AC693" s="449"/>
      <c r="AD693" s="449"/>
      <c r="AE693" s="449"/>
      <c r="AF693" s="449"/>
      <c r="AG693" s="449"/>
      <c r="AH693" s="449"/>
      <c r="AI693" s="449"/>
      <c r="AJ693" s="449"/>
      <c r="AK693" s="449">
        <v>1</v>
      </c>
      <c r="AL693" s="449"/>
      <c r="AM693" s="454">
        <v>1</v>
      </c>
      <c r="AN693" s="455">
        <v>0</v>
      </c>
      <c r="AO693" s="449" t="s">
        <v>473</v>
      </c>
      <c r="AP693" s="449" t="s">
        <v>1477</v>
      </c>
      <c r="AQ693" s="449" t="s">
        <v>442</v>
      </c>
      <c r="AR693" s="449" t="s">
        <v>1306</v>
      </c>
      <c r="AS693" s="449" t="s">
        <v>1306</v>
      </c>
      <c r="AX693" s="452">
        <v>1</v>
      </c>
      <c r="AY693" s="450"/>
      <c r="AZ693" s="450"/>
      <c r="BA693" s="450"/>
    </row>
    <row r="694" spans="1:53" s="425" customFormat="1" hidden="1">
      <c r="A694" s="444">
        <v>272</v>
      </c>
      <c r="B694" s="444" t="s">
        <v>388</v>
      </c>
      <c r="C694" s="444">
        <v>3282</v>
      </c>
      <c r="D694" s="444" t="s">
        <v>1022</v>
      </c>
      <c r="E694" s="425" t="s">
        <v>666</v>
      </c>
      <c r="F694" s="444"/>
      <c r="G694" s="444"/>
      <c r="H694" s="444"/>
      <c r="I694" s="444"/>
      <c r="J694" s="444"/>
      <c r="K694" s="444"/>
      <c r="L694" s="444"/>
      <c r="M694" s="444"/>
      <c r="N694" s="444"/>
      <c r="O694" s="444"/>
      <c r="P694" s="444"/>
      <c r="Q694" s="444"/>
      <c r="R694" s="444">
        <v>1</v>
      </c>
      <c r="S694" s="444"/>
      <c r="T694" s="444"/>
      <c r="U694" s="444"/>
      <c r="V694" s="445">
        <v>1</v>
      </c>
      <c r="W694" s="444"/>
      <c r="X694" s="444"/>
      <c r="Y694" s="444"/>
      <c r="Z694" s="444"/>
      <c r="AA694" s="444"/>
      <c r="AB694" s="444"/>
      <c r="AC694" s="444"/>
      <c r="AD694" s="444"/>
      <c r="AE694" s="444"/>
      <c r="AF694" s="444"/>
      <c r="AG694" s="444"/>
      <c r="AH694" s="444"/>
      <c r="AI694" s="444">
        <v>1</v>
      </c>
      <c r="AJ694" s="444"/>
      <c r="AK694" s="444"/>
      <c r="AL694" s="444"/>
      <c r="AM694" s="446">
        <v>1</v>
      </c>
      <c r="AN694" s="447">
        <v>1</v>
      </c>
      <c r="AO694" s="444" t="s">
        <v>473</v>
      </c>
      <c r="AP694" s="444" t="s">
        <v>1233</v>
      </c>
      <c r="AQ694" s="444" t="s">
        <v>442</v>
      </c>
      <c r="AR694" s="444" t="s">
        <v>1306</v>
      </c>
      <c r="AS694" s="444" t="s">
        <v>1306</v>
      </c>
      <c r="AT694" s="448">
        <v>1</v>
      </c>
      <c r="AU694" s="449"/>
      <c r="AW694" s="449"/>
      <c r="AX694" s="450"/>
      <c r="AY694" s="450"/>
      <c r="AZ694" s="450"/>
      <c r="BA694" s="450"/>
    </row>
    <row r="695" spans="1:53" s="425" customFormat="1" hidden="1">
      <c r="A695" s="444">
        <v>272</v>
      </c>
      <c r="B695" s="444" t="s">
        <v>388</v>
      </c>
      <c r="C695" s="444">
        <v>3285</v>
      </c>
      <c r="D695" s="444" t="s">
        <v>1485</v>
      </c>
      <c r="E695" s="425" t="s">
        <v>666</v>
      </c>
      <c r="F695" s="444"/>
      <c r="G695" s="444"/>
      <c r="H695" s="444"/>
      <c r="I695" s="444"/>
      <c r="J695" s="444"/>
      <c r="K695" s="444"/>
      <c r="L695" s="444"/>
      <c r="M695" s="444"/>
      <c r="N695" s="444"/>
      <c r="O695" s="444"/>
      <c r="P695" s="444"/>
      <c r="Q695" s="444"/>
      <c r="R695" s="444">
        <v>3</v>
      </c>
      <c r="S695" s="444">
        <v>3</v>
      </c>
      <c r="T695" s="444">
        <v>3</v>
      </c>
      <c r="U695" s="444"/>
      <c r="V695" s="445">
        <v>9</v>
      </c>
      <c r="W695" s="444"/>
      <c r="X695" s="444"/>
      <c r="Y695" s="444"/>
      <c r="Z695" s="444"/>
      <c r="AA695" s="444"/>
      <c r="AB695" s="444"/>
      <c r="AC695" s="444"/>
      <c r="AD695" s="444"/>
      <c r="AE695" s="444"/>
      <c r="AF695" s="444"/>
      <c r="AG695" s="444"/>
      <c r="AH695" s="444"/>
      <c r="AI695" s="444">
        <v>3</v>
      </c>
      <c r="AJ695" s="444">
        <v>3</v>
      </c>
      <c r="AK695" s="444">
        <v>3</v>
      </c>
      <c r="AL695" s="444"/>
      <c r="AM695" s="446">
        <v>9</v>
      </c>
      <c r="AN695" s="447">
        <v>9</v>
      </c>
      <c r="AO695" s="444" t="s">
        <v>473</v>
      </c>
      <c r="AP695" s="444" t="s">
        <v>851</v>
      </c>
      <c r="AQ695" s="444" t="s">
        <v>442</v>
      </c>
      <c r="AR695" s="444" t="s">
        <v>1306</v>
      </c>
      <c r="AS695" s="444" t="s">
        <v>1306</v>
      </c>
      <c r="AT695" s="449"/>
      <c r="AU695" s="449"/>
      <c r="AW695" s="451"/>
      <c r="AX695" s="450"/>
      <c r="AY695" s="450"/>
      <c r="AZ695" s="450"/>
      <c r="BA695" s="450"/>
    </row>
    <row r="696" spans="1:53" s="425" customFormat="1" hidden="1">
      <c r="A696" s="444">
        <v>272</v>
      </c>
      <c r="B696" s="444" t="s">
        <v>388</v>
      </c>
      <c r="C696" s="444">
        <v>3310</v>
      </c>
      <c r="D696" s="444" t="s">
        <v>1045</v>
      </c>
      <c r="E696" s="425" t="s">
        <v>666</v>
      </c>
      <c r="F696" s="444"/>
      <c r="G696" s="444"/>
      <c r="H696" s="444"/>
      <c r="I696" s="444"/>
      <c r="J696" s="444"/>
      <c r="K696" s="444"/>
      <c r="L696" s="444"/>
      <c r="M696" s="444"/>
      <c r="N696" s="444"/>
      <c r="O696" s="444"/>
      <c r="P696" s="444"/>
      <c r="Q696" s="444"/>
      <c r="R696" s="444">
        <v>1</v>
      </c>
      <c r="S696" s="444"/>
      <c r="T696" s="444">
        <v>1</v>
      </c>
      <c r="U696" s="444"/>
      <c r="V696" s="445">
        <v>2</v>
      </c>
      <c r="W696" s="444"/>
      <c r="X696" s="444"/>
      <c r="Y696" s="444"/>
      <c r="Z696" s="444"/>
      <c r="AA696" s="444"/>
      <c r="AB696" s="444"/>
      <c r="AC696" s="444"/>
      <c r="AD696" s="444"/>
      <c r="AE696" s="444"/>
      <c r="AF696" s="444"/>
      <c r="AG696" s="444"/>
      <c r="AH696" s="444"/>
      <c r="AI696" s="444">
        <v>1</v>
      </c>
      <c r="AJ696" s="444"/>
      <c r="AK696" s="444">
        <v>1</v>
      </c>
      <c r="AL696" s="444"/>
      <c r="AM696" s="446">
        <v>2</v>
      </c>
      <c r="AN696" s="447">
        <v>2</v>
      </c>
      <c r="AO696" s="444" t="s">
        <v>473</v>
      </c>
      <c r="AP696" s="444" t="s">
        <v>1233</v>
      </c>
      <c r="AQ696" s="444" t="s">
        <v>442</v>
      </c>
      <c r="AR696" s="444" t="s">
        <v>1306</v>
      </c>
      <c r="AS696" s="444" t="s">
        <v>1306</v>
      </c>
      <c r="AT696" s="448">
        <v>2</v>
      </c>
      <c r="AU696" s="449"/>
      <c r="AW696" s="449"/>
      <c r="AX696" s="450"/>
      <c r="AY696" s="450"/>
      <c r="AZ696" s="450"/>
      <c r="BA696" s="450"/>
    </row>
    <row r="697" spans="1:53" s="425" customFormat="1" hidden="1">
      <c r="A697" s="444">
        <v>272</v>
      </c>
      <c r="B697" s="444" t="s">
        <v>388</v>
      </c>
      <c r="C697" s="444">
        <v>3321</v>
      </c>
      <c r="D697" s="444" t="s">
        <v>1047</v>
      </c>
      <c r="E697" s="425" t="s">
        <v>666</v>
      </c>
      <c r="F697" s="444"/>
      <c r="G697" s="444"/>
      <c r="H697" s="444"/>
      <c r="I697" s="444"/>
      <c r="J697" s="444"/>
      <c r="K697" s="444"/>
      <c r="L697" s="444"/>
      <c r="M697" s="444"/>
      <c r="N697" s="444"/>
      <c r="O697" s="444"/>
      <c r="P697" s="444"/>
      <c r="Q697" s="444"/>
      <c r="R697" s="444"/>
      <c r="S697" s="444">
        <v>1</v>
      </c>
      <c r="T697" s="444"/>
      <c r="U697" s="444"/>
      <c r="V697" s="445">
        <v>1</v>
      </c>
      <c r="W697" s="444"/>
      <c r="X697" s="444"/>
      <c r="Y697" s="444"/>
      <c r="Z697" s="444"/>
      <c r="AA697" s="444"/>
      <c r="AB697" s="444"/>
      <c r="AC697" s="444"/>
      <c r="AD697" s="444"/>
      <c r="AE697" s="444"/>
      <c r="AF697" s="444"/>
      <c r="AG697" s="444"/>
      <c r="AH697" s="444"/>
      <c r="AI697" s="444"/>
      <c r="AJ697" s="444">
        <v>1</v>
      </c>
      <c r="AK697" s="444"/>
      <c r="AL697" s="444"/>
      <c r="AM697" s="446">
        <v>1</v>
      </c>
      <c r="AN697" s="447">
        <v>1</v>
      </c>
      <c r="AO697" s="444" t="s">
        <v>473</v>
      </c>
      <c r="AP697" s="444" t="s">
        <v>1233</v>
      </c>
      <c r="AQ697" s="444" t="s">
        <v>442</v>
      </c>
      <c r="AR697" s="444" t="s">
        <v>1306</v>
      </c>
      <c r="AS697" s="444" t="s">
        <v>1306</v>
      </c>
      <c r="AT697" s="448">
        <v>1</v>
      </c>
      <c r="AU697" s="449"/>
      <c r="AW697" s="449"/>
      <c r="AX697" s="450"/>
      <c r="AY697" s="450"/>
      <c r="AZ697" s="450"/>
      <c r="BA697" s="450"/>
    </row>
    <row r="698" spans="1:53" s="425" customFormat="1" hidden="1">
      <c r="A698" s="444">
        <v>272</v>
      </c>
      <c r="B698" s="444" t="s">
        <v>388</v>
      </c>
      <c r="C698" s="444">
        <v>3351</v>
      </c>
      <c r="D698" s="444" t="s">
        <v>1486</v>
      </c>
      <c r="E698" s="425" t="s">
        <v>666</v>
      </c>
      <c r="F698" s="444"/>
      <c r="G698" s="444"/>
      <c r="H698" s="444"/>
      <c r="I698" s="444"/>
      <c r="J698" s="444"/>
      <c r="K698" s="444"/>
      <c r="L698" s="444"/>
      <c r="M698" s="444"/>
      <c r="N698" s="444"/>
      <c r="O698" s="444"/>
      <c r="P698" s="444"/>
      <c r="Q698" s="444"/>
      <c r="R698" s="444">
        <v>1</v>
      </c>
      <c r="S698" s="444"/>
      <c r="T698" s="444"/>
      <c r="U698" s="444"/>
      <c r="V698" s="445">
        <v>1</v>
      </c>
      <c r="W698" s="444"/>
      <c r="X698" s="444"/>
      <c r="Y698" s="444"/>
      <c r="Z698" s="444"/>
      <c r="AA698" s="444"/>
      <c r="AB698" s="444"/>
      <c r="AC698" s="444"/>
      <c r="AD698" s="444"/>
      <c r="AE698" s="444"/>
      <c r="AF698" s="444"/>
      <c r="AG698" s="444"/>
      <c r="AH698" s="444"/>
      <c r="AI698" s="444">
        <v>1</v>
      </c>
      <c r="AJ698" s="444"/>
      <c r="AK698" s="444"/>
      <c r="AL698" s="444"/>
      <c r="AM698" s="446">
        <v>1</v>
      </c>
      <c r="AN698" s="447">
        <v>1</v>
      </c>
      <c r="AO698" s="444" t="s">
        <v>473</v>
      </c>
      <c r="AP698" s="444" t="s">
        <v>852</v>
      </c>
      <c r="AQ698" s="444" t="s">
        <v>442</v>
      </c>
      <c r="AR698" s="444" t="s">
        <v>1306</v>
      </c>
      <c r="AS698" s="444" t="s">
        <v>1306</v>
      </c>
      <c r="AT698" s="448">
        <v>1</v>
      </c>
      <c r="AU698" s="449"/>
      <c r="AW698" s="449"/>
      <c r="AX698" s="450"/>
      <c r="AY698" s="450"/>
      <c r="AZ698" s="450"/>
      <c r="BA698" s="450"/>
    </row>
    <row r="699" spans="1:53" hidden="1">
      <c r="A699" s="444">
        <v>272</v>
      </c>
      <c r="B699" s="444" t="s">
        <v>388</v>
      </c>
      <c r="C699" s="444">
        <v>3370</v>
      </c>
      <c r="D699" s="444" t="s">
        <v>1049</v>
      </c>
      <c r="E699" s="425" t="s">
        <v>666</v>
      </c>
      <c r="F699" s="444"/>
      <c r="G699" s="444"/>
      <c r="H699" s="444"/>
      <c r="I699" s="444"/>
      <c r="J699" s="444"/>
      <c r="K699" s="444"/>
      <c r="L699" s="444"/>
      <c r="M699" s="444"/>
      <c r="N699" s="444"/>
      <c r="O699" s="444"/>
      <c r="P699" s="444"/>
      <c r="Q699" s="444"/>
      <c r="R699" s="444"/>
      <c r="S699" s="444">
        <v>1</v>
      </c>
      <c r="T699" s="444"/>
      <c r="U699" s="444"/>
      <c r="V699" s="445">
        <v>1</v>
      </c>
      <c r="W699" s="444"/>
      <c r="X699" s="444"/>
      <c r="Y699" s="444"/>
      <c r="Z699" s="444"/>
      <c r="AA699" s="444"/>
      <c r="AB699" s="444"/>
      <c r="AC699" s="444"/>
      <c r="AD699" s="444"/>
      <c r="AE699" s="444"/>
      <c r="AF699" s="444"/>
      <c r="AG699" s="444"/>
      <c r="AH699" s="444"/>
      <c r="AI699" s="444"/>
      <c r="AJ699" s="444">
        <v>1</v>
      </c>
      <c r="AK699" s="444"/>
      <c r="AL699" s="444"/>
      <c r="AM699" s="446">
        <v>1</v>
      </c>
      <c r="AN699" s="447">
        <v>1</v>
      </c>
      <c r="AO699" s="444" t="s">
        <v>473</v>
      </c>
      <c r="AP699" s="444" t="s">
        <v>1233</v>
      </c>
      <c r="AQ699" s="444" t="s">
        <v>442</v>
      </c>
      <c r="AR699" s="444" t="s">
        <v>1306</v>
      </c>
      <c r="AS699" s="444" t="s">
        <v>1306</v>
      </c>
      <c r="AT699" s="448">
        <v>1</v>
      </c>
      <c r="AU699" s="449"/>
      <c r="AV699" s="425"/>
      <c r="AW699" s="449"/>
      <c r="AX699" s="450"/>
      <c r="AY699" s="450"/>
      <c r="AZ699" s="450"/>
      <c r="BA699" s="450"/>
    </row>
    <row r="700" spans="1:53" hidden="1">
      <c r="A700" s="444">
        <v>272</v>
      </c>
      <c r="B700" s="444" t="s">
        <v>388</v>
      </c>
      <c r="C700" s="444">
        <v>3374</v>
      </c>
      <c r="D700" s="444" t="s">
        <v>1487</v>
      </c>
      <c r="E700" s="425" t="s">
        <v>666</v>
      </c>
      <c r="F700" s="444"/>
      <c r="G700" s="444"/>
      <c r="H700" s="444"/>
      <c r="I700" s="444"/>
      <c r="J700" s="444"/>
      <c r="K700" s="444"/>
      <c r="L700" s="444"/>
      <c r="M700" s="444"/>
      <c r="N700" s="444"/>
      <c r="O700" s="444"/>
      <c r="P700" s="444"/>
      <c r="Q700" s="444"/>
      <c r="R700" s="444"/>
      <c r="S700" s="444"/>
      <c r="T700" s="444">
        <v>1</v>
      </c>
      <c r="U700" s="444"/>
      <c r="V700" s="445">
        <v>1</v>
      </c>
      <c r="W700" s="444"/>
      <c r="X700" s="444"/>
      <c r="Y700" s="444"/>
      <c r="Z700" s="444"/>
      <c r="AA700" s="444"/>
      <c r="AB700" s="444"/>
      <c r="AC700" s="444"/>
      <c r="AD700" s="444"/>
      <c r="AE700" s="444"/>
      <c r="AF700" s="444"/>
      <c r="AG700" s="444"/>
      <c r="AH700" s="444"/>
      <c r="AI700" s="444"/>
      <c r="AJ700" s="444"/>
      <c r="AK700" s="444">
        <v>1</v>
      </c>
      <c r="AL700" s="444"/>
      <c r="AM700" s="446">
        <v>1</v>
      </c>
      <c r="AN700" s="447">
        <v>1</v>
      </c>
      <c r="AO700" s="444" t="s">
        <v>473</v>
      </c>
      <c r="AP700" s="444" t="s">
        <v>1405</v>
      </c>
      <c r="AQ700" s="444" t="s">
        <v>442</v>
      </c>
      <c r="AR700" s="444" t="s">
        <v>1306</v>
      </c>
      <c r="AS700" s="444" t="s">
        <v>1306</v>
      </c>
      <c r="AT700" s="448">
        <v>1</v>
      </c>
      <c r="AU700" s="449"/>
      <c r="AV700" s="425"/>
      <c r="AW700" s="449"/>
      <c r="AX700" s="450"/>
      <c r="AY700" s="450"/>
      <c r="AZ700" s="450"/>
      <c r="BA700" s="450"/>
    </row>
    <row r="701" spans="1:53" hidden="1">
      <c r="A701" s="444">
        <v>272</v>
      </c>
      <c r="B701" s="444" t="s">
        <v>388</v>
      </c>
      <c r="C701" s="444">
        <v>3379</v>
      </c>
      <c r="D701" s="444" t="s">
        <v>1051</v>
      </c>
      <c r="E701" s="425" t="s">
        <v>666</v>
      </c>
      <c r="F701" s="444"/>
      <c r="G701" s="444"/>
      <c r="H701" s="444"/>
      <c r="I701" s="444"/>
      <c r="J701" s="444"/>
      <c r="K701" s="444"/>
      <c r="L701" s="444"/>
      <c r="M701" s="444"/>
      <c r="N701" s="444"/>
      <c r="O701" s="444"/>
      <c r="P701" s="444"/>
      <c r="Q701" s="444"/>
      <c r="R701" s="444"/>
      <c r="S701" s="444"/>
      <c r="T701" s="444">
        <v>1</v>
      </c>
      <c r="U701" s="444"/>
      <c r="V701" s="445">
        <v>1</v>
      </c>
      <c r="W701" s="444"/>
      <c r="X701" s="444"/>
      <c r="Y701" s="444"/>
      <c r="Z701" s="444"/>
      <c r="AA701" s="444"/>
      <c r="AB701" s="444"/>
      <c r="AC701" s="444"/>
      <c r="AD701" s="444"/>
      <c r="AE701" s="444"/>
      <c r="AF701" s="444"/>
      <c r="AG701" s="444"/>
      <c r="AH701" s="444"/>
      <c r="AI701" s="444"/>
      <c r="AJ701" s="444"/>
      <c r="AK701" s="444">
        <v>1</v>
      </c>
      <c r="AL701" s="444"/>
      <c r="AM701" s="446">
        <v>1</v>
      </c>
      <c r="AN701" s="447">
        <v>1</v>
      </c>
      <c r="AO701" s="444" t="s">
        <v>473</v>
      </c>
      <c r="AP701" s="444" t="s">
        <v>1233</v>
      </c>
      <c r="AQ701" s="444" t="s">
        <v>442</v>
      </c>
      <c r="AR701" s="444" t="s">
        <v>1306</v>
      </c>
      <c r="AS701" s="444" t="s">
        <v>1306</v>
      </c>
      <c r="AT701" s="448">
        <v>1</v>
      </c>
      <c r="AU701" s="449"/>
      <c r="AV701" s="425"/>
      <c r="AW701" s="449"/>
      <c r="AX701" s="450"/>
      <c r="AY701" s="450"/>
      <c r="AZ701" s="450"/>
      <c r="BA701" s="450"/>
    </row>
    <row r="702" spans="1:53" hidden="1">
      <c r="A702" s="444">
        <v>272</v>
      </c>
      <c r="B702" s="444" t="s">
        <v>388</v>
      </c>
      <c r="C702" s="444">
        <v>3449</v>
      </c>
      <c r="D702" s="444" t="s">
        <v>1015</v>
      </c>
      <c r="E702" s="425" t="s">
        <v>666</v>
      </c>
      <c r="F702" s="444"/>
      <c r="G702" s="444"/>
      <c r="H702" s="444"/>
      <c r="I702" s="444"/>
      <c r="J702" s="444"/>
      <c r="K702" s="444"/>
      <c r="L702" s="444"/>
      <c r="M702" s="444"/>
      <c r="N702" s="444"/>
      <c r="O702" s="444"/>
      <c r="P702" s="444"/>
      <c r="Q702" s="444"/>
      <c r="R702" s="444">
        <v>1</v>
      </c>
      <c r="S702" s="444"/>
      <c r="T702" s="444"/>
      <c r="U702" s="444"/>
      <c r="V702" s="445">
        <v>1</v>
      </c>
      <c r="W702" s="444"/>
      <c r="X702" s="444"/>
      <c r="Y702" s="444"/>
      <c r="Z702" s="444"/>
      <c r="AA702" s="444"/>
      <c r="AB702" s="444"/>
      <c r="AC702" s="444"/>
      <c r="AD702" s="444"/>
      <c r="AE702" s="444"/>
      <c r="AF702" s="444"/>
      <c r="AG702" s="444"/>
      <c r="AH702" s="444"/>
      <c r="AI702" s="444">
        <v>1</v>
      </c>
      <c r="AJ702" s="444"/>
      <c r="AK702" s="444"/>
      <c r="AL702" s="444"/>
      <c r="AM702" s="446">
        <v>1</v>
      </c>
      <c r="AN702" s="447">
        <v>1</v>
      </c>
      <c r="AO702" s="444" t="s">
        <v>473</v>
      </c>
      <c r="AP702" s="444" t="s">
        <v>1384</v>
      </c>
      <c r="AQ702" s="444" t="s">
        <v>442</v>
      </c>
      <c r="AR702" s="444" t="s">
        <v>1306</v>
      </c>
      <c r="AS702" s="444" t="s">
        <v>1306</v>
      </c>
      <c r="AT702" s="448">
        <v>1</v>
      </c>
      <c r="AU702" s="449"/>
      <c r="AV702" s="425"/>
      <c r="AW702" s="449"/>
      <c r="AX702" s="450"/>
      <c r="AY702" s="450"/>
      <c r="AZ702" s="450"/>
      <c r="BA702" s="450"/>
    </row>
    <row r="703" spans="1:53" hidden="1">
      <c r="A703" s="444">
        <v>272</v>
      </c>
      <c r="B703" s="444" t="s">
        <v>388</v>
      </c>
      <c r="C703" s="444">
        <v>8230</v>
      </c>
      <c r="D703" s="444" t="s">
        <v>1029</v>
      </c>
      <c r="E703" s="425" t="s">
        <v>1506</v>
      </c>
      <c r="F703" s="444"/>
      <c r="G703" s="444"/>
      <c r="H703" s="444"/>
      <c r="I703" s="444"/>
      <c r="J703" s="444"/>
      <c r="K703" s="444"/>
      <c r="L703" s="444"/>
      <c r="M703" s="444"/>
      <c r="N703" s="444"/>
      <c r="O703" s="444"/>
      <c r="P703" s="444"/>
      <c r="Q703" s="444"/>
      <c r="R703" s="444"/>
      <c r="S703" s="444"/>
      <c r="T703" s="444">
        <v>1</v>
      </c>
      <c r="U703" s="444"/>
      <c r="V703" s="445">
        <v>1</v>
      </c>
      <c r="W703" s="444"/>
      <c r="X703" s="444"/>
      <c r="Y703" s="444"/>
      <c r="Z703" s="444"/>
      <c r="AA703" s="444"/>
      <c r="AB703" s="444"/>
      <c r="AC703" s="444"/>
      <c r="AD703" s="444"/>
      <c r="AE703" s="444"/>
      <c r="AF703" s="444"/>
      <c r="AG703" s="444"/>
      <c r="AH703" s="444"/>
      <c r="AI703" s="444"/>
      <c r="AJ703" s="444"/>
      <c r="AK703" s="444">
        <v>1</v>
      </c>
      <c r="AL703" s="444"/>
      <c r="AM703" s="446">
        <v>1</v>
      </c>
      <c r="AN703" s="447">
        <v>0</v>
      </c>
      <c r="AO703" s="444" t="s">
        <v>473</v>
      </c>
      <c r="AP703" s="444" t="s">
        <v>1477</v>
      </c>
      <c r="AQ703" s="444" t="s">
        <v>442</v>
      </c>
      <c r="AR703" s="444" t="s">
        <v>1306</v>
      </c>
      <c r="AS703" s="444" t="s">
        <v>1306</v>
      </c>
      <c r="AT703" s="425"/>
      <c r="AU703" s="449"/>
      <c r="AV703" s="425"/>
      <c r="AW703" s="449"/>
      <c r="AX703" s="452">
        <v>1</v>
      </c>
      <c r="AY703" s="450"/>
      <c r="AZ703" s="450"/>
      <c r="BA703" s="450"/>
    </row>
    <row r="704" spans="1:53" hidden="1">
      <c r="A704" s="444">
        <v>272</v>
      </c>
      <c r="B704" s="444" t="s">
        <v>388</v>
      </c>
      <c r="C704" s="444">
        <v>9632</v>
      </c>
      <c r="D704" s="444" t="s">
        <v>1488</v>
      </c>
      <c r="E704" s="444" t="s">
        <v>973</v>
      </c>
      <c r="F704" s="444"/>
      <c r="G704" s="425"/>
      <c r="H704" s="425"/>
      <c r="I704" s="425"/>
      <c r="J704" s="425"/>
      <c r="K704" s="425"/>
      <c r="L704" s="425"/>
      <c r="M704" s="430"/>
      <c r="N704" s="425"/>
      <c r="O704" s="449"/>
      <c r="P704" s="449"/>
      <c r="Q704" s="449"/>
      <c r="R704" s="449"/>
      <c r="S704" s="449">
        <v>1</v>
      </c>
      <c r="T704" s="449">
        <v>2</v>
      </c>
      <c r="U704" s="425"/>
      <c r="V704" s="453">
        <v>3</v>
      </c>
      <c r="W704" s="454"/>
      <c r="X704" s="449"/>
      <c r="Y704" s="449"/>
      <c r="Z704" s="449"/>
      <c r="AA704" s="449"/>
      <c r="AB704" s="449"/>
      <c r="AC704" s="449"/>
      <c r="AD704" s="449"/>
      <c r="AE704" s="449"/>
      <c r="AF704" s="449"/>
      <c r="AG704" s="449"/>
      <c r="AH704" s="449"/>
      <c r="AI704" s="449"/>
      <c r="AJ704" s="449">
        <v>1</v>
      </c>
      <c r="AK704" s="449">
        <v>2</v>
      </c>
      <c r="AL704" s="449"/>
      <c r="AM704" s="454">
        <v>3</v>
      </c>
      <c r="AN704" s="455">
        <v>3</v>
      </c>
      <c r="AO704" s="449" t="s">
        <v>473</v>
      </c>
      <c r="AP704" s="449" t="s">
        <v>1397</v>
      </c>
      <c r="AQ704" s="449" t="s">
        <v>442</v>
      </c>
      <c r="AR704" s="449" t="s">
        <v>1306</v>
      </c>
      <c r="AS704" s="449" t="s">
        <v>1306</v>
      </c>
      <c r="AT704" s="448">
        <v>3</v>
      </c>
      <c r="AU704" s="425"/>
      <c r="AV704" s="425"/>
      <c r="AW704" s="425"/>
      <c r="AX704" s="450"/>
      <c r="AY704" s="450"/>
      <c r="AZ704" s="450"/>
      <c r="BA704" s="450"/>
    </row>
    <row r="705" spans="1:53" hidden="1">
      <c r="A705" s="444">
        <v>273</v>
      </c>
      <c r="B705" s="444" t="s">
        <v>402</v>
      </c>
      <c r="C705" s="444">
        <v>1755</v>
      </c>
      <c r="D705" s="444" t="s">
        <v>1489</v>
      </c>
      <c r="E705" s="425" t="s">
        <v>666</v>
      </c>
      <c r="F705" s="444"/>
      <c r="G705" s="444">
        <v>1</v>
      </c>
      <c r="H705" s="444">
        <v>3</v>
      </c>
      <c r="I705" s="444">
        <v>1</v>
      </c>
      <c r="J705" s="444">
        <v>3</v>
      </c>
      <c r="K705" s="444">
        <v>5</v>
      </c>
      <c r="L705" s="444">
        <v>2</v>
      </c>
      <c r="M705" s="444">
        <v>4</v>
      </c>
      <c r="N705" s="444">
        <v>4</v>
      </c>
      <c r="O705" s="444">
        <v>4</v>
      </c>
      <c r="P705" s="444"/>
      <c r="Q705" s="444">
        <v>14</v>
      </c>
      <c r="R705" s="444">
        <v>16</v>
      </c>
      <c r="S705" s="444">
        <v>13</v>
      </c>
      <c r="T705" s="444">
        <v>13</v>
      </c>
      <c r="U705" s="444"/>
      <c r="V705" s="445">
        <v>83</v>
      </c>
      <c r="W705" s="444"/>
      <c r="X705" s="444">
        <v>1</v>
      </c>
      <c r="Y705" s="444">
        <v>3</v>
      </c>
      <c r="Z705" s="444">
        <v>1</v>
      </c>
      <c r="AA705" s="444">
        <v>3</v>
      </c>
      <c r="AB705" s="444">
        <v>5</v>
      </c>
      <c r="AC705" s="444">
        <v>2</v>
      </c>
      <c r="AD705" s="444">
        <v>4</v>
      </c>
      <c r="AE705" s="444">
        <v>4</v>
      </c>
      <c r="AF705" s="444">
        <v>4</v>
      </c>
      <c r="AG705" s="444"/>
      <c r="AH705" s="444">
        <v>14</v>
      </c>
      <c r="AI705" s="444">
        <v>16</v>
      </c>
      <c r="AJ705" s="444">
        <v>13</v>
      </c>
      <c r="AK705" s="444">
        <v>13</v>
      </c>
      <c r="AL705" s="444"/>
      <c r="AM705" s="446">
        <v>83</v>
      </c>
      <c r="AN705" s="447">
        <v>83</v>
      </c>
      <c r="AO705" s="444" t="s">
        <v>473</v>
      </c>
      <c r="AP705" s="444" t="s">
        <v>844</v>
      </c>
      <c r="AQ705" s="444" t="s">
        <v>438</v>
      </c>
      <c r="AR705" s="444" t="s">
        <v>1306</v>
      </c>
      <c r="AS705" s="444" t="s">
        <v>1298</v>
      </c>
      <c r="AT705" s="449"/>
      <c r="AU705" s="449"/>
      <c r="AV705" s="425"/>
      <c r="AW705" s="449"/>
      <c r="AX705" s="450"/>
      <c r="AY705" s="450"/>
      <c r="AZ705" s="450"/>
      <c r="BA705" s="450"/>
    </row>
    <row r="706" spans="1:53" hidden="1">
      <c r="A706" s="444">
        <v>273</v>
      </c>
      <c r="B706" s="444" t="s">
        <v>402</v>
      </c>
      <c r="C706" s="444">
        <v>21085</v>
      </c>
      <c r="D706" s="444" t="s">
        <v>1491</v>
      </c>
      <c r="E706" s="425" t="s">
        <v>666</v>
      </c>
      <c r="F706" s="444"/>
      <c r="G706" s="444"/>
      <c r="H706" s="444"/>
      <c r="I706" s="444"/>
      <c r="J706" s="444"/>
      <c r="K706" s="444"/>
      <c r="L706" s="444"/>
      <c r="M706" s="444">
        <v>2</v>
      </c>
      <c r="N706" s="444">
        <v>1</v>
      </c>
      <c r="O706" s="444"/>
      <c r="P706" s="444"/>
      <c r="Q706" s="444"/>
      <c r="R706" s="444"/>
      <c r="S706" s="444"/>
      <c r="T706" s="444"/>
      <c r="U706" s="444"/>
      <c r="V706" s="445">
        <v>3</v>
      </c>
      <c r="W706" s="444"/>
      <c r="X706" s="444"/>
      <c r="Y706" s="444"/>
      <c r="Z706" s="444"/>
      <c r="AA706" s="444"/>
      <c r="AB706" s="444"/>
      <c r="AC706" s="444"/>
      <c r="AD706" s="444">
        <v>2</v>
      </c>
      <c r="AE706" s="444">
        <v>1</v>
      </c>
      <c r="AF706" s="444"/>
      <c r="AG706" s="444"/>
      <c r="AH706" s="444"/>
      <c r="AI706" s="444"/>
      <c r="AJ706" s="444"/>
      <c r="AK706" s="444"/>
      <c r="AL706" s="444"/>
      <c r="AM706" s="446">
        <v>3</v>
      </c>
      <c r="AN706" s="447">
        <v>3</v>
      </c>
      <c r="AO706" s="444" t="s">
        <v>473</v>
      </c>
      <c r="AP706" s="444" t="s">
        <v>1388</v>
      </c>
      <c r="AQ706" s="444" t="s">
        <v>438</v>
      </c>
      <c r="AR706" s="444" t="s">
        <v>1306</v>
      </c>
      <c r="AS706" s="444" t="s">
        <v>1306</v>
      </c>
      <c r="AT706" s="449"/>
      <c r="AU706" s="449"/>
      <c r="AV706" s="425"/>
      <c r="AW706" s="449"/>
      <c r="AX706" s="450"/>
      <c r="AY706" s="450"/>
      <c r="AZ706" s="450"/>
      <c r="BA706" s="450"/>
    </row>
    <row r="707" spans="1:53" hidden="1">
      <c r="A707" s="444">
        <v>273</v>
      </c>
      <c r="B707" s="444" t="s">
        <v>402</v>
      </c>
      <c r="C707" s="444">
        <v>38093</v>
      </c>
      <c r="D707" s="444" t="s">
        <v>1420</v>
      </c>
      <c r="E707" s="425" t="s">
        <v>666</v>
      </c>
      <c r="F707" s="444"/>
      <c r="G707" s="444"/>
      <c r="H707" s="444"/>
      <c r="I707" s="444"/>
      <c r="J707" s="444"/>
      <c r="K707" s="444"/>
      <c r="L707" s="444">
        <v>1</v>
      </c>
      <c r="M707" s="444"/>
      <c r="N707" s="444"/>
      <c r="O707" s="444"/>
      <c r="P707" s="444"/>
      <c r="Q707" s="444"/>
      <c r="R707" s="444"/>
      <c r="S707" s="444"/>
      <c r="T707" s="444"/>
      <c r="U707" s="444"/>
      <c r="V707" s="445">
        <v>1</v>
      </c>
      <c r="W707" s="444"/>
      <c r="X707" s="444"/>
      <c r="Y707" s="444"/>
      <c r="Z707" s="444"/>
      <c r="AA707" s="444"/>
      <c r="AB707" s="444"/>
      <c r="AC707" s="444">
        <v>1</v>
      </c>
      <c r="AD707" s="444"/>
      <c r="AE707" s="444"/>
      <c r="AF707" s="444"/>
      <c r="AG707" s="444"/>
      <c r="AH707" s="444"/>
      <c r="AI707" s="444"/>
      <c r="AJ707" s="444"/>
      <c r="AK707" s="444"/>
      <c r="AL707" s="444"/>
      <c r="AM707" s="446">
        <v>1</v>
      </c>
      <c r="AN707" s="447">
        <v>1</v>
      </c>
      <c r="AO707" s="444" t="s">
        <v>473</v>
      </c>
      <c r="AP707" s="444" t="s">
        <v>844</v>
      </c>
      <c r="AQ707" s="444" t="s">
        <v>438</v>
      </c>
      <c r="AR707" s="444" t="s">
        <v>1306</v>
      </c>
      <c r="AS707" s="444" t="s">
        <v>1306</v>
      </c>
      <c r="AT707" s="449"/>
      <c r="AU707" s="449"/>
      <c r="AV707" s="425"/>
      <c r="AW707" s="449"/>
      <c r="AX707" s="450"/>
      <c r="AY707" s="450"/>
      <c r="AZ707" s="450"/>
      <c r="BA707" s="450"/>
    </row>
    <row r="708" spans="1:53" hidden="1">
      <c r="A708" s="444">
        <v>275</v>
      </c>
      <c r="B708" s="444" t="s">
        <v>390</v>
      </c>
      <c r="C708" s="444">
        <v>1048</v>
      </c>
      <c r="D708" s="444" t="s">
        <v>1055</v>
      </c>
      <c r="E708" s="425" t="s">
        <v>1506</v>
      </c>
      <c r="F708" s="425"/>
      <c r="G708" s="425"/>
      <c r="H708" s="425"/>
      <c r="I708" s="425"/>
      <c r="J708" s="425"/>
      <c r="K708" s="425"/>
      <c r="L708" s="425"/>
      <c r="M708" s="425"/>
      <c r="N708" s="425"/>
      <c r="O708" s="449"/>
      <c r="P708" s="449"/>
      <c r="Q708" s="449"/>
      <c r="R708" s="449"/>
      <c r="S708" s="449">
        <v>1</v>
      </c>
      <c r="T708" s="449">
        <v>13</v>
      </c>
      <c r="U708" s="425"/>
      <c r="V708" s="453">
        <v>14</v>
      </c>
      <c r="W708" s="449"/>
      <c r="X708" s="449"/>
      <c r="Y708" s="449"/>
      <c r="Z708" s="449"/>
      <c r="AA708" s="449"/>
      <c r="AB708" s="449"/>
      <c r="AC708" s="449"/>
      <c r="AD708" s="449"/>
      <c r="AE708" s="449"/>
      <c r="AF708" s="449"/>
      <c r="AG708" s="449"/>
      <c r="AH708" s="449"/>
      <c r="AI708" s="449"/>
      <c r="AJ708" s="449">
        <v>1</v>
      </c>
      <c r="AK708" s="449">
        <v>13</v>
      </c>
      <c r="AL708" s="449"/>
      <c r="AM708" s="454">
        <v>14</v>
      </c>
      <c r="AN708" s="455">
        <v>0</v>
      </c>
      <c r="AO708" s="449" t="s">
        <v>473</v>
      </c>
      <c r="AP708" s="449" t="s">
        <v>862</v>
      </c>
      <c r="AQ708" s="449" t="s">
        <v>1304</v>
      </c>
      <c r="AR708" s="449" t="s">
        <v>1306</v>
      </c>
      <c r="AS708" s="449" t="s">
        <v>1306</v>
      </c>
      <c r="AT708" s="425"/>
      <c r="AU708" s="425"/>
      <c r="AV708" s="425"/>
      <c r="AW708" s="425"/>
      <c r="AX708" s="452">
        <v>14</v>
      </c>
      <c r="AY708" s="450"/>
      <c r="AZ708" s="450"/>
      <c r="BA708" s="450"/>
    </row>
    <row r="709" spans="1:53" hidden="1">
      <c r="A709" s="444">
        <v>275</v>
      </c>
      <c r="B709" s="444" t="s">
        <v>390</v>
      </c>
      <c r="C709" s="444">
        <v>1761</v>
      </c>
      <c r="D709" s="444" t="s">
        <v>1492</v>
      </c>
      <c r="E709" s="425" t="s">
        <v>666</v>
      </c>
      <c r="F709" s="444"/>
      <c r="G709" s="444"/>
      <c r="H709" s="444"/>
      <c r="I709" s="444"/>
      <c r="J709" s="444"/>
      <c r="K709" s="444"/>
      <c r="L709" s="444"/>
      <c r="M709" s="444"/>
      <c r="N709" s="444"/>
      <c r="O709" s="444"/>
      <c r="P709" s="444"/>
      <c r="Q709" s="444"/>
      <c r="R709" s="444"/>
      <c r="S709" s="444">
        <v>1</v>
      </c>
      <c r="T709" s="444"/>
      <c r="U709" s="444"/>
      <c r="V709" s="445">
        <v>1</v>
      </c>
      <c r="W709" s="444"/>
      <c r="X709" s="444"/>
      <c r="Y709" s="444"/>
      <c r="Z709" s="444"/>
      <c r="AA709" s="444"/>
      <c r="AB709" s="444"/>
      <c r="AC709" s="444"/>
      <c r="AD709" s="444"/>
      <c r="AE709" s="444"/>
      <c r="AF709" s="444"/>
      <c r="AG709" s="444"/>
      <c r="AH709" s="444"/>
      <c r="AI709" s="444"/>
      <c r="AJ709" s="444">
        <v>1</v>
      </c>
      <c r="AK709" s="444"/>
      <c r="AL709" s="444"/>
      <c r="AM709" s="446">
        <v>1</v>
      </c>
      <c r="AN709" s="447">
        <v>1</v>
      </c>
      <c r="AO709" s="444" t="s">
        <v>473</v>
      </c>
      <c r="AP709" s="444" t="s">
        <v>850</v>
      </c>
      <c r="AQ709" s="444" t="s">
        <v>1304</v>
      </c>
      <c r="AR709" s="444" t="s">
        <v>1306</v>
      </c>
      <c r="AS709" s="444" t="s">
        <v>1306</v>
      </c>
      <c r="AT709" s="448">
        <v>1</v>
      </c>
      <c r="AU709" s="449"/>
      <c r="AV709" s="425"/>
      <c r="AW709" s="448"/>
      <c r="AX709" s="450"/>
      <c r="AY709" s="450"/>
      <c r="AZ709" s="450"/>
      <c r="BA709" s="450"/>
    </row>
    <row r="710" spans="1:53" hidden="1">
      <c r="A710" s="444">
        <v>275</v>
      </c>
      <c r="B710" s="444" t="s">
        <v>390</v>
      </c>
      <c r="C710" s="444">
        <v>3282</v>
      </c>
      <c r="D710" s="444" t="s">
        <v>1022</v>
      </c>
      <c r="E710" s="425" t="s">
        <v>666</v>
      </c>
      <c r="F710" s="444"/>
      <c r="G710" s="444"/>
      <c r="H710" s="444"/>
      <c r="I710" s="444"/>
      <c r="J710" s="444"/>
      <c r="K710" s="444"/>
      <c r="L710" s="444"/>
      <c r="M710" s="444"/>
      <c r="N710" s="444"/>
      <c r="O710" s="444"/>
      <c r="P710" s="444"/>
      <c r="Q710" s="444"/>
      <c r="R710" s="444">
        <v>1</v>
      </c>
      <c r="S710" s="444">
        <v>3</v>
      </c>
      <c r="T710" s="444">
        <v>5</v>
      </c>
      <c r="U710" s="444"/>
      <c r="V710" s="445">
        <v>9</v>
      </c>
      <c r="W710" s="444"/>
      <c r="X710" s="444"/>
      <c r="Y710" s="444"/>
      <c r="Z710" s="444"/>
      <c r="AA710" s="444"/>
      <c r="AB710" s="444"/>
      <c r="AC710" s="444"/>
      <c r="AD710" s="444"/>
      <c r="AE710" s="444"/>
      <c r="AF710" s="444"/>
      <c r="AG710" s="444"/>
      <c r="AH710" s="444"/>
      <c r="AI710" s="444">
        <v>1</v>
      </c>
      <c r="AJ710" s="444">
        <v>3</v>
      </c>
      <c r="AK710" s="444">
        <v>5</v>
      </c>
      <c r="AL710" s="444"/>
      <c r="AM710" s="446">
        <v>9</v>
      </c>
      <c r="AN710" s="447">
        <v>9</v>
      </c>
      <c r="AO710" s="444" t="s">
        <v>473</v>
      </c>
      <c r="AP710" s="444" t="s">
        <v>1233</v>
      </c>
      <c r="AQ710" s="444" t="s">
        <v>1304</v>
      </c>
      <c r="AR710" s="444" t="s">
        <v>1306</v>
      </c>
      <c r="AS710" s="444" t="s">
        <v>1306</v>
      </c>
      <c r="AT710" s="448">
        <v>7</v>
      </c>
      <c r="AU710" s="449"/>
      <c r="AV710" s="425"/>
      <c r="AW710" s="449"/>
      <c r="AX710" s="450"/>
      <c r="AY710" s="450"/>
      <c r="AZ710" s="450"/>
      <c r="BA710" s="450"/>
    </row>
    <row r="711" spans="1:53" hidden="1">
      <c r="A711" s="444">
        <v>275</v>
      </c>
      <c r="B711" s="444" t="s">
        <v>390</v>
      </c>
      <c r="C711" s="444">
        <v>3285</v>
      </c>
      <c r="D711" s="444" t="s">
        <v>1485</v>
      </c>
      <c r="E711" s="425" t="s">
        <v>666</v>
      </c>
      <c r="F711" s="444"/>
      <c r="G711" s="444"/>
      <c r="H711" s="444"/>
      <c r="I711" s="444"/>
      <c r="J711" s="444"/>
      <c r="K711" s="444"/>
      <c r="L711" s="444"/>
      <c r="M711" s="444"/>
      <c r="N711" s="444"/>
      <c r="O711" s="444"/>
      <c r="P711" s="444"/>
      <c r="Q711" s="444"/>
      <c r="R711" s="444"/>
      <c r="S711" s="444">
        <v>1</v>
      </c>
      <c r="T711" s="444"/>
      <c r="U711" s="444"/>
      <c r="V711" s="445">
        <v>1</v>
      </c>
      <c r="W711" s="444"/>
      <c r="X711" s="444"/>
      <c r="Y711" s="444"/>
      <c r="Z711" s="444"/>
      <c r="AA711" s="444"/>
      <c r="AB711" s="444"/>
      <c r="AC711" s="444"/>
      <c r="AD711" s="444"/>
      <c r="AE711" s="444"/>
      <c r="AF711" s="444"/>
      <c r="AG711" s="444"/>
      <c r="AH711" s="444"/>
      <c r="AI711" s="444"/>
      <c r="AJ711" s="444">
        <v>1</v>
      </c>
      <c r="AK711" s="444"/>
      <c r="AL711" s="444"/>
      <c r="AM711" s="446">
        <v>1</v>
      </c>
      <c r="AN711" s="447">
        <v>1</v>
      </c>
      <c r="AO711" s="444" t="s">
        <v>473</v>
      </c>
      <c r="AP711" s="444" t="s">
        <v>851</v>
      </c>
      <c r="AQ711" s="444" t="s">
        <v>1304</v>
      </c>
      <c r="AR711" s="444" t="s">
        <v>1306</v>
      </c>
      <c r="AS711" s="444" t="s">
        <v>1306</v>
      </c>
      <c r="AT711" s="449"/>
      <c r="AU711" s="449"/>
      <c r="AV711" s="425"/>
      <c r="AW711" s="448">
        <v>1</v>
      </c>
      <c r="AX711" s="450"/>
      <c r="AY711" s="450"/>
      <c r="AZ711" s="450"/>
      <c r="BA711" s="450"/>
    </row>
    <row r="712" spans="1:53" hidden="1">
      <c r="A712" s="444">
        <v>275</v>
      </c>
      <c r="B712" s="444" t="s">
        <v>390</v>
      </c>
      <c r="C712" s="444">
        <v>3303</v>
      </c>
      <c r="D712" s="444" t="s">
        <v>1493</v>
      </c>
      <c r="E712" s="425" t="s">
        <v>666</v>
      </c>
      <c r="F712" s="444"/>
      <c r="G712" s="444"/>
      <c r="H712" s="444"/>
      <c r="I712" s="444"/>
      <c r="J712" s="444"/>
      <c r="K712" s="444"/>
      <c r="L712" s="444"/>
      <c r="M712" s="444"/>
      <c r="N712" s="444"/>
      <c r="O712" s="444"/>
      <c r="P712" s="444"/>
      <c r="Q712" s="444"/>
      <c r="R712" s="444"/>
      <c r="S712" s="444">
        <v>1</v>
      </c>
      <c r="T712" s="444"/>
      <c r="U712" s="444"/>
      <c r="V712" s="445">
        <v>1</v>
      </c>
      <c r="W712" s="444"/>
      <c r="X712" s="444"/>
      <c r="Y712" s="444"/>
      <c r="Z712" s="444"/>
      <c r="AA712" s="444"/>
      <c r="AB712" s="444"/>
      <c r="AC712" s="444"/>
      <c r="AD712" s="444"/>
      <c r="AE712" s="444"/>
      <c r="AF712" s="444"/>
      <c r="AG712" s="444"/>
      <c r="AH712" s="444"/>
      <c r="AI712" s="444"/>
      <c r="AJ712" s="444">
        <v>1</v>
      </c>
      <c r="AK712" s="444"/>
      <c r="AL712" s="444"/>
      <c r="AM712" s="446">
        <v>1</v>
      </c>
      <c r="AN712" s="447">
        <v>1</v>
      </c>
      <c r="AO712" s="444" t="s">
        <v>473</v>
      </c>
      <c r="AP712" s="444" t="s">
        <v>845</v>
      </c>
      <c r="AQ712" s="444" t="s">
        <v>1304</v>
      </c>
      <c r="AR712" s="444" t="s">
        <v>1306</v>
      </c>
      <c r="AS712" s="444" t="s">
        <v>1306</v>
      </c>
      <c r="AT712" s="448">
        <v>1</v>
      </c>
      <c r="AU712" s="449"/>
      <c r="AV712" s="425"/>
      <c r="AW712" s="449"/>
      <c r="AX712" s="450"/>
      <c r="AY712" s="450"/>
      <c r="AZ712" s="450"/>
      <c r="BA712" s="450"/>
    </row>
    <row r="713" spans="1:53" hidden="1">
      <c r="A713" s="444">
        <v>275</v>
      </c>
      <c r="B713" s="444" t="s">
        <v>390</v>
      </c>
      <c r="C713" s="444">
        <v>3304</v>
      </c>
      <c r="D713" s="444" t="s">
        <v>1494</v>
      </c>
      <c r="E713" s="425" t="s">
        <v>666</v>
      </c>
      <c r="F713" s="444"/>
      <c r="G713" s="444"/>
      <c r="H713" s="444"/>
      <c r="I713" s="444"/>
      <c r="J713" s="444"/>
      <c r="K713" s="444"/>
      <c r="L713" s="444"/>
      <c r="M713" s="444"/>
      <c r="N713" s="444"/>
      <c r="O713" s="444"/>
      <c r="P713" s="444"/>
      <c r="Q713" s="444"/>
      <c r="R713" s="444"/>
      <c r="S713" s="444"/>
      <c r="T713" s="444">
        <v>2</v>
      </c>
      <c r="U713" s="444"/>
      <c r="V713" s="445">
        <v>2</v>
      </c>
      <c r="W713" s="444"/>
      <c r="X713" s="444"/>
      <c r="Y713" s="444"/>
      <c r="Z713" s="444"/>
      <c r="AA713" s="444"/>
      <c r="AB713" s="444"/>
      <c r="AC713" s="444"/>
      <c r="AD713" s="444"/>
      <c r="AE713" s="444"/>
      <c r="AF713" s="444"/>
      <c r="AG713" s="444"/>
      <c r="AH713" s="444"/>
      <c r="AI713" s="444"/>
      <c r="AJ713" s="444"/>
      <c r="AK713" s="444">
        <v>2</v>
      </c>
      <c r="AL713" s="444"/>
      <c r="AM713" s="446">
        <v>2</v>
      </c>
      <c r="AN713" s="447">
        <v>2</v>
      </c>
      <c r="AO713" s="444" t="s">
        <v>473</v>
      </c>
      <c r="AP713" s="444" t="s">
        <v>852</v>
      </c>
      <c r="AQ713" s="444" t="s">
        <v>1304</v>
      </c>
      <c r="AR713" s="444" t="s">
        <v>1306</v>
      </c>
      <c r="AS713" s="444" t="s">
        <v>1306</v>
      </c>
      <c r="AT713" s="448">
        <v>1</v>
      </c>
      <c r="AU713" s="449"/>
      <c r="AV713" s="425"/>
      <c r="AW713" s="448">
        <v>1</v>
      </c>
      <c r="AX713" s="450"/>
      <c r="AY713" s="450"/>
      <c r="AZ713" s="450"/>
      <c r="BA713" s="450"/>
    </row>
    <row r="714" spans="1:53" hidden="1">
      <c r="A714" s="444">
        <v>275</v>
      </c>
      <c r="B714" s="444" t="s">
        <v>390</v>
      </c>
      <c r="C714" s="444">
        <v>3305</v>
      </c>
      <c r="D714" s="444" t="s">
        <v>1024</v>
      </c>
      <c r="E714" s="425" t="s">
        <v>666</v>
      </c>
      <c r="F714" s="444"/>
      <c r="G714" s="444"/>
      <c r="H714" s="444"/>
      <c r="I714" s="444"/>
      <c r="J714" s="444"/>
      <c r="K714" s="444"/>
      <c r="L714" s="444"/>
      <c r="M714" s="444"/>
      <c r="N714" s="444"/>
      <c r="O714" s="444"/>
      <c r="P714" s="444"/>
      <c r="Q714" s="444"/>
      <c r="R714" s="444">
        <v>1</v>
      </c>
      <c r="S714" s="444">
        <v>1</v>
      </c>
      <c r="T714" s="444">
        <v>1</v>
      </c>
      <c r="U714" s="444"/>
      <c r="V714" s="445">
        <v>3</v>
      </c>
      <c r="W714" s="444"/>
      <c r="X714" s="444"/>
      <c r="Y714" s="444"/>
      <c r="Z714" s="444"/>
      <c r="AA714" s="444"/>
      <c r="AB714" s="444"/>
      <c r="AC714" s="444"/>
      <c r="AD714" s="444"/>
      <c r="AE714" s="444"/>
      <c r="AF714" s="444"/>
      <c r="AG714" s="444"/>
      <c r="AH714" s="444"/>
      <c r="AI714" s="444">
        <v>1</v>
      </c>
      <c r="AJ714" s="444">
        <v>1</v>
      </c>
      <c r="AK714" s="444">
        <v>1</v>
      </c>
      <c r="AL714" s="444"/>
      <c r="AM714" s="446">
        <v>3</v>
      </c>
      <c r="AN714" s="447">
        <v>3</v>
      </c>
      <c r="AO714" s="444" t="s">
        <v>473</v>
      </c>
      <c r="AP714" s="444" t="s">
        <v>1233</v>
      </c>
      <c r="AQ714" s="444" t="s">
        <v>1304</v>
      </c>
      <c r="AR714" s="444" t="s">
        <v>1306</v>
      </c>
      <c r="AS714" s="444" t="s">
        <v>1306</v>
      </c>
      <c r="AT714" s="448">
        <v>3</v>
      </c>
      <c r="AU714" s="449"/>
      <c r="AV714" s="425"/>
      <c r="AW714" s="449"/>
      <c r="AX714" s="450"/>
      <c r="AY714" s="450"/>
      <c r="AZ714" s="450"/>
      <c r="BA714" s="450"/>
    </row>
    <row r="715" spans="1:53" hidden="1">
      <c r="A715" s="444">
        <v>275</v>
      </c>
      <c r="B715" s="444" t="s">
        <v>390</v>
      </c>
      <c r="C715" s="444">
        <v>3310</v>
      </c>
      <c r="D715" s="444" t="s">
        <v>1045</v>
      </c>
      <c r="E715" s="425" t="s">
        <v>666</v>
      </c>
      <c r="F715" s="444"/>
      <c r="G715" s="444"/>
      <c r="H715" s="444"/>
      <c r="I715" s="444"/>
      <c r="J715" s="444"/>
      <c r="K715" s="444"/>
      <c r="L715" s="444"/>
      <c r="M715" s="444"/>
      <c r="N715" s="444"/>
      <c r="O715" s="444">
        <v>1</v>
      </c>
      <c r="P715" s="444"/>
      <c r="Q715" s="444">
        <v>2</v>
      </c>
      <c r="R715" s="444">
        <v>1</v>
      </c>
      <c r="S715" s="444">
        <v>3</v>
      </c>
      <c r="T715" s="444"/>
      <c r="U715" s="444"/>
      <c r="V715" s="445">
        <v>7</v>
      </c>
      <c r="W715" s="444"/>
      <c r="X715" s="444"/>
      <c r="Y715" s="444"/>
      <c r="Z715" s="444"/>
      <c r="AA715" s="444"/>
      <c r="AB715" s="444"/>
      <c r="AC715" s="444"/>
      <c r="AD715" s="444"/>
      <c r="AE715" s="444"/>
      <c r="AF715" s="444">
        <v>1</v>
      </c>
      <c r="AG715" s="444"/>
      <c r="AH715" s="444">
        <v>2</v>
      </c>
      <c r="AI715" s="444">
        <v>1</v>
      </c>
      <c r="AJ715" s="444">
        <v>3</v>
      </c>
      <c r="AK715" s="444"/>
      <c r="AL715" s="444"/>
      <c r="AM715" s="446">
        <v>7</v>
      </c>
      <c r="AN715" s="447">
        <v>7</v>
      </c>
      <c r="AO715" s="444" t="s">
        <v>473</v>
      </c>
      <c r="AP715" s="444" t="s">
        <v>1233</v>
      </c>
      <c r="AQ715" s="444" t="s">
        <v>1304</v>
      </c>
      <c r="AR715" s="444" t="s">
        <v>1306</v>
      </c>
      <c r="AS715" s="444" t="s">
        <v>1306</v>
      </c>
      <c r="AT715" s="448">
        <v>7</v>
      </c>
      <c r="AU715" s="449"/>
      <c r="AV715" s="425"/>
      <c r="AW715" s="449"/>
      <c r="AX715" s="450"/>
      <c r="AY715" s="450"/>
      <c r="AZ715" s="450"/>
      <c r="BA715" s="450"/>
    </row>
    <row r="716" spans="1:53" hidden="1">
      <c r="A716" s="444">
        <v>275</v>
      </c>
      <c r="B716" s="444" t="s">
        <v>390</v>
      </c>
      <c r="C716" s="444">
        <v>3313</v>
      </c>
      <c r="D716" s="444" t="s">
        <v>1495</v>
      </c>
      <c r="E716" s="425" t="s">
        <v>666</v>
      </c>
      <c r="F716" s="444"/>
      <c r="G716" s="444"/>
      <c r="H716" s="444"/>
      <c r="I716" s="444"/>
      <c r="J716" s="444"/>
      <c r="K716" s="444"/>
      <c r="L716" s="444"/>
      <c r="M716" s="444"/>
      <c r="N716" s="444"/>
      <c r="O716" s="444"/>
      <c r="P716" s="444"/>
      <c r="Q716" s="444"/>
      <c r="R716" s="444"/>
      <c r="S716" s="444">
        <v>1</v>
      </c>
      <c r="T716" s="444"/>
      <c r="U716" s="444"/>
      <c r="V716" s="445">
        <v>1</v>
      </c>
      <c r="W716" s="444"/>
      <c r="X716" s="444"/>
      <c r="Y716" s="444"/>
      <c r="Z716" s="444"/>
      <c r="AA716" s="444"/>
      <c r="AB716" s="444"/>
      <c r="AC716" s="444"/>
      <c r="AD716" s="444"/>
      <c r="AE716" s="444"/>
      <c r="AF716" s="444"/>
      <c r="AG716" s="444"/>
      <c r="AH716" s="444"/>
      <c r="AI716" s="444"/>
      <c r="AJ716" s="444">
        <v>1</v>
      </c>
      <c r="AK716" s="444"/>
      <c r="AL716" s="444"/>
      <c r="AM716" s="446">
        <v>1</v>
      </c>
      <c r="AN716" s="447">
        <v>1</v>
      </c>
      <c r="AO716" s="444" t="s">
        <v>473</v>
      </c>
      <c r="AP716" s="444" t="s">
        <v>868</v>
      </c>
      <c r="AQ716" s="444" t="s">
        <v>1304</v>
      </c>
      <c r="AR716" s="444" t="s">
        <v>1306</v>
      </c>
      <c r="AS716" s="444" t="s">
        <v>1306</v>
      </c>
      <c r="AT716" s="448">
        <v>1</v>
      </c>
      <c r="AU716" s="449"/>
      <c r="AV716" s="425"/>
      <c r="AW716" s="449"/>
      <c r="AX716" s="450"/>
      <c r="AY716" s="450"/>
      <c r="AZ716" s="450"/>
      <c r="BA716" s="450"/>
    </row>
    <row r="717" spans="1:53" hidden="1">
      <c r="A717" s="444">
        <v>275</v>
      </c>
      <c r="B717" s="444" t="s">
        <v>390</v>
      </c>
      <c r="C717" s="444">
        <v>3324</v>
      </c>
      <c r="D717" s="444" t="s">
        <v>1496</v>
      </c>
      <c r="E717" s="425" t="s">
        <v>666</v>
      </c>
      <c r="F717" s="444">
        <v>0.5</v>
      </c>
      <c r="G717" s="444">
        <v>1</v>
      </c>
      <c r="H717" s="444"/>
      <c r="I717" s="444">
        <v>1</v>
      </c>
      <c r="J717" s="444">
        <v>1</v>
      </c>
      <c r="K717" s="444">
        <v>3</v>
      </c>
      <c r="L717" s="444"/>
      <c r="M717" s="444">
        <v>1</v>
      </c>
      <c r="N717" s="444"/>
      <c r="O717" s="444"/>
      <c r="P717" s="444"/>
      <c r="Q717" s="444"/>
      <c r="R717" s="444"/>
      <c r="S717" s="444"/>
      <c r="T717" s="444"/>
      <c r="U717" s="444"/>
      <c r="V717" s="445">
        <v>7.5</v>
      </c>
      <c r="W717" s="444">
        <v>1</v>
      </c>
      <c r="X717" s="444">
        <v>2</v>
      </c>
      <c r="Y717" s="444"/>
      <c r="Z717" s="444">
        <v>1</v>
      </c>
      <c r="AA717" s="444">
        <v>1</v>
      </c>
      <c r="AB717" s="444">
        <v>3</v>
      </c>
      <c r="AC717" s="444"/>
      <c r="AD717" s="444">
        <v>1</v>
      </c>
      <c r="AE717" s="444"/>
      <c r="AF717" s="444"/>
      <c r="AG717" s="444"/>
      <c r="AH717" s="444"/>
      <c r="AI717" s="444"/>
      <c r="AJ717" s="444"/>
      <c r="AK717" s="444"/>
      <c r="AL717" s="444"/>
      <c r="AM717" s="446">
        <v>9</v>
      </c>
      <c r="AN717" s="447">
        <v>9</v>
      </c>
      <c r="AO717" s="444" t="s">
        <v>473</v>
      </c>
      <c r="AP717" s="444" t="s">
        <v>1463</v>
      </c>
      <c r="AQ717" s="444" t="s">
        <v>1304</v>
      </c>
      <c r="AR717" s="444" t="s">
        <v>1297</v>
      </c>
      <c r="AS717" s="444" t="s">
        <v>1297</v>
      </c>
      <c r="AT717" s="449"/>
      <c r="AU717" s="449"/>
      <c r="AV717" s="425"/>
      <c r="AW717" s="449"/>
      <c r="AX717" s="450"/>
      <c r="AY717" s="450"/>
      <c r="AZ717" s="450"/>
      <c r="BA717" s="450"/>
    </row>
    <row r="718" spans="1:53" hidden="1">
      <c r="A718" s="444">
        <v>275</v>
      </c>
      <c r="B718" s="444" t="s">
        <v>390</v>
      </c>
      <c r="C718" s="444">
        <v>3330</v>
      </c>
      <c r="D718" s="444" t="s">
        <v>1012</v>
      </c>
      <c r="E718" s="425" t="s">
        <v>666</v>
      </c>
      <c r="F718" s="444"/>
      <c r="G718" s="444"/>
      <c r="H718" s="444"/>
      <c r="I718" s="444"/>
      <c r="J718" s="444"/>
      <c r="K718" s="444"/>
      <c r="L718" s="444"/>
      <c r="M718" s="444"/>
      <c r="N718" s="444"/>
      <c r="O718" s="444"/>
      <c r="P718" s="444"/>
      <c r="Q718" s="444"/>
      <c r="R718" s="444">
        <v>3</v>
      </c>
      <c r="S718" s="444">
        <v>1</v>
      </c>
      <c r="T718" s="444">
        <v>1</v>
      </c>
      <c r="U718" s="444"/>
      <c r="V718" s="445">
        <v>5</v>
      </c>
      <c r="W718" s="444"/>
      <c r="X718" s="444"/>
      <c r="Y718" s="444"/>
      <c r="Z718" s="444"/>
      <c r="AA718" s="444"/>
      <c r="AB718" s="444"/>
      <c r="AC718" s="444"/>
      <c r="AD718" s="444"/>
      <c r="AE718" s="444"/>
      <c r="AF718" s="444"/>
      <c r="AG718" s="444"/>
      <c r="AH718" s="444"/>
      <c r="AI718" s="444">
        <v>3</v>
      </c>
      <c r="AJ718" s="444">
        <v>1</v>
      </c>
      <c r="AK718" s="444">
        <v>1</v>
      </c>
      <c r="AL718" s="444"/>
      <c r="AM718" s="446">
        <v>5</v>
      </c>
      <c r="AN718" s="447">
        <v>5</v>
      </c>
      <c r="AO718" s="444" t="s">
        <v>473</v>
      </c>
      <c r="AP718" s="444" t="s">
        <v>1405</v>
      </c>
      <c r="AQ718" s="444" t="s">
        <v>1304</v>
      </c>
      <c r="AR718" s="444" t="s">
        <v>1306</v>
      </c>
      <c r="AS718" s="444" t="s">
        <v>1306</v>
      </c>
      <c r="AT718" s="448">
        <v>5</v>
      </c>
      <c r="AU718" s="449"/>
      <c r="AV718" s="425"/>
      <c r="AW718" s="448"/>
      <c r="AX718" s="450"/>
      <c r="AY718" s="450"/>
      <c r="AZ718" s="450"/>
      <c r="BA718" s="450"/>
    </row>
    <row r="719" spans="1:53" hidden="1">
      <c r="A719" s="444">
        <v>275</v>
      </c>
      <c r="B719" s="444" t="s">
        <v>390</v>
      </c>
      <c r="C719" s="444">
        <v>3342</v>
      </c>
      <c r="D719" s="444" t="s">
        <v>1057</v>
      </c>
      <c r="E719" s="425" t="s">
        <v>666</v>
      </c>
      <c r="F719" s="444"/>
      <c r="G719" s="444"/>
      <c r="H719" s="444"/>
      <c r="I719" s="444"/>
      <c r="J719" s="444"/>
      <c r="K719" s="444"/>
      <c r="L719" s="444"/>
      <c r="M719" s="444"/>
      <c r="N719" s="444"/>
      <c r="O719" s="444"/>
      <c r="P719" s="444"/>
      <c r="Q719" s="444"/>
      <c r="R719" s="444">
        <v>1</v>
      </c>
      <c r="S719" s="444"/>
      <c r="T719" s="444">
        <v>1</v>
      </c>
      <c r="U719" s="444"/>
      <c r="V719" s="445">
        <v>2</v>
      </c>
      <c r="W719" s="444"/>
      <c r="X719" s="444"/>
      <c r="Y719" s="444"/>
      <c r="Z719" s="444"/>
      <c r="AA719" s="444"/>
      <c r="AB719" s="444"/>
      <c r="AC719" s="444"/>
      <c r="AD719" s="444"/>
      <c r="AE719" s="444"/>
      <c r="AF719" s="444"/>
      <c r="AG719" s="444"/>
      <c r="AH719" s="444"/>
      <c r="AI719" s="444">
        <v>1</v>
      </c>
      <c r="AJ719" s="444"/>
      <c r="AK719" s="444">
        <v>1</v>
      </c>
      <c r="AL719" s="444"/>
      <c r="AM719" s="446">
        <v>2</v>
      </c>
      <c r="AN719" s="447">
        <v>2</v>
      </c>
      <c r="AO719" s="444" t="s">
        <v>473</v>
      </c>
      <c r="AP719" s="444" t="s">
        <v>1388</v>
      </c>
      <c r="AQ719" s="444" t="s">
        <v>1304</v>
      </c>
      <c r="AR719" s="444" t="s">
        <v>1306</v>
      </c>
      <c r="AS719" s="444" t="s">
        <v>1306</v>
      </c>
      <c r="AT719" s="448">
        <v>2</v>
      </c>
      <c r="AU719" s="449"/>
      <c r="AV719" s="425"/>
      <c r="AW719" s="448"/>
      <c r="AX719" s="450"/>
      <c r="AY719" s="450"/>
      <c r="AZ719" s="450"/>
      <c r="BA719" s="450"/>
    </row>
    <row r="720" spans="1:53" hidden="1">
      <c r="A720" s="444">
        <v>275</v>
      </c>
      <c r="B720" s="444" t="s">
        <v>390</v>
      </c>
      <c r="C720" s="444">
        <v>3343</v>
      </c>
      <c r="D720" s="444" t="s">
        <v>1473</v>
      </c>
      <c r="E720" s="425" t="s">
        <v>666</v>
      </c>
      <c r="F720" s="444"/>
      <c r="G720" s="444"/>
      <c r="H720" s="444"/>
      <c r="I720" s="444"/>
      <c r="J720" s="444"/>
      <c r="K720" s="444"/>
      <c r="L720" s="444"/>
      <c r="M720" s="444"/>
      <c r="N720" s="444"/>
      <c r="O720" s="444"/>
      <c r="P720" s="444"/>
      <c r="Q720" s="444"/>
      <c r="R720" s="444">
        <v>1</v>
      </c>
      <c r="S720" s="444"/>
      <c r="T720" s="444"/>
      <c r="U720" s="444"/>
      <c r="V720" s="445">
        <v>1</v>
      </c>
      <c r="W720" s="444"/>
      <c r="X720" s="444"/>
      <c r="Y720" s="444"/>
      <c r="Z720" s="444"/>
      <c r="AA720" s="444"/>
      <c r="AB720" s="444"/>
      <c r="AC720" s="444"/>
      <c r="AD720" s="444"/>
      <c r="AE720" s="444"/>
      <c r="AF720" s="444"/>
      <c r="AG720" s="444"/>
      <c r="AH720" s="444"/>
      <c r="AI720" s="444">
        <v>1</v>
      </c>
      <c r="AJ720" s="444"/>
      <c r="AK720" s="444"/>
      <c r="AL720" s="444"/>
      <c r="AM720" s="446">
        <v>1</v>
      </c>
      <c r="AN720" s="447">
        <v>1</v>
      </c>
      <c r="AO720" s="444" t="s">
        <v>473</v>
      </c>
      <c r="AP720" s="444" t="s">
        <v>1388</v>
      </c>
      <c r="AQ720" s="444" t="s">
        <v>1304</v>
      </c>
      <c r="AR720" s="444" t="s">
        <v>1306</v>
      </c>
      <c r="AS720" s="444" t="s">
        <v>1306</v>
      </c>
      <c r="AT720" s="448">
        <v>1</v>
      </c>
      <c r="AU720" s="449"/>
      <c r="AV720" s="425"/>
      <c r="AW720" s="448"/>
      <c r="AX720" s="450"/>
      <c r="AY720" s="450"/>
      <c r="AZ720" s="450"/>
      <c r="BA720" s="450"/>
    </row>
    <row r="721" spans="1:53" hidden="1">
      <c r="A721" s="444">
        <v>275</v>
      </c>
      <c r="B721" s="444" t="s">
        <v>390</v>
      </c>
      <c r="C721" s="444">
        <v>3350</v>
      </c>
      <c r="D721" s="444" t="s">
        <v>1059</v>
      </c>
      <c r="E721" s="425" t="s">
        <v>666</v>
      </c>
      <c r="F721" s="444"/>
      <c r="G721" s="444"/>
      <c r="H721" s="444"/>
      <c r="I721" s="444"/>
      <c r="J721" s="444"/>
      <c r="K721" s="444"/>
      <c r="L721" s="444"/>
      <c r="M721" s="444"/>
      <c r="N721" s="444"/>
      <c r="O721" s="444"/>
      <c r="P721" s="444"/>
      <c r="Q721" s="444"/>
      <c r="R721" s="444">
        <v>1</v>
      </c>
      <c r="S721" s="444"/>
      <c r="T721" s="444">
        <v>1</v>
      </c>
      <c r="U721" s="444"/>
      <c r="V721" s="445">
        <v>2</v>
      </c>
      <c r="W721" s="444"/>
      <c r="X721" s="444"/>
      <c r="Y721" s="444"/>
      <c r="Z721" s="444"/>
      <c r="AA721" s="444"/>
      <c r="AB721" s="444"/>
      <c r="AC721" s="444"/>
      <c r="AD721" s="444"/>
      <c r="AE721" s="444"/>
      <c r="AF721" s="444"/>
      <c r="AG721" s="444"/>
      <c r="AH721" s="444"/>
      <c r="AI721" s="444">
        <v>1</v>
      </c>
      <c r="AJ721" s="444"/>
      <c r="AK721" s="444">
        <v>1</v>
      </c>
      <c r="AL721" s="444"/>
      <c r="AM721" s="446">
        <v>2</v>
      </c>
      <c r="AN721" s="447">
        <v>2</v>
      </c>
      <c r="AO721" s="444" t="s">
        <v>473</v>
      </c>
      <c r="AP721" s="444" t="s">
        <v>845</v>
      </c>
      <c r="AQ721" s="444" t="s">
        <v>1304</v>
      </c>
      <c r="AR721" s="444" t="s">
        <v>1306</v>
      </c>
      <c r="AS721" s="444" t="s">
        <v>1306</v>
      </c>
      <c r="AT721" s="448"/>
      <c r="AU721" s="449"/>
      <c r="AV721" s="425"/>
      <c r="AW721" s="448">
        <v>2</v>
      </c>
      <c r="AX721" s="450"/>
      <c r="AY721" s="450"/>
      <c r="AZ721" s="450"/>
      <c r="BA721" s="450"/>
    </row>
    <row r="722" spans="1:53" hidden="1">
      <c r="A722" s="444">
        <v>275</v>
      </c>
      <c r="B722" s="444" t="s">
        <v>390</v>
      </c>
      <c r="C722" s="444">
        <v>3362</v>
      </c>
      <c r="D722" s="444" t="s">
        <v>1061</v>
      </c>
      <c r="E722" s="425" t="s">
        <v>666</v>
      </c>
      <c r="F722" s="444"/>
      <c r="G722" s="444"/>
      <c r="H722" s="444"/>
      <c r="I722" s="444"/>
      <c r="J722" s="444"/>
      <c r="K722" s="444"/>
      <c r="L722" s="444"/>
      <c r="M722" s="444"/>
      <c r="N722" s="444"/>
      <c r="O722" s="444"/>
      <c r="P722" s="444"/>
      <c r="Q722" s="444"/>
      <c r="R722" s="444">
        <v>1</v>
      </c>
      <c r="S722" s="444">
        <v>1</v>
      </c>
      <c r="T722" s="444">
        <v>1</v>
      </c>
      <c r="U722" s="444"/>
      <c r="V722" s="445">
        <v>3</v>
      </c>
      <c r="W722" s="444"/>
      <c r="X722" s="444"/>
      <c r="Y722" s="444"/>
      <c r="Z722" s="444"/>
      <c r="AA722" s="444"/>
      <c r="AB722" s="444"/>
      <c r="AC722" s="444"/>
      <c r="AD722" s="444"/>
      <c r="AE722" s="444"/>
      <c r="AF722" s="444"/>
      <c r="AG722" s="444"/>
      <c r="AH722" s="444"/>
      <c r="AI722" s="444">
        <v>1</v>
      </c>
      <c r="AJ722" s="444">
        <v>1</v>
      </c>
      <c r="AK722" s="444">
        <v>1</v>
      </c>
      <c r="AL722" s="444"/>
      <c r="AM722" s="446">
        <v>3</v>
      </c>
      <c r="AN722" s="447">
        <v>3</v>
      </c>
      <c r="AO722" s="444" t="s">
        <v>473</v>
      </c>
      <c r="AP722" s="444" t="s">
        <v>1233</v>
      </c>
      <c r="AQ722" s="444" t="s">
        <v>1304</v>
      </c>
      <c r="AR722" s="444" t="s">
        <v>1306</v>
      </c>
      <c r="AS722" s="444" t="s">
        <v>1306</v>
      </c>
      <c r="AT722" s="448">
        <v>3</v>
      </c>
      <c r="AU722" s="449"/>
      <c r="AV722" s="425"/>
      <c r="AW722" s="448"/>
      <c r="AX722" s="450"/>
      <c r="AY722" s="450"/>
      <c r="AZ722" s="450"/>
      <c r="BA722" s="450"/>
    </row>
    <row r="723" spans="1:53" hidden="1">
      <c r="A723" s="444">
        <v>275</v>
      </c>
      <c r="B723" s="444" t="s">
        <v>390</v>
      </c>
      <c r="C723" s="444">
        <v>3372</v>
      </c>
      <c r="D723" s="444" t="s">
        <v>976</v>
      </c>
      <c r="E723" s="425" t="s">
        <v>666</v>
      </c>
      <c r="F723" s="444"/>
      <c r="G723" s="444"/>
      <c r="H723" s="444"/>
      <c r="I723" s="444"/>
      <c r="J723" s="444"/>
      <c r="K723" s="444"/>
      <c r="L723" s="444"/>
      <c r="M723" s="444"/>
      <c r="N723" s="444"/>
      <c r="O723" s="444"/>
      <c r="P723" s="444"/>
      <c r="Q723" s="444"/>
      <c r="R723" s="444">
        <v>1</v>
      </c>
      <c r="S723" s="444"/>
      <c r="T723" s="444">
        <v>2</v>
      </c>
      <c r="U723" s="444"/>
      <c r="V723" s="445">
        <v>3</v>
      </c>
      <c r="W723" s="444"/>
      <c r="X723" s="444"/>
      <c r="Y723" s="444"/>
      <c r="Z723" s="444"/>
      <c r="AA723" s="444"/>
      <c r="AB723" s="444"/>
      <c r="AC723" s="444"/>
      <c r="AD723" s="444"/>
      <c r="AE723" s="444"/>
      <c r="AF723" s="444"/>
      <c r="AG723" s="444"/>
      <c r="AH723" s="444"/>
      <c r="AI723" s="444">
        <v>1</v>
      </c>
      <c r="AJ723" s="444"/>
      <c r="AK723" s="444">
        <v>2</v>
      </c>
      <c r="AL723" s="444"/>
      <c r="AM723" s="446">
        <v>3</v>
      </c>
      <c r="AN723" s="447">
        <v>3</v>
      </c>
      <c r="AO723" s="444" t="s">
        <v>473</v>
      </c>
      <c r="AP723" s="444" t="s">
        <v>1405</v>
      </c>
      <c r="AQ723" s="444" t="s">
        <v>1304</v>
      </c>
      <c r="AR723" s="444" t="s">
        <v>1306</v>
      </c>
      <c r="AS723" s="444" t="s">
        <v>1306</v>
      </c>
      <c r="AT723" s="448">
        <v>3</v>
      </c>
      <c r="AU723" s="449"/>
      <c r="AV723" s="425"/>
      <c r="AW723" s="449"/>
      <c r="AX723" s="450"/>
      <c r="AY723" s="450"/>
      <c r="AZ723" s="450"/>
      <c r="BA723" s="450"/>
    </row>
    <row r="724" spans="1:53" hidden="1">
      <c r="A724" s="444">
        <v>275</v>
      </c>
      <c r="B724" s="444" t="s">
        <v>390</v>
      </c>
      <c r="C724" s="444">
        <v>3379</v>
      </c>
      <c r="D724" s="444" t="s">
        <v>1051</v>
      </c>
      <c r="E724" s="425" t="s">
        <v>666</v>
      </c>
      <c r="F724" s="444"/>
      <c r="G724" s="444"/>
      <c r="H724" s="444"/>
      <c r="I724" s="444"/>
      <c r="J724" s="444"/>
      <c r="K724" s="444"/>
      <c r="L724" s="444"/>
      <c r="M724" s="444"/>
      <c r="N724" s="444"/>
      <c r="O724" s="444">
        <v>1</v>
      </c>
      <c r="P724" s="444"/>
      <c r="Q724" s="444"/>
      <c r="R724" s="444"/>
      <c r="S724" s="444"/>
      <c r="T724" s="444">
        <v>1</v>
      </c>
      <c r="U724" s="444"/>
      <c r="V724" s="445">
        <v>2</v>
      </c>
      <c r="W724" s="444"/>
      <c r="X724" s="444"/>
      <c r="Y724" s="444"/>
      <c r="Z724" s="444"/>
      <c r="AA724" s="444"/>
      <c r="AB724" s="444"/>
      <c r="AC724" s="444"/>
      <c r="AD724" s="444"/>
      <c r="AE724" s="444"/>
      <c r="AF724" s="444">
        <v>1</v>
      </c>
      <c r="AG724" s="444"/>
      <c r="AH724" s="444"/>
      <c r="AI724" s="444"/>
      <c r="AJ724" s="444"/>
      <c r="AK724" s="444">
        <v>1</v>
      </c>
      <c r="AL724" s="444"/>
      <c r="AM724" s="446">
        <v>2</v>
      </c>
      <c r="AN724" s="447">
        <v>2</v>
      </c>
      <c r="AO724" s="444" t="s">
        <v>473</v>
      </c>
      <c r="AP724" s="444" t="s">
        <v>1233</v>
      </c>
      <c r="AQ724" s="444" t="s">
        <v>1304</v>
      </c>
      <c r="AR724" s="444" t="s">
        <v>1306</v>
      </c>
      <c r="AS724" s="444" t="s">
        <v>1306</v>
      </c>
      <c r="AT724" s="448">
        <v>2</v>
      </c>
      <c r="AU724" s="449"/>
      <c r="AV724" s="425"/>
      <c r="AW724" s="449"/>
      <c r="AX724" s="450"/>
      <c r="AY724" s="450"/>
      <c r="AZ724" s="450"/>
      <c r="BA724" s="450"/>
    </row>
    <row r="725" spans="1:53" hidden="1">
      <c r="A725" s="444">
        <v>275</v>
      </c>
      <c r="B725" s="444" t="s">
        <v>390</v>
      </c>
      <c r="C725" s="444">
        <v>3400</v>
      </c>
      <c r="D725" s="444" t="s">
        <v>1064</v>
      </c>
      <c r="E725" s="425" t="s">
        <v>666</v>
      </c>
      <c r="F725" s="444"/>
      <c r="G725" s="444"/>
      <c r="H725" s="444"/>
      <c r="I725" s="444"/>
      <c r="J725" s="444"/>
      <c r="K725" s="444"/>
      <c r="L725" s="444"/>
      <c r="M725" s="444"/>
      <c r="N725" s="444"/>
      <c r="O725" s="444"/>
      <c r="P725" s="444"/>
      <c r="Q725" s="444">
        <v>1</v>
      </c>
      <c r="R725" s="444">
        <v>1</v>
      </c>
      <c r="S725" s="444"/>
      <c r="T725" s="444">
        <v>1</v>
      </c>
      <c r="U725" s="444"/>
      <c r="V725" s="445">
        <v>3</v>
      </c>
      <c r="W725" s="444"/>
      <c r="X725" s="444"/>
      <c r="Y725" s="444"/>
      <c r="Z725" s="444"/>
      <c r="AA725" s="444"/>
      <c r="AB725" s="444"/>
      <c r="AC725" s="444"/>
      <c r="AD725" s="444"/>
      <c r="AE725" s="444"/>
      <c r="AF725" s="444"/>
      <c r="AG725" s="444"/>
      <c r="AH725" s="444">
        <v>1</v>
      </c>
      <c r="AI725" s="444">
        <v>1</v>
      </c>
      <c r="AJ725" s="444"/>
      <c r="AK725" s="444">
        <v>1</v>
      </c>
      <c r="AL725" s="444"/>
      <c r="AM725" s="446">
        <v>3</v>
      </c>
      <c r="AN725" s="447">
        <v>3</v>
      </c>
      <c r="AO725" s="444" t="s">
        <v>473</v>
      </c>
      <c r="AP725" s="444" t="s">
        <v>1388</v>
      </c>
      <c r="AQ725" s="444" t="s">
        <v>1304</v>
      </c>
      <c r="AR725" s="444" t="s">
        <v>1306</v>
      </c>
      <c r="AS725" s="444" t="s">
        <v>1306</v>
      </c>
      <c r="AT725" s="448">
        <v>3</v>
      </c>
      <c r="AU725" s="449"/>
      <c r="AV725" s="425"/>
      <c r="AW725" s="449"/>
      <c r="AX725" s="450"/>
      <c r="AY725" s="450"/>
      <c r="AZ725" s="450"/>
      <c r="BA725" s="450"/>
    </row>
    <row r="726" spans="1:53" hidden="1">
      <c r="A726" s="444">
        <v>275</v>
      </c>
      <c r="B726" s="444" t="s">
        <v>390</v>
      </c>
      <c r="C726" s="444">
        <v>3460</v>
      </c>
      <c r="D726" s="444" t="s">
        <v>1497</v>
      </c>
      <c r="E726" s="425" t="s">
        <v>666</v>
      </c>
      <c r="F726" s="444"/>
      <c r="G726" s="444"/>
      <c r="H726" s="444"/>
      <c r="I726" s="444"/>
      <c r="J726" s="444"/>
      <c r="K726" s="444"/>
      <c r="L726" s="444"/>
      <c r="M726" s="444"/>
      <c r="N726" s="444"/>
      <c r="O726" s="444"/>
      <c r="P726" s="444"/>
      <c r="Q726" s="444"/>
      <c r="R726" s="444">
        <v>4</v>
      </c>
      <c r="S726" s="444">
        <v>2</v>
      </c>
      <c r="T726" s="444">
        <v>2</v>
      </c>
      <c r="U726" s="444"/>
      <c r="V726" s="445">
        <v>8</v>
      </c>
      <c r="W726" s="444"/>
      <c r="X726" s="444"/>
      <c r="Y726" s="444"/>
      <c r="Z726" s="444"/>
      <c r="AA726" s="444"/>
      <c r="AB726" s="444"/>
      <c r="AC726" s="444"/>
      <c r="AD726" s="444"/>
      <c r="AE726" s="444"/>
      <c r="AF726" s="444"/>
      <c r="AG726" s="444"/>
      <c r="AH726" s="444"/>
      <c r="AI726" s="444">
        <v>4</v>
      </c>
      <c r="AJ726" s="444">
        <v>2</v>
      </c>
      <c r="AK726" s="444">
        <v>2</v>
      </c>
      <c r="AL726" s="444"/>
      <c r="AM726" s="446">
        <v>8</v>
      </c>
      <c r="AN726" s="447">
        <v>8</v>
      </c>
      <c r="AO726" s="444" t="s">
        <v>473</v>
      </c>
      <c r="AP726" s="444" t="s">
        <v>862</v>
      </c>
      <c r="AQ726" s="444" t="s">
        <v>1304</v>
      </c>
      <c r="AR726" s="444" t="s">
        <v>1306</v>
      </c>
      <c r="AS726" s="444" t="s">
        <v>1306</v>
      </c>
      <c r="AT726" s="448">
        <v>8</v>
      </c>
      <c r="AU726" s="449"/>
      <c r="AV726" s="425"/>
      <c r="AW726" s="449"/>
      <c r="AX726" s="450"/>
      <c r="AY726" s="450"/>
      <c r="AZ726" s="450"/>
      <c r="BA726" s="450"/>
    </row>
    <row r="727" spans="1:53" hidden="1">
      <c r="A727" s="444">
        <v>275</v>
      </c>
      <c r="B727" s="444" t="s">
        <v>390</v>
      </c>
      <c r="C727" s="444">
        <v>3524</v>
      </c>
      <c r="D727" s="444" t="s">
        <v>1498</v>
      </c>
      <c r="E727" s="425" t="s">
        <v>666</v>
      </c>
      <c r="F727" s="444"/>
      <c r="G727" s="444"/>
      <c r="H727" s="444"/>
      <c r="I727" s="444"/>
      <c r="J727" s="444"/>
      <c r="K727" s="444"/>
      <c r="L727" s="444"/>
      <c r="M727" s="444"/>
      <c r="N727" s="444"/>
      <c r="O727" s="444"/>
      <c r="P727" s="444"/>
      <c r="Q727" s="444">
        <v>1</v>
      </c>
      <c r="R727" s="444">
        <v>1</v>
      </c>
      <c r="S727" s="444"/>
      <c r="T727" s="444">
        <v>1</v>
      </c>
      <c r="U727" s="444"/>
      <c r="V727" s="445">
        <v>3</v>
      </c>
      <c r="W727" s="444"/>
      <c r="X727" s="444"/>
      <c r="Y727" s="444"/>
      <c r="Z727" s="444"/>
      <c r="AA727" s="444"/>
      <c r="AB727" s="444"/>
      <c r="AC727" s="444"/>
      <c r="AD727" s="444"/>
      <c r="AE727" s="444"/>
      <c r="AF727" s="444"/>
      <c r="AG727" s="444"/>
      <c r="AH727" s="444">
        <v>1</v>
      </c>
      <c r="AI727" s="444">
        <v>1</v>
      </c>
      <c r="AJ727" s="444"/>
      <c r="AK727" s="444">
        <v>1</v>
      </c>
      <c r="AL727" s="444"/>
      <c r="AM727" s="446">
        <v>3</v>
      </c>
      <c r="AN727" s="447">
        <v>3</v>
      </c>
      <c r="AO727" s="444" t="s">
        <v>473</v>
      </c>
      <c r="AP727" s="444" t="s">
        <v>862</v>
      </c>
      <c r="AQ727" s="444" t="s">
        <v>1304</v>
      </c>
      <c r="AR727" s="444" t="s">
        <v>1306</v>
      </c>
      <c r="AS727" s="444" t="s">
        <v>1306</v>
      </c>
      <c r="AT727" s="448">
        <v>3</v>
      </c>
      <c r="AU727" s="449"/>
      <c r="AV727" s="425"/>
      <c r="AW727" s="449"/>
      <c r="AX727" s="450"/>
      <c r="AY727" s="450"/>
      <c r="AZ727" s="450"/>
      <c r="BA727" s="450"/>
    </row>
    <row r="728" spans="1:53" hidden="1">
      <c r="A728" s="444">
        <v>275</v>
      </c>
      <c r="B728" s="444" t="s">
        <v>390</v>
      </c>
      <c r="C728" s="444">
        <v>6003</v>
      </c>
      <c r="D728" s="444" t="s">
        <v>1066</v>
      </c>
      <c r="E728" s="425" t="s">
        <v>1506</v>
      </c>
      <c r="F728" s="425"/>
      <c r="G728" s="425"/>
      <c r="H728" s="425"/>
      <c r="I728" s="425"/>
      <c r="J728" s="425"/>
      <c r="K728" s="425"/>
      <c r="L728" s="425"/>
      <c r="M728" s="425"/>
      <c r="N728" s="425"/>
      <c r="O728" s="449"/>
      <c r="P728" s="449"/>
      <c r="Q728" s="449"/>
      <c r="R728" s="449"/>
      <c r="S728" s="449"/>
      <c r="T728" s="449">
        <v>1</v>
      </c>
      <c r="U728" s="425"/>
      <c r="V728" s="453">
        <v>1</v>
      </c>
      <c r="W728" s="449"/>
      <c r="X728" s="449"/>
      <c r="Y728" s="449"/>
      <c r="Z728" s="449"/>
      <c r="AA728" s="449"/>
      <c r="AB728" s="449"/>
      <c r="AC728" s="449"/>
      <c r="AD728" s="449"/>
      <c r="AE728" s="449"/>
      <c r="AF728" s="449"/>
      <c r="AG728" s="449"/>
      <c r="AH728" s="449"/>
      <c r="AI728" s="449"/>
      <c r="AJ728" s="449"/>
      <c r="AK728" s="449">
        <v>1</v>
      </c>
      <c r="AL728" s="449"/>
      <c r="AM728" s="454">
        <v>1</v>
      </c>
      <c r="AN728" s="455">
        <v>0</v>
      </c>
      <c r="AO728" s="449" t="s">
        <v>473</v>
      </c>
      <c r="AP728" s="449" t="s">
        <v>1233</v>
      </c>
      <c r="AQ728" s="449" t="s">
        <v>1304</v>
      </c>
      <c r="AR728" s="449" t="s">
        <v>1306</v>
      </c>
      <c r="AS728" s="449" t="s">
        <v>1306</v>
      </c>
      <c r="AT728" s="425"/>
      <c r="AU728" s="425"/>
      <c r="AV728" s="425"/>
      <c r="AW728" s="425"/>
      <c r="AX728" s="452">
        <v>1</v>
      </c>
      <c r="AY728" s="450"/>
      <c r="AZ728" s="450"/>
      <c r="BA728" s="450"/>
    </row>
    <row r="729" spans="1:53" hidden="1">
      <c r="A729" s="444">
        <v>275</v>
      </c>
      <c r="B729" s="444" t="s">
        <v>390</v>
      </c>
      <c r="C729" s="444">
        <v>6178</v>
      </c>
      <c r="D729" s="444" t="s">
        <v>1068</v>
      </c>
      <c r="E729" s="425" t="s">
        <v>666</v>
      </c>
      <c r="F729" s="444"/>
      <c r="G729" s="444"/>
      <c r="H729" s="444"/>
      <c r="I729" s="444"/>
      <c r="J729" s="444"/>
      <c r="K729" s="444"/>
      <c r="L729" s="444"/>
      <c r="M729" s="444"/>
      <c r="N729" s="444"/>
      <c r="O729" s="444"/>
      <c r="P729" s="444"/>
      <c r="Q729" s="444"/>
      <c r="R729" s="444"/>
      <c r="S729" s="444"/>
      <c r="T729" s="444">
        <v>1</v>
      </c>
      <c r="U729" s="444"/>
      <c r="V729" s="445">
        <v>1</v>
      </c>
      <c r="W729" s="444"/>
      <c r="X729" s="444"/>
      <c r="Y729" s="444"/>
      <c r="Z729" s="444"/>
      <c r="AA729" s="444"/>
      <c r="AB729" s="444"/>
      <c r="AC729" s="444"/>
      <c r="AD729" s="444"/>
      <c r="AE729" s="444"/>
      <c r="AF729" s="444"/>
      <c r="AG729" s="444"/>
      <c r="AH729" s="444"/>
      <c r="AI729" s="444"/>
      <c r="AJ729" s="444"/>
      <c r="AK729" s="444">
        <v>1</v>
      </c>
      <c r="AL729" s="444"/>
      <c r="AM729" s="446">
        <v>1</v>
      </c>
      <c r="AN729" s="447">
        <v>1</v>
      </c>
      <c r="AO729" s="444" t="s">
        <v>473</v>
      </c>
      <c r="AP729" s="444" t="s">
        <v>868</v>
      </c>
      <c r="AQ729" s="444" t="s">
        <v>1304</v>
      </c>
      <c r="AR729" s="444" t="s">
        <v>1306</v>
      </c>
      <c r="AS729" s="444" t="s">
        <v>1306</v>
      </c>
      <c r="AT729" s="448">
        <v>1</v>
      </c>
      <c r="AU729" s="449"/>
      <c r="AV729" s="425"/>
      <c r="AW729" s="448"/>
      <c r="AX729" s="450"/>
      <c r="AY729" s="450"/>
      <c r="AZ729" s="450"/>
      <c r="BA729" s="450"/>
    </row>
    <row r="730" spans="1:53" hidden="1">
      <c r="A730" s="444">
        <v>275</v>
      </c>
      <c r="B730" s="444" t="s">
        <v>390</v>
      </c>
      <c r="C730" s="444">
        <v>6407</v>
      </c>
      <c r="D730" s="444" t="s">
        <v>1070</v>
      </c>
      <c r="E730" s="425" t="s">
        <v>666</v>
      </c>
      <c r="F730" s="444"/>
      <c r="G730" s="444"/>
      <c r="H730" s="444"/>
      <c r="I730" s="444"/>
      <c r="J730" s="444"/>
      <c r="K730" s="444"/>
      <c r="L730" s="444"/>
      <c r="M730" s="444"/>
      <c r="N730" s="444"/>
      <c r="O730" s="444"/>
      <c r="P730" s="444"/>
      <c r="Q730" s="444"/>
      <c r="R730" s="444"/>
      <c r="S730" s="444"/>
      <c r="T730" s="444">
        <v>1</v>
      </c>
      <c r="U730" s="444"/>
      <c r="V730" s="445">
        <v>1</v>
      </c>
      <c r="W730" s="444"/>
      <c r="X730" s="444"/>
      <c r="Y730" s="444"/>
      <c r="Z730" s="444"/>
      <c r="AA730" s="444"/>
      <c r="AB730" s="444"/>
      <c r="AC730" s="444"/>
      <c r="AD730" s="444"/>
      <c r="AE730" s="444"/>
      <c r="AF730" s="444"/>
      <c r="AG730" s="444"/>
      <c r="AH730" s="444"/>
      <c r="AI730" s="444"/>
      <c r="AJ730" s="444"/>
      <c r="AK730" s="444">
        <v>1</v>
      </c>
      <c r="AL730" s="444"/>
      <c r="AM730" s="446">
        <v>1</v>
      </c>
      <c r="AN730" s="447">
        <v>1</v>
      </c>
      <c r="AO730" s="444" t="s">
        <v>473</v>
      </c>
      <c r="AP730" s="444" t="s">
        <v>1233</v>
      </c>
      <c r="AQ730" s="444" t="s">
        <v>1304</v>
      </c>
      <c r="AR730" s="444" t="s">
        <v>1306</v>
      </c>
      <c r="AS730" s="444" t="s">
        <v>1306</v>
      </c>
      <c r="AT730" s="448">
        <v>1</v>
      </c>
      <c r="AU730" s="449"/>
      <c r="AV730" s="425"/>
      <c r="AW730" s="449"/>
      <c r="AX730" s="450"/>
      <c r="AY730" s="450"/>
      <c r="AZ730" s="450"/>
      <c r="BA730" s="450"/>
    </row>
    <row r="731" spans="1:53" hidden="1">
      <c r="A731" s="444">
        <v>275</v>
      </c>
      <c r="B731" s="444" t="s">
        <v>390</v>
      </c>
      <c r="C731" s="444">
        <v>6415</v>
      </c>
      <c r="D731" s="444" t="s">
        <v>1072</v>
      </c>
      <c r="E731" s="425" t="s">
        <v>666</v>
      </c>
      <c r="F731" s="444"/>
      <c r="G731" s="444"/>
      <c r="H731" s="444"/>
      <c r="I731" s="444"/>
      <c r="J731" s="444"/>
      <c r="K731" s="444"/>
      <c r="L731" s="444"/>
      <c r="M731" s="444"/>
      <c r="N731" s="444"/>
      <c r="O731" s="444"/>
      <c r="P731" s="444"/>
      <c r="Q731" s="444">
        <v>1</v>
      </c>
      <c r="R731" s="444"/>
      <c r="S731" s="444"/>
      <c r="T731" s="444">
        <v>2</v>
      </c>
      <c r="U731" s="444"/>
      <c r="V731" s="445">
        <v>3</v>
      </c>
      <c r="W731" s="444"/>
      <c r="X731" s="444"/>
      <c r="Y731" s="444"/>
      <c r="Z731" s="444"/>
      <c r="AA731" s="444"/>
      <c r="AB731" s="444"/>
      <c r="AC731" s="444"/>
      <c r="AD731" s="444"/>
      <c r="AE731" s="444"/>
      <c r="AF731" s="444"/>
      <c r="AG731" s="444"/>
      <c r="AH731" s="444">
        <v>1</v>
      </c>
      <c r="AI731" s="444"/>
      <c r="AJ731" s="444"/>
      <c r="AK731" s="444">
        <v>2</v>
      </c>
      <c r="AL731" s="444"/>
      <c r="AM731" s="446">
        <v>3</v>
      </c>
      <c r="AN731" s="447">
        <v>3</v>
      </c>
      <c r="AO731" s="444" t="s">
        <v>473</v>
      </c>
      <c r="AP731" s="444" t="s">
        <v>868</v>
      </c>
      <c r="AQ731" s="444" t="s">
        <v>1304</v>
      </c>
      <c r="AR731" s="444" t="s">
        <v>1306</v>
      </c>
      <c r="AS731" s="444" t="s">
        <v>1306</v>
      </c>
      <c r="AT731" s="448">
        <v>2</v>
      </c>
      <c r="AU731" s="449"/>
      <c r="AV731" s="425"/>
      <c r="AW731" s="449"/>
      <c r="AX731" s="450"/>
      <c r="AY731" s="450"/>
      <c r="AZ731" s="450"/>
      <c r="BA731" s="450"/>
    </row>
    <row r="732" spans="1:53" hidden="1">
      <c r="A732" s="444">
        <v>275</v>
      </c>
      <c r="B732" s="444" t="s">
        <v>390</v>
      </c>
      <c r="C732" s="444">
        <v>7868</v>
      </c>
      <c r="D732" s="444" t="s">
        <v>1499</v>
      </c>
      <c r="E732" s="425" t="s">
        <v>1506</v>
      </c>
      <c r="F732" s="425"/>
      <c r="G732" s="425"/>
      <c r="H732" s="425"/>
      <c r="I732" s="425"/>
      <c r="J732" s="425"/>
      <c r="K732" s="425"/>
      <c r="L732" s="425"/>
      <c r="M732" s="425"/>
      <c r="N732" s="425"/>
      <c r="O732" s="449"/>
      <c r="P732" s="449"/>
      <c r="Q732" s="449"/>
      <c r="R732" s="449"/>
      <c r="S732" s="449"/>
      <c r="T732" s="449">
        <v>1</v>
      </c>
      <c r="U732" s="425"/>
      <c r="V732" s="453">
        <v>1</v>
      </c>
      <c r="W732" s="449"/>
      <c r="X732" s="449"/>
      <c r="Y732" s="449"/>
      <c r="Z732" s="449"/>
      <c r="AA732" s="449"/>
      <c r="AB732" s="449"/>
      <c r="AC732" s="449"/>
      <c r="AD732" s="449"/>
      <c r="AE732" s="449"/>
      <c r="AF732" s="449"/>
      <c r="AG732" s="449"/>
      <c r="AH732" s="449"/>
      <c r="AI732" s="449"/>
      <c r="AJ732" s="449"/>
      <c r="AK732" s="449">
        <v>1</v>
      </c>
      <c r="AL732" s="449"/>
      <c r="AM732" s="454">
        <v>1</v>
      </c>
      <c r="AN732" s="455">
        <v>0</v>
      </c>
      <c r="AO732" s="449" t="s">
        <v>473</v>
      </c>
      <c r="AP732" s="449" t="s">
        <v>1477</v>
      </c>
      <c r="AQ732" s="449" t="s">
        <v>1304</v>
      </c>
      <c r="AR732" s="449" t="s">
        <v>1306</v>
      </c>
      <c r="AS732" s="449" t="s">
        <v>1306</v>
      </c>
      <c r="AT732" s="425"/>
      <c r="AU732" s="425"/>
      <c r="AV732" s="425"/>
      <c r="AW732" s="425"/>
      <c r="AX732" s="456"/>
      <c r="AY732" s="450"/>
      <c r="AZ732" s="450"/>
      <c r="BA732" s="450"/>
    </row>
    <row r="733" spans="1:53" hidden="1">
      <c r="A733" s="444">
        <v>275</v>
      </c>
      <c r="B733" s="444" t="s">
        <v>390</v>
      </c>
      <c r="C733" s="444">
        <v>8230</v>
      </c>
      <c r="D733" s="444" t="s">
        <v>1029</v>
      </c>
      <c r="E733" s="425" t="s">
        <v>1506</v>
      </c>
      <c r="F733" s="444"/>
      <c r="G733" s="444"/>
      <c r="H733" s="444"/>
      <c r="I733" s="444"/>
      <c r="J733" s="444"/>
      <c r="K733" s="444"/>
      <c r="L733" s="444"/>
      <c r="M733" s="444"/>
      <c r="N733" s="444"/>
      <c r="O733" s="444"/>
      <c r="P733" s="444"/>
      <c r="Q733" s="444"/>
      <c r="R733" s="444">
        <v>1</v>
      </c>
      <c r="S733" s="444"/>
      <c r="T733" s="444"/>
      <c r="U733" s="444"/>
      <c r="V733" s="445">
        <v>1</v>
      </c>
      <c r="W733" s="444"/>
      <c r="X733" s="444"/>
      <c r="Y733" s="444"/>
      <c r="Z733" s="444"/>
      <c r="AA733" s="444"/>
      <c r="AB733" s="444"/>
      <c r="AC733" s="444"/>
      <c r="AD733" s="444"/>
      <c r="AE733" s="444"/>
      <c r="AF733" s="444"/>
      <c r="AG733" s="444"/>
      <c r="AH733" s="444"/>
      <c r="AI733" s="444">
        <v>1</v>
      </c>
      <c r="AJ733" s="444"/>
      <c r="AK733" s="444"/>
      <c r="AL733" s="444"/>
      <c r="AM733" s="446">
        <v>1</v>
      </c>
      <c r="AN733" s="447">
        <v>0</v>
      </c>
      <c r="AO733" s="444" t="s">
        <v>473</v>
      </c>
      <c r="AP733" s="444" t="s">
        <v>1477</v>
      </c>
      <c r="AQ733" s="444" t="s">
        <v>1304</v>
      </c>
      <c r="AR733" s="444" t="s">
        <v>1306</v>
      </c>
      <c r="AS733" s="444" t="s">
        <v>1306</v>
      </c>
      <c r="AT733" s="425"/>
      <c r="AU733" s="449"/>
      <c r="AV733" s="425"/>
      <c r="AW733" s="449"/>
      <c r="AX733" s="452">
        <v>1</v>
      </c>
      <c r="AY733" s="450"/>
      <c r="AZ733" s="450"/>
      <c r="BA733" s="450"/>
    </row>
    <row r="734" spans="1:53" hidden="1">
      <c r="A734" s="444">
        <v>275</v>
      </c>
      <c r="B734" s="444" t="s">
        <v>390</v>
      </c>
      <c r="C734" s="444">
        <v>8930</v>
      </c>
      <c r="D734" s="444" t="s">
        <v>1040</v>
      </c>
      <c r="E734" s="425" t="s">
        <v>1506</v>
      </c>
      <c r="F734" s="425"/>
      <c r="G734" s="425"/>
      <c r="H734" s="425"/>
      <c r="I734" s="425"/>
      <c r="J734" s="425"/>
      <c r="K734" s="425"/>
      <c r="L734" s="425"/>
      <c r="M734" s="425"/>
      <c r="N734" s="425"/>
      <c r="O734" s="449"/>
      <c r="P734" s="449"/>
      <c r="Q734" s="449"/>
      <c r="R734" s="449"/>
      <c r="S734" s="449"/>
      <c r="T734" s="449">
        <v>8</v>
      </c>
      <c r="U734" s="425"/>
      <c r="V734" s="453">
        <v>8</v>
      </c>
      <c r="W734" s="449"/>
      <c r="X734" s="449"/>
      <c r="Y734" s="449"/>
      <c r="Z734" s="449"/>
      <c r="AA734" s="449"/>
      <c r="AB734" s="449"/>
      <c r="AC734" s="449"/>
      <c r="AD734" s="449"/>
      <c r="AE734" s="449"/>
      <c r="AF734" s="449"/>
      <c r="AG734" s="449"/>
      <c r="AH734" s="449"/>
      <c r="AI734" s="449"/>
      <c r="AJ734" s="449"/>
      <c r="AK734" s="449">
        <v>8</v>
      </c>
      <c r="AL734" s="449"/>
      <c r="AM734" s="454">
        <v>8</v>
      </c>
      <c r="AN734" s="455">
        <v>0</v>
      </c>
      <c r="AO734" s="449" t="s">
        <v>473</v>
      </c>
      <c r="AP734" s="449" t="s">
        <v>1233</v>
      </c>
      <c r="AQ734" s="449" t="s">
        <v>1304</v>
      </c>
      <c r="AR734" s="449" t="s">
        <v>1306</v>
      </c>
      <c r="AS734" s="449" t="s">
        <v>1306</v>
      </c>
      <c r="AT734" s="425"/>
      <c r="AU734" s="425"/>
      <c r="AV734" s="425"/>
      <c r="AW734" s="425"/>
      <c r="AX734" s="452">
        <v>8</v>
      </c>
      <c r="AY734" s="450"/>
      <c r="AZ734" s="450"/>
      <c r="BA734" s="450"/>
    </row>
    <row r="735" spans="1:53" hidden="1">
      <c r="A735" s="444">
        <v>286</v>
      </c>
      <c r="B735" s="444" t="s">
        <v>406</v>
      </c>
      <c r="C735" s="444">
        <v>3303</v>
      </c>
      <c r="D735" s="444" t="s">
        <v>1493</v>
      </c>
      <c r="E735" s="425" t="s">
        <v>666</v>
      </c>
      <c r="F735" s="444"/>
      <c r="G735" s="444"/>
      <c r="H735" s="444"/>
      <c r="I735" s="444"/>
      <c r="J735" s="444"/>
      <c r="K735" s="444"/>
      <c r="L735" s="444"/>
      <c r="M735" s="444"/>
      <c r="N735" s="444"/>
      <c r="O735" s="444"/>
      <c r="P735" s="444"/>
      <c r="Q735" s="444"/>
      <c r="R735" s="444">
        <v>1</v>
      </c>
      <c r="S735" s="444"/>
      <c r="T735" s="444"/>
      <c r="U735" s="444"/>
      <c r="V735" s="445">
        <v>1</v>
      </c>
      <c r="W735" s="444"/>
      <c r="X735" s="444"/>
      <c r="Y735" s="444"/>
      <c r="Z735" s="444"/>
      <c r="AA735" s="444"/>
      <c r="AB735" s="444"/>
      <c r="AC735" s="444"/>
      <c r="AD735" s="444"/>
      <c r="AE735" s="444"/>
      <c r="AF735" s="444"/>
      <c r="AG735" s="444"/>
      <c r="AH735" s="444"/>
      <c r="AI735" s="444">
        <v>1</v>
      </c>
      <c r="AJ735" s="444"/>
      <c r="AK735" s="444"/>
      <c r="AL735" s="444"/>
      <c r="AM735" s="446">
        <v>1</v>
      </c>
      <c r="AN735" s="447">
        <v>1</v>
      </c>
      <c r="AO735" s="444" t="s">
        <v>473</v>
      </c>
      <c r="AP735" s="444" t="s">
        <v>845</v>
      </c>
      <c r="AQ735" s="444" t="s">
        <v>446</v>
      </c>
      <c r="AR735" s="444" t="s">
        <v>1306</v>
      </c>
      <c r="AS735" s="444" t="s">
        <v>1306</v>
      </c>
      <c r="AT735" s="448">
        <v>1</v>
      </c>
      <c r="AU735" s="449"/>
      <c r="AV735" s="425"/>
      <c r="AW735" s="449"/>
      <c r="AX735" s="450"/>
      <c r="AY735" s="450"/>
      <c r="AZ735" s="450"/>
      <c r="BA735" s="450"/>
    </row>
    <row r="736" spans="1:53" hidden="1">
      <c r="A736" s="444">
        <v>286</v>
      </c>
      <c r="B736" s="444" t="s">
        <v>406</v>
      </c>
      <c r="C736" s="444">
        <v>3310</v>
      </c>
      <c r="D736" s="444" t="s">
        <v>1045</v>
      </c>
      <c r="E736" s="425" t="s">
        <v>666</v>
      </c>
      <c r="F736" s="444"/>
      <c r="G736" s="444"/>
      <c r="H736" s="444"/>
      <c r="I736" s="444"/>
      <c r="J736" s="444"/>
      <c r="K736" s="444"/>
      <c r="L736" s="444"/>
      <c r="M736" s="444"/>
      <c r="N736" s="444"/>
      <c r="O736" s="444"/>
      <c r="P736" s="444"/>
      <c r="Q736" s="444">
        <v>1</v>
      </c>
      <c r="R736" s="444"/>
      <c r="S736" s="444">
        <v>1</v>
      </c>
      <c r="T736" s="444"/>
      <c r="U736" s="444"/>
      <c r="V736" s="445">
        <v>2</v>
      </c>
      <c r="W736" s="444"/>
      <c r="X736" s="444"/>
      <c r="Y736" s="444"/>
      <c r="Z736" s="444"/>
      <c r="AA736" s="444"/>
      <c r="AB736" s="444"/>
      <c r="AC736" s="444"/>
      <c r="AD736" s="444"/>
      <c r="AE736" s="444"/>
      <c r="AF736" s="444"/>
      <c r="AG736" s="444"/>
      <c r="AH736" s="444">
        <v>1</v>
      </c>
      <c r="AI736" s="444"/>
      <c r="AJ736" s="444">
        <v>1</v>
      </c>
      <c r="AK736" s="444"/>
      <c r="AL736" s="444"/>
      <c r="AM736" s="446">
        <v>2</v>
      </c>
      <c r="AN736" s="447">
        <v>2</v>
      </c>
      <c r="AO736" s="444" t="s">
        <v>473</v>
      </c>
      <c r="AP736" s="444" t="s">
        <v>1233</v>
      </c>
      <c r="AQ736" s="444" t="s">
        <v>446</v>
      </c>
      <c r="AR736" s="444" t="s">
        <v>1306</v>
      </c>
      <c r="AS736" s="444" t="s">
        <v>1306</v>
      </c>
      <c r="AT736" s="448">
        <v>2</v>
      </c>
      <c r="AU736" s="449"/>
      <c r="AV736" s="425"/>
      <c r="AW736" s="449"/>
      <c r="AX736" s="450"/>
      <c r="AY736" s="450"/>
      <c r="AZ736" s="450"/>
      <c r="BA736" s="450"/>
    </row>
    <row r="737" spans="1:53" hidden="1">
      <c r="A737" s="444">
        <v>286</v>
      </c>
      <c r="B737" s="444" t="s">
        <v>406</v>
      </c>
      <c r="C737" s="444">
        <v>5736</v>
      </c>
      <c r="D737" s="444" t="s">
        <v>1500</v>
      </c>
      <c r="E737" s="425" t="s">
        <v>666</v>
      </c>
      <c r="F737" s="444"/>
      <c r="G737" s="444"/>
      <c r="H737" s="444"/>
      <c r="I737" s="444"/>
      <c r="J737" s="444"/>
      <c r="K737" s="444"/>
      <c r="L737" s="444"/>
      <c r="M737" s="444"/>
      <c r="N737" s="444"/>
      <c r="O737" s="444"/>
      <c r="P737" s="444"/>
      <c r="Q737" s="444"/>
      <c r="R737" s="444">
        <v>1</v>
      </c>
      <c r="S737" s="444"/>
      <c r="T737" s="444"/>
      <c r="U737" s="444"/>
      <c r="V737" s="445">
        <v>1</v>
      </c>
      <c r="W737" s="444"/>
      <c r="X737" s="444"/>
      <c r="Y737" s="444"/>
      <c r="Z737" s="444"/>
      <c r="AA737" s="444"/>
      <c r="AB737" s="444"/>
      <c r="AC737" s="444"/>
      <c r="AD737" s="444"/>
      <c r="AE737" s="444"/>
      <c r="AF737" s="444"/>
      <c r="AG737" s="444"/>
      <c r="AH737" s="444"/>
      <c r="AI737" s="444">
        <v>1</v>
      </c>
      <c r="AJ737" s="444"/>
      <c r="AK737" s="444"/>
      <c r="AL737" s="444"/>
      <c r="AM737" s="446">
        <v>1</v>
      </c>
      <c r="AN737" s="447">
        <v>1</v>
      </c>
      <c r="AO737" s="444" t="s">
        <v>473</v>
      </c>
      <c r="AP737" s="444" t="s">
        <v>845</v>
      </c>
      <c r="AQ737" s="444" t="s">
        <v>446</v>
      </c>
      <c r="AR737" s="444" t="s">
        <v>1306</v>
      </c>
      <c r="AS737" s="444" t="s">
        <v>1306</v>
      </c>
      <c r="AT737" s="448">
        <v>1</v>
      </c>
      <c r="AU737" s="449"/>
      <c r="AV737" s="425"/>
      <c r="AW737" s="449"/>
      <c r="AX737" s="450"/>
      <c r="AY737" s="450"/>
      <c r="AZ737" s="450"/>
      <c r="BA737" s="450"/>
    </row>
    <row r="738" spans="1:53" hidden="1">
      <c r="A738" s="444">
        <v>286</v>
      </c>
      <c r="B738" s="444" t="s">
        <v>406</v>
      </c>
      <c r="C738" s="444">
        <v>7870</v>
      </c>
      <c r="D738" s="444" t="s">
        <v>1501</v>
      </c>
      <c r="E738" s="425" t="s">
        <v>666</v>
      </c>
      <c r="F738" s="444"/>
      <c r="G738" s="444"/>
      <c r="H738" s="444"/>
      <c r="I738" s="444"/>
      <c r="J738" s="444"/>
      <c r="K738" s="444"/>
      <c r="L738" s="444"/>
      <c r="M738" s="444"/>
      <c r="N738" s="444"/>
      <c r="O738" s="444"/>
      <c r="P738" s="444"/>
      <c r="Q738" s="444">
        <v>6</v>
      </c>
      <c r="R738" s="444">
        <v>6</v>
      </c>
      <c r="S738" s="444">
        <v>6</v>
      </c>
      <c r="T738" s="444">
        <v>11</v>
      </c>
      <c r="U738" s="444"/>
      <c r="V738" s="445">
        <v>29</v>
      </c>
      <c r="W738" s="444"/>
      <c r="X738" s="444"/>
      <c r="Y738" s="444"/>
      <c r="Z738" s="444"/>
      <c r="AA738" s="444"/>
      <c r="AB738" s="444"/>
      <c r="AC738" s="444"/>
      <c r="AD738" s="444"/>
      <c r="AE738" s="444"/>
      <c r="AF738" s="444"/>
      <c r="AG738" s="444"/>
      <c r="AH738" s="444">
        <v>6</v>
      </c>
      <c r="AI738" s="444">
        <v>6</v>
      </c>
      <c r="AJ738" s="444">
        <v>6</v>
      </c>
      <c r="AK738" s="444">
        <v>11</v>
      </c>
      <c r="AL738" s="444"/>
      <c r="AM738" s="446">
        <v>29</v>
      </c>
      <c r="AN738" s="447">
        <v>29</v>
      </c>
      <c r="AO738" s="444" t="s">
        <v>473</v>
      </c>
      <c r="AP738" s="444" t="s">
        <v>1454</v>
      </c>
      <c r="AQ738" s="444" t="s">
        <v>446</v>
      </c>
      <c r="AR738" s="444" t="s">
        <v>1306</v>
      </c>
      <c r="AS738" s="444" t="s">
        <v>1306</v>
      </c>
      <c r="AT738" s="449"/>
      <c r="AU738" s="449"/>
      <c r="AV738" s="425"/>
      <c r="AW738" s="449"/>
      <c r="AX738" s="450"/>
      <c r="AY738" s="450"/>
      <c r="AZ738" s="450"/>
      <c r="BA738" s="450"/>
    </row>
    <row r="739" spans="1:53" hidden="1">
      <c r="A739" s="444">
        <v>288</v>
      </c>
      <c r="B739" s="444" t="s">
        <v>398</v>
      </c>
      <c r="C739" s="444">
        <v>3403</v>
      </c>
      <c r="D739" s="444" t="s">
        <v>1503</v>
      </c>
      <c r="E739" s="425" t="s">
        <v>666</v>
      </c>
      <c r="F739" s="444"/>
      <c r="G739" s="444"/>
      <c r="H739" s="444"/>
      <c r="I739" s="444"/>
      <c r="J739" s="444"/>
      <c r="K739" s="444"/>
      <c r="L739" s="444"/>
      <c r="M739" s="444"/>
      <c r="N739" s="444"/>
      <c r="O739" s="444"/>
      <c r="P739" s="444"/>
      <c r="Q739" s="444">
        <v>1</v>
      </c>
      <c r="R739" s="444"/>
      <c r="S739" s="444">
        <v>2</v>
      </c>
      <c r="T739" s="444"/>
      <c r="U739" s="444"/>
      <c r="V739" s="445">
        <v>3</v>
      </c>
      <c r="W739" s="444"/>
      <c r="X739" s="444"/>
      <c r="Y739" s="444"/>
      <c r="Z739" s="444"/>
      <c r="AA739" s="444"/>
      <c r="AB739" s="444"/>
      <c r="AC739" s="444"/>
      <c r="AD739" s="444"/>
      <c r="AE739" s="444"/>
      <c r="AF739" s="444"/>
      <c r="AG739" s="444"/>
      <c r="AH739" s="444">
        <v>1</v>
      </c>
      <c r="AI739" s="449"/>
      <c r="AJ739" s="444">
        <v>2</v>
      </c>
      <c r="AK739" s="444"/>
      <c r="AL739" s="444"/>
      <c r="AM739" s="446">
        <v>3</v>
      </c>
      <c r="AN739" s="447">
        <v>3</v>
      </c>
      <c r="AO739" s="444" t="s">
        <v>473</v>
      </c>
      <c r="AP739" s="444" t="s">
        <v>856</v>
      </c>
      <c r="AQ739" s="444" t="s">
        <v>445</v>
      </c>
      <c r="AR739" s="444" t="s">
        <v>1306</v>
      </c>
      <c r="AS739" s="444" t="s">
        <v>1306</v>
      </c>
      <c r="AT739" s="449"/>
      <c r="AU739" s="449"/>
      <c r="AV739" s="425"/>
      <c r="AW739" s="449"/>
      <c r="AX739" s="450"/>
      <c r="AY739" s="450"/>
      <c r="AZ739" s="450"/>
      <c r="BA739" s="450"/>
    </row>
    <row r="740" spans="1:53" hidden="1">
      <c r="A740" s="444">
        <v>288</v>
      </c>
      <c r="B740" s="444" t="s">
        <v>398</v>
      </c>
      <c r="C740" s="444">
        <v>20891</v>
      </c>
      <c r="D740" s="444" t="s">
        <v>1502</v>
      </c>
      <c r="E740" s="425" t="s">
        <v>973</v>
      </c>
      <c r="F740" s="425"/>
      <c r="G740" s="425"/>
      <c r="H740" s="425"/>
      <c r="I740" s="425">
        <v>1</v>
      </c>
      <c r="J740" s="425"/>
      <c r="K740" s="425"/>
      <c r="L740" s="425"/>
      <c r="M740" s="425"/>
      <c r="N740" s="425"/>
      <c r="O740" s="449"/>
      <c r="P740" s="449"/>
      <c r="Q740" s="449">
        <v>4</v>
      </c>
      <c r="R740" s="449">
        <v>4</v>
      </c>
      <c r="S740" s="449">
        <v>5</v>
      </c>
      <c r="T740" s="449">
        <v>1</v>
      </c>
      <c r="U740" s="425"/>
      <c r="V740" s="453">
        <v>15</v>
      </c>
      <c r="W740" s="449"/>
      <c r="X740" s="449"/>
      <c r="Y740" s="449"/>
      <c r="Z740" s="449">
        <v>1</v>
      </c>
      <c r="AA740" s="449"/>
      <c r="AB740" s="449"/>
      <c r="AC740" s="449"/>
      <c r="AD740" s="449"/>
      <c r="AE740" s="449"/>
      <c r="AF740" s="449"/>
      <c r="AG740" s="449"/>
      <c r="AH740" s="449">
        <v>4</v>
      </c>
      <c r="AI740" s="449">
        <v>4</v>
      </c>
      <c r="AJ740" s="449">
        <v>5</v>
      </c>
      <c r="AK740" s="449">
        <v>1</v>
      </c>
      <c r="AL740" s="449"/>
      <c r="AM740" s="454">
        <v>15</v>
      </c>
      <c r="AN740" s="455">
        <v>15</v>
      </c>
      <c r="AO740" s="449" t="s">
        <v>473</v>
      </c>
      <c r="AP740" s="449" t="s">
        <v>1397</v>
      </c>
      <c r="AQ740" s="449" t="s">
        <v>445</v>
      </c>
      <c r="AR740" s="449" t="s">
        <v>1306</v>
      </c>
      <c r="AS740" s="449" t="s">
        <v>1306</v>
      </c>
      <c r="AT740" s="449"/>
      <c r="AU740" s="425"/>
      <c r="AV740" s="425"/>
      <c r="AW740" s="425"/>
      <c r="AX740" s="450"/>
      <c r="AY740" s="450"/>
      <c r="AZ740" s="450"/>
      <c r="BA740" s="450"/>
    </row>
    <row r="741" spans="1:53" hidden="1">
      <c r="A741" s="444">
        <v>304</v>
      </c>
      <c r="B741" s="444" t="s">
        <v>394</v>
      </c>
      <c r="C741" s="444">
        <v>1758</v>
      </c>
      <c r="D741" s="444" t="s">
        <v>1020</v>
      </c>
      <c r="E741" s="425" t="s">
        <v>666</v>
      </c>
      <c r="F741" s="444"/>
      <c r="G741" s="444"/>
      <c r="H741" s="444"/>
      <c r="I741" s="444"/>
      <c r="J741" s="444"/>
      <c r="K741" s="444"/>
      <c r="L741" s="444"/>
      <c r="M741" s="444"/>
      <c r="N741" s="444"/>
      <c r="O741" s="444"/>
      <c r="P741" s="444"/>
      <c r="Q741" s="444"/>
      <c r="R741" s="444">
        <v>7</v>
      </c>
      <c r="S741" s="444">
        <v>1</v>
      </c>
      <c r="T741" s="444">
        <v>1</v>
      </c>
      <c r="U741" s="444"/>
      <c r="V741" s="445">
        <v>9</v>
      </c>
      <c r="W741" s="444"/>
      <c r="X741" s="444"/>
      <c r="Y741" s="444"/>
      <c r="Z741" s="444"/>
      <c r="AA741" s="444"/>
      <c r="AB741" s="444"/>
      <c r="AC741" s="444"/>
      <c r="AD741" s="444"/>
      <c r="AE741" s="444"/>
      <c r="AF741" s="444"/>
      <c r="AG741" s="444"/>
      <c r="AH741" s="444"/>
      <c r="AI741" s="444">
        <v>7</v>
      </c>
      <c r="AJ741" s="444">
        <v>1</v>
      </c>
      <c r="AK741" s="444">
        <v>1</v>
      </c>
      <c r="AL741" s="444"/>
      <c r="AM741" s="446">
        <v>9</v>
      </c>
      <c r="AN741" s="447">
        <v>9</v>
      </c>
      <c r="AO741" s="444" t="s">
        <v>474</v>
      </c>
      <c r="AP741" s="444" t="s">
        <v>1463</v>
      </c>
      <c r="AQ741" s="444" t="s">
        <v>441</v>
      </c>
      <c r="AR741" s="444" t="s">
        <v>1306</v>
      </c>
      <c r="AS741" s="444" t="s">
        <v>1306</v>
      </c>
      <c r="AT741" s="449"/>
      <c r="AU741" s="449">
        <v>9</v>
      </c>
      <c r="AV741" s="425"/>
      <c r="AW741" s="449"/>
      <c r="AX741" s="450"/>
      <c r="AY741" s="450"/>
      <c r="AZ741" s="450"/>
      <c r="BA741" s="450"/>
    </row>
    <row r="742" spans="1:53" hidden="1">
      <c r="A742" s="444">
        <v>304</v>
      </c>
      <c r="B742" s="444" t="s">
        <v>394</v>
      </c>
      <c r="C742" s="444">
        <v>1765</v>
      </c>
      <c r="D742" s="444" t="s">
        <v>1080</v>
      </c>
      <c r="E742" s="425" t="s">
        <v>666</v>
      </c>
      <c r="F742" s="444"/>
      <c r="G742" s="444"/>
      <c r="H742" s="444"/>
      <c r="I742" s="444"/>
      <c r="J742" s="444"/>
      <c r="K742" s="444"/>
      <c r="L742" s="444"/>
      <c r="M742" s="444"/>
      <c r="N742" s="444"/>
      <c r="O742" s="444"/>
      <c r="P742" s="444"/>
      <c r="Q742" s="444"/>
      <c r="R742" s="444"/>
      <c r="S742" s="444">
        <v>1</v>
      </c>
      <c r="T742" s="444">
        <v>1</v>
      </c>
      <c r="U742" s="444"/>
      <c r="V742" s="445">
        <v>2</v>
      </c>
      <c r="W742" s="444"/>
      <c r="X742" s="444"/>
      <c r="Y742" s="444"/>
      <c r="Z742" s="444"/>
      <c r="AA742" s="444"/>
      <c r="AB742" s="444"/>
      <c r="AC742" s="444"/>
      <c r="AD742" s="444"/>
      <c r="AE742" s="444"/>
      <c r="AF742" s="444"/>
      <c r="AG742" s="444"/>
      <c r="AH742" s="444"/>
      <c r="AI742" s="444"/>
      <c r="AJ742" s="444">
        <v>1</v>
      </c>
      <c r="AK742" s="444">
        <v>1</v>
      </c>
      <c r="AL742" s="444"/>
      <c r="AM742" s="446">
        <v>2</v>
      </c>
      <c r="AN742" s="447">
        <v>2</v>
      </c>
      <c r="AO742" s="444" t="s">
        <v>474</v>
      </c>
      <c r="AP742" s="444" t="s">
        <v>1463</v>
      </c>
      <c r="AQ742" s="444" t="s">
        <v>441</v>
      </c>
      <c r="AR742" s="444" t="s">
        <v>1306</v>
      </c>
      <c r="AS742" s="444" t="s">
        <v>1306</v>
      </c>
      <c r="AT742" s="449">
        <v>2</v>
      </c>
      <c r="AU742" s="449"/>
      <c r="AV742" s="425"/>
      <c r="AW742" s="449"/>
      <c r="AX742" s="450"/>
      <c r="AY742" s="450"/>
      <c r="AZ742" s="450"/>
      <c r="BA742" s="450"/>
    </row>
    <row r="743" spans="1:53" hidden="1">
      <c r="A743" s="444">
        <v>304</v>
      </c>
      <c r="B743" s="444" t="s">
        <v>394</v>
      </c>
      <c r="C743" s="444">
        <v>3548</v>
      </c>
      <c r="D743" s="444" t="s">
        <v>1081</v>
      </c>
      <c r="E743" s="425" t="s">
        <v>666</v>
      </c>
      <c r="F743" s="444"/>
      <c r="G743" s="444"/>
      <c r="H743" s="444"/>
      <c r="I743" s="444"/>
      <c r="J743" s="444"/>
      <c r="K743" s="444"/>
      <c r="L743" s="444"/>
      <c r="M743" s="444"/>
      <c r="N743" s="444"/>
      <c r="O743" s="444"/>
      <c r="P743" s="444"/>
      <c r="Q743" s="444">
        <v>2</v>
      </c>
      <c r="R743" s="444">
        <v>5</v>
      </c>
      <c r="S743" s="444">
        <v>2</v>
      </c>
      <c r="T743" s="444">
        <v>2</v>
      </c>
      <c r="U743" s="444"/>
      <c r="V743" s="445">
        <v>11</v>
      </c>
      <c r="W743" s="444"/>
      <c r="X743" s="444"/>
      <c r="Y743" s="444"/>
      <c r="Z743" s="444"/>
      <c r="AA743" s="444"/>
      <c r="AB743" s="444"/>
      <c r="AC743" s="444"/>
      <c r="AD743" s="444"/>
      <c r="AE743" s="444"/>
      <c r="AF743" s="444"/>
      <c r="AG743" s="444"/>
      <c r="AH743" s="444">
        <v>2</v>
      </c>
      <c r="AI743" s="444">
        <v>5</v>
      </c>
      <c r="AJ743" s="444">
        <v>2</v>
      </c>
      <c r="AK743" s="444">
        <v>2</v>
      </c>
      <c r="AL743" s="444"/>
      <c r="AM743" s="446">
        <v>11</v>
      </c>
      <c r="AN743" s="447">
        <v>11</v>
      </c>
      <c r="AO743" s="444" t="s">
        <v>474</v>
      </c>
      <c r="AP743" s="444" t="s">
        <v>854</v>
      </c>
      <c r="AQ743" s="444" t="s">
        <v>441</v>
      </c>
      <c r="AR743" s="444" t="s">
        <v>1306</v>
      </c>
      <c r="AS743" s="444" t="s">
        <v>1306</v>
      </c>
      <c r="AT743" s="449">
        <v>11</v>
      </c>
      <c r="AU743" s="449"/>
      <c r="AV743" s="425"/>
      <c r="AW743" s="449"/>
      <c r="AX743" s="450"/>
      <c r="AY743" s="450"/>
      <c r="AZ743" s="450"/>
      <c r="BA743" s="450"/>
    </row>
    <row r="744" spans="1:53" hidden="1">
      <c r="A744" s="444">
        <v>305</v>
      </c>
      <c r="B744" s="444" t="s">
        <v>404</v>
      </c>
      <c r="C744" s="444">
        <v>3563</v>
      </c>
      <c r="D744" s="444" t="s">
        <v>1267</v>
      </c>
      <c r="E744" s="425" t="s">
        <v>666</v>
      </c>
      <c r="F744" s="444">
        <v>1</v>
      </c>
      <c r="G744" s="444"/>
      <c r="H744" s="444"/>
      <c r="I744" s="444"/>
      <c r="J744" s="444"/>
      <c r="K744" s="444">
        <v>1</v>
      </c>
      <c r="L744" s="444"/>
      <c r="M744" s="444">
        <v>1</v>
      </c>
      <c r="N744" s="444">
        <v>1</v>
      </c>
      <c r="O744" s="444"/>
      <c r="P744" s="444"/>
      <c r="Q744" s="444">
        <v>1</v>
      </c>
      <c r="R744" s="444">
        <v>4</v>
      </c>
      <c r="S744" s="444">
        <v>4</v>
      </c>
      <c r="T744" s="444">
        <v>2</v>
      </c>
      <c r="U744" s="444"/>
      <c r="V744" s="445">
        <v>15</v>
      </c>
      <c r="W744" s="444">
        <v>2</v>
      </c>
      <c r="X744" s="444"/>
      <c r="Y744" s="444"/>
      <c r="Z744" s="444"/>
      <c r="AA744" s="444"/>
      <c r="AB744" s="444">
        <v>1</v>
      </c>
      <c r="AC744" s="444"/>
      <c r="AD744" s="444">
        <v>1</v>
      </c>
      <c r="AE744" s="444">
        <v>1</v>
      </c>
      <c r="AF744" s="444"/>
      <c r="AG744" s="444"/>
      <c r="AH744" s="444">
        <v>1</v>
      </c>
      <c r="AI744" s="444">
        <v>4</v>
      </c>
      <c r="AJ744" s="444">
        <v>4</v>
      </c>
      <c r="AK744" s="444">
        <v>2</v>
      </c>
      <c r="AL744" s="444"/>
      <c r="AM744" s="446">
        <v>16</v>
      </c>
      <c r="AN744" s="447">
        <v>16</v>
      </c>
      <c r="AO744" s="444" t="s">
        <v>474</v>
      </c>
      <c r="AP744" s="444" t="s">
        <v>1463</v>
      </c>
      <c r="AQ744" s="444" t="s">
        <v>441</v>
      </c>
      <c r="AR744" s="444" t="s">
        <v>1297</v>
      </c>
      <c r="AS744" s="444" t="s">
        <v>1306</v>
      </c>
      <c r="AT744" s="449"/>
      <c r="AU744" s="449"/>
      <c r="AV744" s="425"/>
      <c r="AW744" s="449"/>
      <c r="AX744" s="450"/>
      <c r="AY744" s="450"/>
      <c r="AZ744" s="450"/>
      <c r="BA744" s="450"/>
    </row>
    <row r="745" spans="1:53" hidden="1">
      <c r="V745" s="1">
        <f>SUM(V662:V744)</f>
        <v>495.5</v>
      </c>
      <c r="AT745" s="425"/>
      <c r="AU745" s="425"/>
      <c r="AV745" s="425"/>
      <c r="AW745" s="425"/>
      <c r="AX745" s="425"/>
      <c r="AY745" s="425"/>
      <c r="AZ745" s="425"/>
      <c r="BA745" s="425"/>
    </row>
    <row r="746" spans="1:53" hidden="1">
      <c r="AT746" s="425"/>
      <c r="AU746" s="425"/>
      <c r="AV746" s="425"/>
      <c r="AW746" s="425"/>
      <c r="AX746" s="425"/>
      <c r="AY746" s="425"/>
      <c r="AZ746" s="425"/>
      <c r="BA746" s="425"/>
    </row>
    <row r="747" spans="1:53" hidden="1">
      <c r="AT747" s="425"/>
      <c r="AU747" s="425"/>
      <c r="AV747" s="425"/>
      <c r="AW747" s="425"/>
      <c r="AX747" s="425"/>
      <c r="AY747" s="425"/>
      <c r="AZ747" s="425"/>
      <c r="BA747" s="425"/>
    </row>
    <row r="748" spans="1:53" hidden="1">
      <c r="AT748" s="425"/>
      <c r="AU748" s="425"/>
      <c r="AV748" s="425"/>
      <c r="AW748" s="425"/>
      <c r="AX748" s="425"/>
      <c r="AY748" s="425"/>
      <c r="AZ748" s="425"/>
      <c r="BA748" s="425"/>
    </row>
    <row r="749" spans="1:53" hidden="1">
      <c r="AT749" s="425"/>
      <c r="AU749" s="425"/>
      <c r="AV749" s="425"/>
      <c r="AW749" s="425"/>
      <c r="AX749" s="425"/>
      <c r="AY749" s="425"/>
      <c r="AZ749" s="425"/>
      <c r="BA749" s="425"/>
    </row>
    <row r="750" spans="1:53" hidden="1">
      <c r="B750" s="121" t="s">
        <v>1507</v>
      </c>
      <c r="AT750" s="425"/>
      <c r="AU750" s="425"/>
      <c r="AV750" s="425"/>
      <c r="AW750" s="425"/>
      <c r="AX750" s="425"/>
      <c r="AY750" s="425"/>
      <c r="AZ750" s="425"/>
      <c r="BA750" s="425"/>
    </row>
    <row r="751" spans="1:53" hidden="1">
      <c r="AT751" s="425"/>
      <c r="AU751" s="425"/>
      <c r="AV751" s="425"/>
      <c r="AW751" s="425"/>
      <c r="AX751" s="425"/>
      <c r="AY751" s="425"/>
      <c r="AZ751" s="425"/>
      <c r="BA751" s="425"/>
    </row>
    <row r="752" spans="1:53" hidden="1">
      <c r="A752" s="457" t="s">
        <v>998</v>
      </c>
      <c r="B752" s="457"/>
      <c r="C752" s="457"/>
      <c r="D752" s="457"/>
      <c r="E752" s="457"/>
      <c r="F752" s="457"/>
      <c r="G752" s="457"/>
      <c r="H752" s="457"/>
      <c r="I752" s="457" t="s">
        <v>999</v>
      </c>
      <c r="J752" s="457" t="s">
        <v>1000</v>
      </c>
      <c r="K752" s="457"/>
      <c r="L752" s="457"/>
      <c r="M752" s="457"/>
      <c r="N752" s="457"/>
      <c r="O752" s="457"/>
      <c r="P752" s="457"/>
      <c r="Q752" s="457"/>
      <c r="R752" s="457"/>
      <c r="S752" s="457"/>
      <c r="T752" s="457"/>
      <c r="AT752" s="425"/>
      <c r="AU752" s="425"/>
      <c r="AV752" s="425"/>
      <c r="AW752" s="425"/>
      <c r="AX752" s="425"/>
      <c r="AY752" s="425"/>
      <c r="AZ752" s="425"/>
      <c r="BA752" s="425"/>
    </row>
    <row r="753" spans="1:53" ht="85" hidden="1">
      <c r="A753" s="457"/>
      <c r="B753" s="457"/>
      <c r="C753" s="457"/>
      <c r="D753" s="457"/>
      <c r="E753" s="457"/>
      <c r="F753" s="457"/>
      <c r="G753" s="457"/>
      <c r="H753" s="458" t="s">
        <v>1508</v>
      </c>
      <c r="I753" s="459" t="s">
        <v>1509</v>
      </c>
      <c r="J753" s="459" t="s">
        <v>1509</v>
      </c>
      <c r="K753" s="459" t="s">
        <v>1509</v>
      </c>
      <c r="L753" s="459" t="s">
        <v>1509</v>
      </c>
      <c r="M753" s="459" t="s">
        <v>1509</v>
      </c>
      <c r="N753" s="460" t="s">
        <v>1001</v>
      </c>
      <c r="O753" s="460" t="s">
        <v>1001</v>
      </c>
      <c r="P753" s="460" t="s">
        <v>1001</v>
      </c>
      <c r="Q753" s="460" t="s">
        <v>1001</v>
      </c>
      <c r="R753" s="460" t="s">
        <v>1001</v>
      </c>
      <c r="S753" s="460" t="s">
        <v>1002</v>
      </c>
      <c r="T753" s="461" t="s">
        <v>697</v>
      </c>
      <c r="AT753" s="425"/>
      <c r="AU753" s="425"/>
      <c r="AV753" s="425"/>
      <c r="AW753" s="425"/>
      <c r="AX753" s="425"/>
      <c r="AY753" s="425"/>
      <c r="AZ753" s="425"/>
      <c r="BA753" s="425"/>
    </row>
    <row r="754" spans="1:53" ht="141" hidden="1">
      <c r="A754" s="1526" t="s">
        <v>1003</v>
      </c>
      <c r="B754" s="1526" t="s">
        <v>1004</v>
      </c>
      <c r="C754" s="1526" t="s">
        <v>373</v>
      </c>
      <c r="D754" s="1526" t="s">
        <v>374</v>
      </c>
      <c r="E754" s="1526" t="s">
        <v>375</v>
      </c>
      <c r="F754" s="1526" t="s">
        <v>331</v>
      </c>
      <c r="G754" s="1526" t="s">
        <v>1005</v>
      </c>
      <c r="H754" s="1526" t="s">
        <v>1510</v>
      </c>
      <c r="I754" s="1527" t="s">
        <v>1511</v>
      </c>
      <c r="J754" s="1527" t="s">
        <v>1006</v>
      </c>
      <c r="K754" s="1527" t="s">
        <v>1007</v>
      </c>
      <c r="L754" s="1527" t="s">
        <v>1512</v>
      </c>
      <c r="M754" s="1527" t="s">
        <v>1008</v>
      </c>
      <c r="N754" s="1528" t="s">
        <v>1511</v>
      </c>
      <c r="O754" s="1528" t="s">
        <v>1006</v>
      </c>
      <c r="P754" s="1528" t="s">
        <v>1007</v>
      </c>
      <c r="Q754" s="1528" t="s">
        <v>1512</v>
      </c>
      <c r="R754" s="1528" t="s">
        <v>1008</v>
      </c>
      <c r="S754" s="1529" t="s">
        <v>1006</v>
      </c>
      <c r="T754" s="1319"/>
      <c r="AT754" s="425"/>
      <c r="AU754" s="425"/>
      <c r="AV754" s="425"/>
      <c r="AW754" s="425"/>
      <c r="AX754" s="425"/>
      <c r="AY754" s="425"/>
      <c r="AZ754" s="425"/>
      <c r="BA754" s="425"/>
    </row>
    <row r="755" spans="1:53" hidden="1">
      <c r="A755" s="462">
        <v>261</v>
      </c>
      <c r="B755" s="462" t="s">
        <v>733</v>
      </c>
      <c r="C755" t="s">
        <v>318</v>
      </c>
      <c r="D755" s="462" t="s">
        <v>730</v>
      </c>
      <c r="E755" t="s">
        <v>1385</v>
      </c>
      <c r="F755" s="462" t="s">
        <v>1357</v>
      </c>
      <c r="G755" t="s">
        <v>1013</v>
      </c>
      <c r="H755" t="s">
        <v>473</v>
      </c>
      <c r="I755">
        <v>0</v>
      </c>
      <c r="J755">
        <v>0</v>
      </c>
      <c r="K755">
        <v>0</v>
      </c>
      <c r="L755">
        <v>0</v>
      </c>
      <c r="M755">
        <v>5</v>
      </c>
      <c r="N755">
        <v>0</v>
      </c>
      <c r="O755">
        <v>0</v>
      </c>
      <c r="P755">
        <v>0</v>
      </c>
      <c r="Q755">
        <v>0</v>
      </c>
      <c r="R755">
        <v>0</v>
      </c>
      <c r="S755">
        <v>0</v>
      </c>
      <c r="T755" s="72">
        <f>SUM(I755:S755)</f>
        <v>5</v>
      </c>
      <c r="AT755" s="425"/>
      <c r="AU755" s="425"/>
      <c r="AV755" s="425"/>
      <c r="AW755" s="425"/>
      <c r="AX755" s="425"/>
      <c r="AY755" s="425"/>
      <c r="AZ755" s="425"/>
      <c r="BA755" s="425"/>
    </row>
    <row r="756" spans="1:53" hidden="1">
      <c r="A756" s="462">
        <v>267</v>
      </c>
      <c r="B756" s="462" t="s">
        <v>392</v>
      </c>
      <c r="C756" t="s">
        <v>318</v>
      </c>
      <c r="D756" s="462" t="s">
        <v>730</v>
      </c>
      <c r="E756" t="s">
        <v>1017</v>
      </c>
      <c r="F756" s="462" t="s">
        <v>1386</v>
      </c>
      <c r="G756" t="s">
        <v>1013</v>
      </c>
      <c r="H756" t="s">
        <v>474</v>
      </c>
      <c r="I756">
        <v>0</v>
      </c>
      <c r="J756">
        <v>0</v>
      </c>
      <c r="K756">
        <v>0</v>
      </c>
      <c r="L756">
        <v>0</v>
      </c>
      <c r="M756">
        <v>0</v>
      </c>
      <c r="N756">
        <v>0</v>
      </c>
      <c r="O756">
        <v>1</v>
      </c>
      <c r="P756">
        <v>0</v>
      </c>
      <c r="Q756">
        <v>0</v>
      </c>
      <c r="R756">
        <v>0</v>
      </c>
      <c r="S756">
        <v>0</v>
      </c>
      <c r="T756" s="72">
        <f t="shared" ref="T756:T818" si="4">SUM(I756:S756)</f>
        <v>1</v>
      </c>
      <c r="AT756" s="425"/>
      <c r="AU756" s="425"/>
      <c r="AV756" s="425"/>
      <c r="AW756" s="425"/>
      <c r="AX756" s="425"/>
      <c r="AY756" s="425"/>
      <c r="AZ756" s="425"/>
      <c r="BA756" s="425"/>
    </row>
    <row r="757" spans="1:53" hidden="1">
      <c r="A757" s="462">
        <v>267</v>
      </c>
      <c r="B757" s="462" t="s">
        <v>392</v>
      </c>
      <c r="C757" t="s">
        <v>318</v>
      </c>
      <c r="D757" s="462" t="s">
        <v>730</v>
      </c>
      <c r="E757" t="s">
        <v>1021</v>
      </c>
      <c r="F757" s="462" t="s">
        <v>967</v>
      </c>
      <c r="G757" t="s">
        <v>1013</v>
      </c>
      <c r="H757" t="s">
        <v>474</v>
      </c>
      <c r="I757">
        <v>0</v>
      </c>
      <c r="J757">
        <v>1</v>
      </c>
      <c r="K757">
        <v>0</v>
      </c>
      <c r="L757">
        <v>0</v>
      </c>
      <c r="M757">
        <v>0</v>
      </c>
      <c r="N757">
        <v>0</v>
      </c>
      <c r="O757">
        <v>7</v>
      </c>
      <c r="P757">
        <v>0</v>
      </c>
      <c r="Q757">
        <v>0</v>
      </c>
      <c r="R757">
        <v>0</v>
      </c>
      <c r="S757">
        <v>0</v>
      </c>
      <c r="T757" s="72">
        <f t="shared" si="4"/>
        <v>8</v>
      </c>
      <c r="AT757" s="425"/>
      <c r="AU757" s="425"/>
      <c r="AV757" s="425"/>
      <c r="AW757" s="425"/>
      <c r="AX757" s="425"/>
      <c r="AY757" s="425"/>
      <c r="AZ757" s="425"/>
      <c r="BA757" s="425"/>
    </row>
    <row r="758" spans="1:53" hidden="1">
      <c r="A758" s="462">
        <v>267</v>
      </c>
      <c r="B758" s="462" t="s">
        <v>392</v>
      </c>
      <c r="C758" t="s">
        <v>318</v>
      </c>
      <c r="D758" s="462" t="s">
        <v>730</v>
      </c>
      <c r="E758" t="s">
        <v>1044</v>
      </c>
      <c r="F758" s="462" t="s">
        <v>968</v>
      </c>
      <c r="G758" t="s">
        <v>1013</v>
      </c>
      <c r="H758" t="s">
        <v>474</v>
      </c>
      <c r="I758">
        <v>0</v>
      </c>
      <c r="J758">
        <v>0</v>
      </c>
      <c r="K758">
        <v>0</v>
      </c>
      <c r="L758">
        <v>0</v>
      </c>
      <c r="M758">
        <v>0</v>
      </c>
      <c r="N758">
        <v>0</v>
      </c>
      <c r="O758">
        <v>1</v>
      </c>
      <c r="P758">
        <v>0</v>
      </c>
      <c r="Q758">
        <v>0</v>
      </c>
      <c r="R758">
        <v>0</v>
      </c>
      <c r="S758">
        <v>0</v>
      </c>
      <c r="T758" s="72">
        <f t="shared" si="4"/>
        <v>1</v>
      </c>
      <c r="AT758" s="425"/>
      <c r="AU758" s="425"/>
      <c r="AV758" s="425"/>
      <c r="AW758" s="425"/>
      <c r="AX758" s="425"/>
      <c r="AY758" s="425"/>
      <c r="AZ758" s="425"/>
      <c r="BA758" s="425"/>
    </row>
    <row r="759" spans="1:53" hidden="1">
      <c r="A759" s="462">
        <v>267</v>
      </c>
      <c r="B759" s="462" t="s">
        <v>392</v>
      </c>
      <c r="C759" t="s">
        <v>318</v>
      </c>
      <c r="D759" s="462" t="s">
        <v>730</v>
      </c>
      <c r="E759" t="s">
        <v>1056</v>
      </c>
      <c r="F759" s="462" t="s">
        <v>978</v>
      </c>
      <c r="G759" t="s">
        <v>1013</v>
      </c>
      <c r="H759" t="s">
        <v>474</v>
      </c>
      <c r="I759">
        <v>0</v>
      </c>
      <c r="J759">
        <v>0</v>
      </c>
      <c r="K759">
        <v>0</v>
      </c>
      <c r="L759">
        <v>0</v>
      </c>
      <c r="M759">
        <v>0</v>
      </c>
      <c r="N759">
        <v>0</v>
      </c>
      <c r="O759">
        <v>1</v>
      </c>
      <c r="P759">
        <v>0</v>
      </c>
      <c r="Q759">
        <v>0</v>
      </c>
      <c r="R759">
        <v>0</v>
      </c>
      <c r="S759">
        <v>0</v>
      </c>
      <c r="T759" s="72">
        <f t="shared" si="4"/>
        <v>1</v>
      </c>
      <c r="AT759" s="425"/>
      <c r="AU759" s="425"/>
      <c r="AV759" s="425"/>
      <c r="AW759" s="425"/>
      <c r="AX759" s="425"/>
      <c r="AY759" s="425"/>
      <c r="AZ759" s="425"/>
      <c r="BA759" s="425"/>
    </row>
    <row r="760" spans="1:53" hidden="1">
      <c r="A760" s="462">
        <v>267</v>
      </c>
      <c r="B760" s="462" t="s">
        <v>392</v>
      </c>
      <c r="C760" t="s">
        <v>318</v>
      </c>
      <c r="D760" s="462" t="s">
        <v>730</v>
      </c>
      <c r="E760" t="s">
        <v>1389</v>
      </c>
      <c r="F760" s="462" t="s">
        <v>1390</v>
      </c>
      <c r="G760" t="s">
        <v>1013</v>
      </c>
      <c r="H760" t="s">
        <v>474</v>
      </c>
      <c r="I760">
        <v>0</v>
      </c>
      <c r="J760">
        <v>2</v>
      </c>
      <c r="K760">
        <v>0</v>
      </c>
      <c r="L760">
        <v>0</v>
      </c>
      <c r="M760">
        <v>0</v>
      </c>
      <c r="N760">
        <v>0</v>
      </c>
      <c r="O760">
        <v>0</v>
      </c>
      <c r="P760">
        <v>0</v>
      </c>
      <c r="Q760">
        <v>0</v>
      </c>
      <c r="R760">
        <v>0</v>
      </c>
      <c r="S760">
        <v>0</v>
      </c>
      <c r="T760" s="72">
        <f t="shared" si="4"/>
        <v>2</v>
      </c>
      <c r="AT760" s="425"/>
      <c r="AU760" s="425"/>
      <c r="AV760" s="425"/>
      <c r="AW760" s="425"/>
      <c r="AX760" s="425"/>
      <c r="AY760" s="425"/>
      <c r="AZ760" s="425"/>
      <c r="BA760" s="425"/>
    </row>
    <row r="761" spans="1:53" hidden="1">
      <c r="A761" s="462">
        <v>267</v>
      </c>
      <c r="B761" s="462" t="s">
        <v>392</v>
      </c>
      <c r="C761" t="s">
        <v>318</v>
      </c>
      <c r="D761" s="462" t="s">
        <v>730</v>
      </c>
      <c r="E761" t="s">
        <v>1391</v>
      </c>
      <c r="F761" s="462" t="s">
        <v>970</v>
      </c>
      <c r="G761" t="s">
        <v>1013</v>
      </c>
      <c r="H761" t="s">
        <v>474</v>
      </c>
      <c r="I761">
        <v>0</v>
      </c>
      <c r="J761">
        <v>2</v>
      </c>
      <c r="K761">
        <v>0</v>
      </c>
      <c r="L761">
        <v>0</v>
      </c>
      <c r="M761">
        <v>0</v>
      </c>
      <c r="N761">
        <v>0</v>
      </c>
      <c r="O761">
        <v>0</v>
      </c>
      <c r="P761">
        <v>0</v>
      </c>
      <c r="Q761">
        <v>0</v>
      </c>
      <c r="R761">
        <v>0</v>
      </c>
      <c r="S761">
        <v>0</v>
      </c>
      <c r="T761" s="72">
        <f t="shared" si="4"/>
        <v>2</v>
      </c>
      <c r="AT761" s="425"/>
      <c r="AU761" s="425"/>
      <c r="AV761" s="425"/>
      <c r="AW761" s="425"/>
      <c r="AX761" s="425"/>
      <c r="AY761" s="425"/>
      <c r="AZ761" s="425"/>
      <c r="BA761" s="425"/>
    </row>
    <row r="762" spans="1:53" hidden="1">
      <c r="A762" s="462">
        <v>267</v>
      </c>
      <c r="B762" s="462" t="s">
        <v>392</v>
      </c>
      <c r="C762" t="s">
        <v>318</v>
      </c>
      <c r="D762" s="462" t="s">
        <v>730</v>
      </c>
      <c r="E762" t="s">
        <v>1392</v>
      </c>
      <c r="F762" s="462" t="s">
        <v>1393</v>
      </c>
      <c r="G762" t="s">
        <v>1013</v>
      </c>
      <c r="H762" t="s">
        <v>474</v>
      </c>
      <c r="I762">
        <v>0</v>
      </c>
      <c r="J762">
        <v>0</v>
      </c>
      <c r="K762">
        <v>0</v>
      </c>
      <c r="L762">
        <v>0</v>
      </c>
      <c r="M762">
        <v>0</v>
      </c>
      <c r="N762">
        <v>0</v>
      </c>
      <c r="O762">
        <v>1</v>
      </c>
      <c r="P762">
        <v>0</v>
      </c>
      <c r="Q762">
        <v>0</v>
      </c>
      <c r="R762">
        <v>0</v>
      </c>
      <c r="S762">
        <v>0</v>
      </c>
      <c r="T762" s="72">
        <f t="shared" si="4"/>
        <v>1</v>
      </c>
      <c r="AT762" s="425"/>
      <c r="AU762" s="425"/>
      <c r="AV762" s="425"/>
      <c r="AW762" s="425"/>
      <c r="AX762" s="425"/>
      <c r="AY762" s="425"/>
      <c r="AZ762" s="425"/>
      <c r="BA762" s="425"/>
    </row>
    <row r="763" spans="1:53" hidden="1">
      <c r="A763" s="462">
        <v>267</v>
      </c>
      <c r="B763" s="462" t="s">
        <v>392</v>
      </c>
      <c r="C763" t="s">
        <v>318</v>
      </c>
      <c r="D763" s="462" t="s">
        <v>730</v>
      </c>
      <c r="E763" t="s">
        <v>1395</v>
      </c>
      <c r="F763" s="462" t="s">
        <v>1396</v>
      </c>
      <c r="G763" t="s">
        <v>1013</v>
      </c>
      <c r="H763" t="s">
        <v>474</v>
      </c>
      <c r="I763">
        <v>0</v>
      </c>
      <c r="J763">
        <v>1</v>
      </c>
      <c r="K763">
        <v>0</v>
      </c>
      <c r="L763">
        <v>0</v>
      </c>
      <c r="M763">
        <v>0</v>
      </c>
      <c r="N763">
        <v>0</v>
      </c>
      <c r="O763">
        <v>1</v>
      </c>
      <c r="P763">
        <v>0</v>
      </c>
      <c r="Q763">
        <v>0</v>
      </c>
      <c r="R763">
        <v>0</v>
      </c>
      <c r="S763">
        <v>0</v>
      </c>
      <c r="T763" s="72">
        <f t="shared" si="4"/>
        <v>2</v>
      </c>
      <c r="AT763" s="425"/>
      <c r="AU763" s="425"/>
      <c r="AV763" s="425"/>
      <c r="AW763" s="425"/>
      <c r="AX763" s="425"/>
      <c r="AY763" s="425"/>
      <c r="AZ763" s="425"/>
      <c r="BA763" s="425"/>
    </row>
    <row r="764" spans="1:53" hidden="1">
      <c r="A764" s="462">
        <v>267</v>
      </c>
      <c r="B764" s="462" t="s">
        <v>392</v>
      </c>
      <c r="C764" t="s">
        <v>318</v>
      </c>
      <c r="D764" s="462" t="s">
        <v>730</v>
      </c>
      <c r="E764" t="s">
        <v>1025</v>
      </c>
      <c r="F764" s="462" t="s">
        <v>972</v>
      </c>
      <c r="G764" t="s">
        <v>1027</v>
      </c>
      <c r="H764" t="s">
        <v>474</v>
      </c>
      <c r="I764">
        <v>0</v>
      </c>
      <c r="J764">
        <v>0</v>
      </c>
      <c r="K764">
        <v>0</v>
      </c>
      <c r="L764">
        <v>0</v>
      </c>
      <c r="M764">
        <v>6</v>
      </c>
      <c r="N764">
        <v>0</v>
      </c>
      <c r="O764">
        <v>0</v>
      </c>
      <c r="P764">
        <v>0</v>
      </c>
      <c r="Q764">
        <v>0</v>
      </c>
      <c r="R764">
        <v>1</v>
      </c>
      <c r="S764">
        <v>0</v>
      </c>
      <c r="T764" s="72">
        <f t="shared" si="4"/>
        <v>7</v>
      </c>
      <c r="AT764" s="425"/>
      <c r="AU764" s="425"/>
      <c r="AV764" s="425"/>
      <c r="AW764" s="425"/>
      <c r="AX764" s="425"/>
      <c r="AY764" s="425"/>
      <c r="AZ764" s="425"/>
      <c r="BA764" s="425"/>
    </row>
    <row r="765" spans="1:53" hidden="1">
      <c r="A765" s="462">
        <v>267</v>
      </c>
      <c r="B765" s="462" t="s">
        <v>392</v>
      </c>
      <c r="C765" t="s">
        <v>318</v>
      </c>
      <c r="D765" s="462" t="s">
        <v>730</v>
      </c>
      <c r="E765" t="s">
        <v>1039</v>
      </c>
      <c r="F765" s="462" t="s">
        <v>1400</v>
      </c>
      <c r="G765" t="s">
        <v>1013</v>
      </c>
      <c r="H765" t="s">
        <v>474</v>
      </c>
      <c r="I765">
        <v>0</v>
      </c>
      <c r="J765">
        <v>0</v>
      </c>
      <c r="K765">
        <v>0</v>
      </c>
      <c r="L765">
        <v>0</v>
      </c>
      <c r="M765">
        <v>0</v>
      </c>
      <c r="N765">
        <v>0</v>
      </c>
      <c r="O765">
        <v>1</v>
      </c>
      <c r="P765">
        <v>0</v>
      </c>
      <c r="Q765">
        <v>0</v>
      </c>
      <c r="R765">
        <v>0</v>
      </c>
      <c r="S765">
        <v>0</v>
      </c>
      <c r="T765" s="72">
        <f t="shared" si="4"/>
        <v>1</v>
      </c>
      <c r="AT765" s="425"/>
      <c r="AU765" s="425"/>
      <c r="AV765" s="425"/>
      <c r="AW765" s="425"/>
      <c r="AX765" s="425"/>
      <c r="AY765" s="425"/>
      <c r="AZ765" s="425"/>
      <c r="BA765" s="425"/>
    </row>
    <row r="766" spans="1:53" hidden="1">
      <c r="A766" s="462">
        <v>267</v>
      </c>
      <c r="B766" s="462" t="s">
        <v>392</v>
      </c>
      <c r="C766" t="s">
        <v>318</v>
      </c>
      <c r="D766" s="462" t="s">
        <v>730</v>
      </c>
      <c r="E766" t="s">
        <v>1402</v>
      </c>
      <c r="F766" s="462" t="s">
        <v>1403</v>
      </c>
      <c r="G766" t="s">
        <v>1027</v>
      </c>
      <c r="H766" t="s">
        <v>474</v>
      </c>
      <c r="I766">
        <v>0</v>
      </c>
      <c r="J766">
        <v>0</v>
      </c>
      <c r="K766">
        <v>0</v>
      </c>
      <c r="L766">
        <v>0</v>
      </c>
      <c r="M766">
        <v>0</v>
      </c>
      <c r="N766">
        <v>0</v>
      </c>
      <c r="O766">
        <v>1</v>
      </c>
      <c r="P766">
        <v>0</v>
      </c>
      <c r="Q766">
        <v>0</v>
      </c>
      <c r="R766">
        <v>0</v>
      </c>
      <c r="S766">
        <v>0</v>
      </c>
      <c r="T766" s="72">
        <f t="shared" si="4"/>
        <v>1</v>
      </c>
      <c r="AT766" s="425"/>
      <c r="AU766" s="425"/>
      <c r="AV766" s="425"/>
      <c r="AW766" s="425"/>
      <c r="AX766" s="425"/>
      <c r="AY766" s="425"/>
      <c r="AZ766" s="425"/>
      <c r="BA766" s="425"/>
    </row>
    <row r="767" spans="1:53" hidden="1">
      <c r="A767" s="462">
        <v>271</v>
      </c>
      <c r="B767" s="462" t="s">
        <v>396</v>
      </c>
      <c r="C767" t="s">
        <v>318</v>
      </c>
      <c r="D767" s="462" t="s">
        <v>730</v>
      </c>
      <c r="E767" t="s">
        <v>1031</v>
      </c>
      <c r="F767" s="462" t="s">
        <v>1409</v>
      </c>
      <c r="G767" t="s">
        <v>1013</v>
      </c>
      <c r="H767" t="s">
        <v>473</v>
      </c>
      <c r="I767">
        <v>0</v>
      </c>
      <c r="J767">
        <v>0</v>
      </c>
      <c r="K767">
        <v>0</v>
      </c>
      <c r="L767">
        <v>0</v>
      </c>
      <c r="M767">
        <v>0</v>
      </c>
      <c r="N767">
        <v>0</v>
      </c>
      <c r="O767">
        <v>1</v>
      </c>
      <c r="P767">
        <v>0</v>
      </c>
      <c r="Q767">
        <v>0</v>
      </c>
      <c r="R767">
        <v>0</v>
      </c>
      <c r="S767">
        <v>0</v>
      </c>
      <c r="T767" s="72">
        <f t="shared" si="4"/>
        <v>1</v>
      </c>
      <c r="AT767" s="425"/>
      <c r="AU767" s="425"/>
      <c r="AV767" s="425"/>
      <c r="AW767" s="425"/>
      <c r="AX767" s="425"/>
      <c r="AY767" s="425"/>
      <c r="AZ767" s="425"/>
      <c r="BA767" s="425"/>
    </row>
    <row r="768" spans="1:53" hidden="1">
      <c r="A768" s="462">
        <v>271</v>
      </c>
      <c r="B768" s="462" t="s">
        <v>396</v>
      </c>
      <c r="C768" t="s">
        <v>318</v>
      </c>
      <c r="D768" s="462" t="s">
        <v>730</v>
      </c>
      <c r="E768" t="s">
        <v>1410</v>
      </c>
      <c r="F768" s="462" t="s">
        <v>1361</v>
      </c>
      <c r="G768" t="s">
        <v>1013</v>
      </c>
      <c r="H768" t="s">
        <v>473</v>
      </c>
      <c r="I768">
        <v>0</v>
      </c>
      <c r="J768">
        <v>0</v>
      </c>
      <c r="K768">
        <v>0</v>
      </c>
      <c r="L768">
        <v>0</v>
      </c>
      <c r="M768">
        <v>1</v>
      </c>
      <c r="N768">
        <v>0</v>
      </c>
      <c r="O768">
        <v>0</v>
      </c>
      <c r="P768">
        <v>0</v>
      </c>
      <c r="Q768">
        <v>0</v>
      </c>
      <c r="R768">
        <v>0</v>
      </c>
      <c r="S768">
        <v>0</v>
      </c>
      <c r="T768" s="72">
        <f t="shared" si="4"/>
        <v>1</v>
      </c>
      <c r="AT768" s="425"/>
      <c r="AU768" s="425"/>
      <c r="AV768" s="425"/>
      <c r="AW768" s="425"/>
      <c r="AX768" s="425"/>
      <c r="AY768" s="425"/>
      <c r="AZ768" s="425"/>
      <c r="BA768" s="425"/>
    </row>
    <row r="769" spans="1:53" hidden="1">
      <c r="A769" s="462">
        <v>271</v>
      </c>
      <c r="B769" s="462" t="s">
        <v>396</v>
      </c>
      <c r="C769" t="s">
        <v>318</v>
      </c>
      <c r="D769" s="462" t="s">
        <v>730</v>
      </c>
      <c r="E769" t="s">
        <v>1023</v>
      </c>
      <c r="F769" s="462" t="s">
        <v>1411</v>
      </c>
      <c r="G769" t="s">
        <v>1013</v>
      </c>
      <c r="H769" t="s">
        <v>473</v>
      </c>
      <c r="I769">
        <v>0</v>
      </c>
      <c r="J769">
        <v>2</v>
      </c>
      <c r="K769">
        <v>0</v>
      </c>
      <c r="L769">
        <v>0</v>
      </c>
      <c r="M769">
        <v>0</v>
      </c>
      <c r="N769">
        <v>0</v>
      </c>
      <c r="O769">
        <v>0</v>
      </c>
      <c r="P769">
        <v>0</v>
      </c>
      <c r="Q769">
        <v>0</v>
      </c>
      <c r="R769">
        <v>0</v>
      </c>
      <c r="S769">
        <v>0</v>
      </c>
      <c r="T769" s="72">
        <f t="shared" si="4"/>
        <v>2</v>
      </c>
      <c r="AT769" s="425"/>
      <c r="AU769" s="425"/>
      <c r="AV769" s="425"/>
      <c r="AW769" s="425"/>
      <c r="AX769" s="425"/>
      <c r="AY769" s="425"/>
      <c r="AZ769" s="425"/>
      <c r="BA769" s="425"/>
    </row>
    <row r="770" spans="1:53" hidden="1">
      <c r="A770" s="462">
        <v>271</v>
      </c>
      <c r="B770" s="462" t="s">
        <v>396</v>
      </c>
      <c r="C770" t="s">
        <v>318</v>
      </c>
      <c r="D770" s="462" t="s">
        <v>730</v>
      </c>
      <c r="E770" t="s">
        <v>1046</v>
      </c>
      <c r="F770" s="462" t="s">
        <v>1412</v>
      </c>
      <c r="G770" t="s">
        <v>1013</v>
      </c>
      <c r="H770" t="s">
        <v>473</v>
      </c>
      <c r="I770">
        <v>0</v>
      </c>
      <c r="J770">
        <v>0</v>
      </c>
      <c r="K770">
        <v>0</v>
      </c>
      <c r="L770">
        <v>0</v>
      </c>
      <c r="M770">
        <v>0</v>
      </c>
      <c r="N770">
        <v>0</v>
      </c>
      <c r="O770">
        <v>1</v>
      </c>
      <c r="P770">
        <v>0</v>
      </c>
      <c r="Q770">
        <v>0</v>
      </c>
      <c r="R770">
        <v>0</v>
      </c>
      <c r="S770">
        <v>0</v>
      </c>
      <c r="T770" s="72">
        <f t="shared" si="4"/>
        <v>1</v>
      </c>
      <c r="AT770" s="425"/>
      <c r="AU770" s="425"/>
      <c r="AV770" s="425"/>
      <c r="AW770" s="425"/>
      <c r="AX770" s="425"/>
      <c r="AY770" s="425"/>
      <c r="AZ770" s="425"/>
      <c r="BA770" s="425"/>
    </row>
    <row r="771" spans="1:53" hidden="1">
      <c r="A771" s="462">
        <v>271</v>
      </c>
      <c r="B771" s="462" t="s">
        <v>396</v>
      </c>
      <c r="C771" t="s">
        <v>318</v>
      </c>
      <c r="D771" s="462" t="s">
        <v>730</v>
      </c>
      <c r="E771" t="s">
        <v>1413</v>
      </c>
      <c r="F771" s="462" t="s">
        <v>1414</v>
      </c>
      <c r="G771" t="s">
        <v>1013</v>
      </c>
      <c r="H771" t="s">
        <v>473</v>
      </c>
      <c r="I771">
        <v>0</v>
      </c>
      <c r="J771">
        <v>0</v>
      </c>
      <c r="K771">
        <v>0</v>
      </c>
      <c r="L771">
        <v>0</v>
      </c>
      <c r="M771">
        <v>1</v>
      </c>
      <c r="N771">
        <v>0</v>
      </c>
      <c r="O771">
        <v>0</v>
      </c>
      <c r="P771">
        <v>0</v>
      </c>
      <c r="Q771">
        <v>0</v>
      </c>
      <c r="R771">
        <v>0</v>
      </c>
      <c r="S771">
        <v>0</v>
      </c>
      <c r="T771" s="72">
        <f t="shared" si="4"/>
        <v>1</v>
      </c>
      <c r="AT771" s="425"/>
      <c r="AU771" s="425"/>
      <c r="AV771" s="425"/>
      <c r="AW771" s="425"/>
      <c r="AX771" s="425"/>
      <c r="AY771" s="425"/>
      <c r="AZ771" s="425"/>
      <c r="BA771" s="425"/>
    </row>
    <row r="772" spans="1:53" hidden="1">
      <c r="A772" s="462">
        <v>271</v>
      </c>
      <c r="B772" s="462" t="s">
        <v>396</v>
      </c>
      <c r="C772" t="s">
        <v>318</v>
      </c>
      <c r="D772" s="462" t="s">
        <v>730</v>
      </c>
      <c r="E772" t="s">
        <v>1011</v>
      </c>
      <c r="F772" s="462" t="s">
        <v>1415</v>
      </c>
      <c r="G772" t="s">
        <v>1013</v>
      </c>
      <c r="H772" t="s">
        <v>473</v>
      </c>
      <c r="I772">
        <v>0</v>
      </c>
      <c r="J772">
        <v>2</v>
      </c>
      <c r="K772">
        <v>0</v>
      </c>
      <c r="L772">
        <v>0</v>
      </c>
      <c r="M772">
        <v>0</v>
      </c>
      <c r="N772">
        <v>0</v>
      </c>
      <c r="O772">
        <v>0</v>
      </c>
      <c r="P772">
        <v>0</v>
      </c>
      <c r="Q772">
        <v>0</v>
      </c>
      <c r="R772">
        <v>0</v>
      </c>
      <c r="S772">
        <v>0</v>
      </c>
      <c r="T772" s="72">
        <f t="shared" si="4"/>
        <v>2</v>
      </c>
      <c r="AT772" s="425"/>
      <c r="AU772" s="425"/>
      <c r="AV772" s="425"/>
      <c r="AW772" s="425"/>
      <c r="AX772" s="425"/>
      <c r="AY772" s="425"/>
      <c r="AZ772" s="425"/>
      <c r="BA772" s="425"/>
    </row>
    <row r="773" spans="1:53" hidden="1">
      <c r="A773" s="462">
        <v>271</v>
      </c>
      <c r="B773" s="462" t="s">
        <v>396</v>
      </c>
      <c r="C773" t="s">
        <v>318</v>
      </c>
      <c r="D773" s="462" t="s">
        <v>730</v>
      </c>
      <c r="E773" t="s">
        <v>1416</v>
      </c>
      <c r="F773" s="462" t="s">
        <v>1417</v>
      </c>
      <c r="G773" t="s">
        <v>1013</v>
      </c>
      <c r="H773" t="s">
        <v>473</v>
      </c>
      <c r="I773">
        <v>0</v>
      </c>
      <c r="J773">
        <v>1</v>
      </c>
      <c r="K773">
        <v>0</v>
      </c>
      <c r="L773">
        <v>0</v>
      </c>
      <c r="M773">
        <v>0</v>
      </c>
      <c r="N773">
        <v>0</v>
      </c>
      <c r="O773">
        <v>0</v>
      </c>
      <c r="P773">
        <v>0</v>
      </c>
      <c r="Q773">
        <v>0</v>
      </c>
      <c r="R773">
        <v>0</v>
      </c>
      <c r="S773">
        <v>0</v>
      </c>
      <c r="T773" s="72">
        <f t="shared" si="4"/>
        <v>1</v>
      </c>
      <c r="AT773" s="425"/>
      <c r="AU773" s="425"/>
      <c r="AV773" s="425"/>
      <c r="AW773" s="425"/>
      <c r="AX773" s="425"/>
      <c r="AY773" s="425"/>
      <c r="AZ773" s="425"/>
      <c r="BA773" s="425"/>
    </row>
    <row r="774" spans="1:53" hidden="1">
      <c r="A774" s="462">
        <v>271</v>
      </c>
      <c r="B774" s="462" t="s">
        <v>396</v>
      </c>
      <c r="C774" t="s">
        <v>318</v>
      </c>
      <c r="D774" s="462" t="s">
        <v>730</v>
      </c>
      <c r="E774" t="s">
        <v>1062</v>
      </c>
      <c r="F774" s="462" t="s">
        <v>976</v>
      </c>
      <c r="G774" t="s">
        <v>1013</v>
      </c>
      <c r="H774" t="s">
        <v>473</v>
      </c>
      <c r="I774">
        <v>0</v>
      </c>
      <c r="J774">
        <v>0</v>
      </c>
      <c r="K774">
        <v>0</v>
      </c>
      <c r="L774">
        <v>0</v>
      </c>
      <c r="M774">
        <v>0</v>
      </c>
      <c r="N774">
        <v>0</v>
      </c>
      <c r="O774">
        <v>1</v>
      </c>
      <c r="P774">
        <v>0</v>
      </c>
      <c r="Q774">
        <v>0</v>
      </c>
      <c r="R774">
        <v>0</v>
      </c>
      <c r="S774">
        <v>0</v>
      </c>
      <c r="T774" s="72">
        <f t="shared" si="4"/>
        <v>1</v>
      </c>
      <c r="AT774" s="425"/>
      <c r="AU774" s="425"/>
      <c r="AV774" s="425"/>
      <c r="AW774" s="425"/>
      <c r="AX774" s="425"/>
      <c r="AY774" s="425"/>
      <c r="AZ774" s="425"/>
      <c r="BA774" s="425"/>
    </row>
    <row r="775" spans="1:53" hidden="1">
      <c r="A775" s="462">
        <v>271</v>
      </c>
      <c r="B775" s="462" t="s">
        <v>396</v>
      </c>
      <c r="C775" t="s">
        <v>318</v>
      </c>
      <c r="D775" s="462" t="s">
        <v>730</v>
      </c>
      <c r="E775" t="s">
        <v>1050</v>
      </c>
      <c r="F775" s="462" t="s">
        <v>1418</v>
      </c>
      <c r="G775" t="s">
        <v>1013</v>
      </c>
      <c r="H775" t="s">
        <v>473</v>
      </c>
      <c r="I775">
        <v>0</v>
      </c>
      <c r="J775">
        <v>3</v>
      </c>
      <c r="K775">
        <v>0</v>
      </c>
      <c r="L775">
        <v>0</v>
      </c>
      <c r="M775">
        <v>0</v>
      </c>
      <c r="N775">
        <v>0</v>
      </c>
      <c r="O775">
        <v>0</v>
      </c>
      <c r="P775">
        <v>0</v>
      </c>
      <c r="Q775">
        <v>0</v>
      </c>
      <c r="R775">
        <v>0</v>
      </c>
      <c r="S775">
        <v>0</v>
      </c>
      <c r="T775" s="72">
        <f t="shared" si="4"/>
        <v>3</v>
      </c>
      <c r="AT775" s="425"/>
      <c r="AU775" s="425"/>
      <c r="AV775" s="425"/>
      <c r="AW775" s="425"/>
      <c r="AX775" s="425"/>
      <c r="AY775" s="425"/>
      <c r="AZ775" s="425"/>
      <c r="BA775" s="425"/>
    </row>
    <row r="776" spans="1:53" hidden="1">
      <c r="A776" s="462">
        <v>271</v>
      </c>
      <c r="B776" s="462" t="s">
        <v>396</v>
      </c>
      <c r="C776" t="s">
        <v>318</v>
      </c>
      <c r="D776" s="462" t="s">
        <v>730</v>
      </c>
      <c r="E776" t="s">
        <v>1391</v>
      </c>
      <c r="F776" s="462" t="s">
        <v>970</v>
      </c>
      <c r="G776" t="s">
        <v>1013</v>
      </c>
      <c r="H776" t="s">
        <v>473</v>
      </c>
      <c r="I776">
        <v>0</v>
      </c>
      <c r="J776">
        <v>3</v>
      </c>
      <c r="K776">
        <v>0</v>
      </c>
      <c r="L776">
        <v>0</v>
      </c>
      <c r="M776">
        <v>0</v>
      </c>
      <c r="N776">
        <v>0</v>
      </c>
      <c r="O776">
        <v>0</v>
      </c>
      <c r="P776">
        <v>0</v>
      </c>
      <c r="Q776">
        <v>0</v>
      </c>
      <c r="R776">
        <v>0</v>
      </c>
      <c r="S776">
        <v>0</v>
      </c>
      <c r="T776" s="72">
        <f t="shared" si="4"/>
        <v>3</v>
      </c>
      <c r="AT776" s="425"/>
      <c r="AU776" s="425"/>
      <c r="AV776" s="425"/>
      <c r="AW776" s="425"/>
      <c r="AX776" s="425"/>
      <c r="AY776" s="425"/>
      <c r="AZ776" s="425"/>
      <c r="BA776" s="425"/>
    </row>
    <row r="777" spans="1:53" hidden="1">
      <c r="A777" s="462">
        <v>271</v>
      </c>
      <c r="B777" s="462" t="s">
        <v>396</v>
      </c>
      <c r="C777" t="s">
        <v>318</v>
      </c>
      <c r="D777" s="462" t="s">
        <v>730</v>
      </c>
      <c r="E777" t="s">
        <v>1063</v>
      </c>
      <c r="F777" s="462" t="s">
        <v>979</v>
      </c>
      <c r="G777" t="s">
        <v>1013</v>
      </c>
      <c r="H777" t="s">
        <v>473</v>
      </c>
      <c r="I777">
        <v>0</v>
      </c>
      <c r="J777">
        <v>1</v>
      </c>
      <c r="K777">
        <v>0</v>
      </c>
      <c r="L777">
        <v>0</v>
      </c>
      <c r="M777">
        <v>0</v>
      </c>
      <c r="N777">
        <v>0</v>
      </c>
      <c r="O777">
        <v>0</v>
      </c>
      <c r="P777">
        <v>0</v>
      </c>
      <c r="Q777">
        <v>0</v>
      </c>
      <c r="R777">
        <v>0</v>
      </c>
      <c r="S777">
        <v>0</v>
      </c>
      <c r="T777" s="72">
        <f t="shared" si="4"/>
        <v>1</v>
      </c>
      <c r="AT777" s="425"/>
      <c r="AU777" s="425"/>
      <c r="AV777" s="425"/>
      <c r="AW777" s="425"/>
      <c r="AX777" s="425"/>
      <c r="AY777" s="425"/>
      <c r="AZ777" s="425"/>
      <c r="BA777" s="425"/>
    </row>
    <row r="778" spans="1:53" hidden="1">
      <c r="A778" s="462">
        <v>271</v>
      </c>
      <c r="B778" s="462" t="s">
        <v>396</v>
      </c>
      <c r="C778" t="s">
        <v>318</v>
      </c>
      <c r="D778" s="462" t="s">
        <v>730</v>
      </c>
      <c r="E778" t="s">
        <v>1037</v>
      </c>
      <c r="F778" s="462" t="s">
        <v>971</v>
      </c>
      <c r="G778" t="s">
        <v>1013</v>
      </c>
      <c r="H778" t="s">
        <v>473</v>
      </c>
      <c r="I778">
        <v>0</v>
      </c>
      <c r="J778">
        <v>1</v>
      </c>
      <c r="K778">
        <v>0</v>
      </c>
      <c r="L778">
        <v>0</v>
      </c>
      <c r="M778">
        <v>0</v>
      </c>
      <c r="N778">
        <v>0</v>
      </c>
      <c r="O778">
        <v>0</v>
      </c>
      <c r="P778">
        <v>0</v>
      </c>
      <c r="Q778">
        <v>0</v>
      </c>
      <c r="R778">
        <v>0</v>
      </c>
      <c r="S778">
        <v>0</v>
      </c>
      <c r="T778" s="72">
        <f t="shared" si="4"/>
        <v>1</v>
      </c>
      <c r="AT778" s="425"/>
      <c r="AU778" s="425"/>
      <c r="AV778" s="425"/>
      <c r="AW778" s="425"/>
      <c r="AX778" s="425"/>
      <c r="AY778" s="425"/>
      <c r="AZ778" s="425"/>
      <c r="BA778" s="425"/>
    </row>
    <row r="779" spans="1:53" hidden="1">
      <c r="A779" s="462">
        <v>271</v>
      </c>
      <c r="B779" s="462" t="s">
        <v>396</v>
      </c>
      <c r="C779" t="s">
        <v>318</v>
      </c>
      <c r="D779" s="462" t="s">
        <v>730</v>
      </c>
      <c r="E779" t="s">
        <v>1395</v>
      </c>
      <c r="F779" s="462" t="s">
        <v>1396</v>
      </c>
      <c r="G779" t="s">
        <v>1013</v>
      </c>
      <c r="H779" t="s">
        <v>473</v>
      </c>
      <c r="I779">
        <v>0</v>
      </c>
      <c r="J779">
        <v>0</v>
      </c>
      <c r="K779">
        <v>0</v>
      </c>
      <c r="L779">
        <v>0</v>
      </c>
      <c r="M779">
        <v>0</v>
      </c>
      <c r="N779">
        <v>0</v>
      </c>
      <c r="O779">
        <v>1</v>
      </c>
      <c r="P779">
        <v>0</v>
      </c>
      <c r="Q779">
        <v>0</v>
      </c>
      <c r="R779">
        <v>0</v>
      </c>
      <c r="S779">
        <v>0</v>
      </c>
      <c r="T779" s="72">
        <f t="shared" si="4"/>
        <v>1</v>
      </c>
      <c r="AT779" s="425"/>
      <c r="AU779" s="425"/>
      <c r="AV779" s="425"/>
      <c r="AW779" s="425"/>
      <c r="AX779" s="425"/>
      <c r="AY779" s="425"/>
      <c r="AZ779" s="425"/>
      <c r="BA779" s="425"/>
    </row>
    <row r="780" spans="1:53" hidden="1">
      <c r="A780" s="462">
        <v>272</v>
      </c>
      <c r="B780" s="462" t="s">
        <v>734</v>
      </c>
      <c r="C780" t="s">
        <v>318</v>
      </c>
      <c r="D780" s="462" t="s">
        <v>730</v>
      </c>
      <c r="E780" t="s">
        <v>1421</v>
      </c>
      <c r="F780" s="462" t="s">
        <v>1422</v>
      </c>
      <c r="G780" t="s">
        <v>1013</v>
      </c>
      <c r="H780" t="s">
        <v>473</v>
      </c>
      <c r="I780">
        <v>0</v>
      </c>
      <c r="J780">
        <v>0</v>
      </c>
      <c r="K780">
        <v>0</v>
      </c>
      <c r="L780">
        <v>0</v>
      </c>
      <c r="M780">
        <v>0</v>
      </c>
      <c r="N780">
        <v>0</v>
      </c>
      <c r="O780">
        <v>1</v>
      </c>
      <c r="P780">
        <v>0</v>
      </c>
      <c r="Q780">
        <v>0</v>
      </c>
      <c r="R780">
        <v>0</v>
      </c>
      <c r="S780">
        <v>0</v>
      </c>
      <c r="T780" s="72">
        <f t="shared" si="4"/>
        <v>1</v>
      </c>
      <c r="AT780" s="425"/>
      <c r="AU780" s="425"/>
      <c r="AV780" s="425"/>
      <c r="AW780" s="425"/>
      <c r="AX780" s="425"/>
      <c r="AY780" s="425"/>
      <c r="AZ780" s="425"/>
      <c r="BA780" s="425"/>
    </row>
    <row r="781" spans="1:53" hidden="1">
      <c r="A781" s="462">
        <v>272</v>
      </c>
      <c r="B781" s="462" t="s">
        <v>734</v>
      </c>
      <c r="C781" t="s">
        <v>318</v>
      </c>
      <c r="D781" s="462" t="s">
        <v>730</v>
      </c>
      <c r="E781" t="s">
        <v>1021</v>
      </c>
      <c r="F781" s="462" t="s">
        <v>967</v>
      </c>
      <c r="G781" t="s">
        <v>1013</v>
      </c>
      <c r="H781" t="s">
        <v>473</v>
      </c>
      <c r="I781">
        <v>0</v>
      </c>
      <c r="J781">
        <v>1</v>
      </c>
      <c r="K781">
        <v>0</v>
      </c>
      <c r="L781">
        <v>0</v>
      </c>
      <c r="M781">
        <v>0</v>
      </c>
      <c r="N781">
        <v>0</v>
      </c>
      <c r="O781">
        <v>0</v>
      </c>
      <c r="P781">
        <v>0</v>
      </c>
      <c r="Q781">
        <v>0</v>
      </c>
      <c r="R781">
        <v>0</v>
      </c>
      <c r="S781">
        <v>0</v>
      </c>
      <c r="T781" s="72">
        <f t="shared" si="4"/>
        <v>1</v>
      </c>
      <c r="AT781" s="425"/>
      <c r="AU781" s="425"/>
      <c r="AV781" s="425"/>
      <c r="AW781" s="425"/>
      <c r="AX781" s="425"/>
      <c r="AY781" s="425"/>
      <c r="AZ781" s="425"/>
      <c r="BA781" s="425"/>
    </row>
    <row r="782" spans="1:53" hidden="1">
      <c r="A782" s="462">
        <v>272</v>
      </c>
      <c r="B782" s="462" t="s">
        <v>734</v>
      </c>
      <c r="C782" t="s">
        <v>318</v>
      </c>
      <c r="D782" s="462" t="s">
        <v>730</v>
      </c>
      <c r="E782" t="s">
        <v>1044</v>
      </c>
      <c r="F782" s="462" t="s">
        <v>968</v>
      </c>
      <c r="G782" t="s">
        <v>1013</v>
      </c>
      <c r="H782" t="s">
        <v>473</v>
      </c>
      <c r="I782">
        <v>0</v>
      </c>
      <c r="J782">
        <v>0</v>
      </c>
      <c r="K782">
        <v>0</v>
      </c>
      <c r="L782">
        <v>0</v>
      </c>
      <c r="M782">
        <v>0</v>
      </c>
      <c r="N782">
        <v>0</v>
      </c>
      <c r="O782">
        <v>1</v>
      </c>
      <c r="P782">
        <v>0</v>
      </c>
      <c r="Q782">
        <v>0</v>
      </c>
      <c r="R782">
        <v>0</v>
      </c>
      <c r="S782">
        <v>0</v>
      </c>
      <c r="T782" s="72">
        <f t="shared" si="4"/>
        <v>1</v>
      </c>
      <c r="AT782" s="425"/>
      <c r="AU782" s="425"/>
      <c r="AV782" s="425"/>
      <c r="AW782" s="425"/>
      <c r="AX782" s="425"/>
      <c r="AY782" s="425"/>
      <c r="AZ782" s="425"/>
      <c r="BA782" s="425"/>
    </row>
    <row r="783" spans="1:53" hidden="1">
      <c r="A783" s="462">
        <v>272</v>
      </c>
      <c r="B783" s="462" t="s">
        <v>734</v>
      </c>
      <c r="C783" t="s">
        <v>318</v>
      </c>
      <c r="D783" s="462" t="s">
        <v>730</v>
      </c>
      <c r="E783" t="s">
        <v>1424</v>
      </c>
      <c r="F783" s="462" t="s">
        <v>1425</v>
      </c>
      <c r="G783" t="s">
        <v>1013</v>
      </c>
      <c r="H783" t="s">
        <v>473</v>
      </c>
      <c r="I783">
        <v>0</v>
      </c>
      <c r="J783">
        <v>1</v>
      </c>
      <c r="K783">
        <v>0</v>
      </c>
      <c r="L783">
        <v>0</v>
      </c>
      <c r="M783">
        <v>0</v>
      </c>
      <c r="N783">
        <v>0</v>
      </c>
      <c r="O783">
        <v>0</v>
      </c>
      <c r="P783">
        <v>0</v>
      </c>
      <c r="Q783">
        <v>0</v>
      </c>
      <c r="R783">
        <v>0</v>
      </c>
      <c r="S783">
        <v>0</v>
      </c>
      <c r="T783" s="72">
        <f t="shared" si="4"/>
        <v>1</v>
      </c>
      <c r="AT783" s="425"/>
      <c r="AU783" s="425"/>
      <c r="AV783" s="425"/>
      <c r="AW783" s="425"/>
      <c r="AX783" s="425"/>
      <c r="AY783" s="425"/>
      <c r="AZ783" s="425"/>
      <c r="BA783" s="425"/>
    </row>
    <row r="784" spans="1:53" hidden="1">
      <c r="A784" s="462">
        <v>272</v>
      </c>
      <c r="B784" s="462" t="s">
        <v>734</v>
      </c>
      <c r="C784" t="s">
        <v>318</v>
      </c>
      <c r="D784" s="462" t="s">
        <v>730</v>
      </c>
      <c r="E784" t="s">
        <v>1062</v>
      </c>
      <c r="F784" s="462" t="s">
        <v>976</v>
      </c>
      <c r="G784" t="s">
        <v>1013</v>
      </c>
      <c r="H784" t="s">
        <v>473</v>
      </c>
      <c r="I784">
        <v>0</v>
      </c>
      <c r="J784">
        <v>0</v>
      </c>
      <c r="K784">
        <v>0</v>
      </c>
      <c r="L784">
        <v>0</v>
      </c>
      <c r="M784">
        <v>0</v>
      </c>
      <c r="N784">
        <v>0</v>
      </c>
      <c r="O784">
        <v>1</v>
      </c>
      <c r="P784">
        <v>0</v>
      </c>
      <c r="Q784">
        <v>0</v>
      </c>
      <c r="R784">
        <v>0</v>
      </c>
      <c r="S784">
        <v>0</v>
      </c>
      <c r="T784" s="72">
        <f t="shared" si="4"/>
        <v>1</v>
      </c>
      <c r="AT784" s="425"/>
      <c r="AU784" s="425"/>
      <c r="AV784" s="425"/>
      <c r="AW784" s="425"/>
      <c r="AX784" s="425"/>
      <c r="AY784" s="425"/>
      <c r="AZ784" s="425"/>
      <c r="BA784" s="425"/>
    </row>
    <row r="785" spans="1:53" hidden="1">
      <c r="A785" s="462">
        <v>272</v>
      </c>
      <c r="B785" s="462" t="s">
        <v>734</v>
      </c>
      <c r="C785" t="s">
        <v>318</v>
      </c>
      <c r="D785" s="462" t="s">
        <v>730</v>
      </c>
      <c r="E785" t="s">
        <v>1391</v>
      </c>
      <c r="F785" s="462" t="s">
        <v>970</v>
      </c>
      <c r="G785" t="s">
        <v>1013</v>
      </c>
      <c r="H785" t="s">
        <v>473</v>
      </c>
      <c r="I785">
        <v>0</v>
      </c>
      <c r="J785">
        <v>3</v>
      </c>
      <c r="K785">
        <v>0</v>
      </c>
      <c r="L785">
        <v>0</v>
      </c>
      <c r="M785">
        <v>0</v>
      </c>
      <c r="N785">
        <v>0</v>
      </c>
      <c r="O785">
        <v>0</v>
      </c>
      <c r="P785">
        <v>0</v>
      </c>
      <c r="Q785">
        <v>0</v>
      </c>
      <c r="R785">
        <v>0</v>
      </c>
      <c r="S785">
        <v>0</v>
      </c>
      <c r="T785" s="72">
        <f t="shared" si="4"/>
        <v>3</v>
      </c>
      <c r="AT785" s="425"/>
      <c r="AU785" s="425"/>
      <c r="AV785" s="425"/>
      <c r="AW785" s="425"/>
      <c r="AX785" s="425"/>
      <c r="AY785" s="425"/>
      <c r="AZ785" s="425"/>
      <c r="BA785" s="425"/>
    </row>
    <row r="786" spans="1:53" hidden="1">
      <c r="A786" s="462">
        <v>275</v>
      </c>
      <c r="B786" s="462" t="s">
        <v>390</v>
      </c>
      <c r="C786" t="s">
        <v>318</v>
      </c>
      <c r="D786" s="462" t="s">
        <v>730</v>
      </c>
      <c r="E786" t="s">
        <v>1054</v>
      </c>
      <c r="F786" s="462" t="s">
        <v>1436</v>
      </c>
      <c r="G786" t="s">
        <v>1013</v>
      </c>
      <c r="H786" t="s">
        <v>473</v>
      </c>
      <c r="I786">
        <v>0</v>
      </c>
      <c r="J786">
        <v>0</v>
      </c>
      <c r="K786">
        <v>0</v>
      </c>
      <c r="L786">
        <v>0</v>
      </c>
      <c r="M786">
        <v>0</v>
      </c>
      <c r="N786">
        <v>0</v>
      </c>
      <c r="O786">
        <v>3</v>
      </c>
      <c r="P786">
        <v>0</v>
      </c>
      <c r="Q786">
        <v>0</v>
      </c>
      <c r="R786">
        <v>0</v>
      </c>
      <c r="S786">
        <v>0</v>
      </c>
      <c r="T786" s="72">
        <f t="shared" si="4"/>
        <v>3</v>
      </c>
      <c r="AT786" s="425"/>
      <c r="AU786" s="425"/>
      <c r="AV786" s="425"/>
      <c r="AW786" s="425"/>
      <c r="AX786" s="425"/>
      <c r="AY786" s="425"/>
      <c r="AZ786" s="425"/>
      <c r="BA786" s="425"/>
    </row>
    <row r="787" spans="1:53" hidden="1">
      <c r="A787" s="462">
        <v>275</v>
      </c>
      <c r="B787" s="462" t="s">
        <v>390</v>
      </c>
      <c r="C787" t="s">
        <v>318</v>
      </c>
      <c r="D787" s="462" t="s">
        <v>730</v>
      </c>
      <c r="E787" t="s">
        <v>1437</v>
      </c>
      <c r="F787" s="462" t="s">
        <v>983</v>
      </c>
      <c r="G787" t="s">
        <v>1013</v>
      </c>
      <c r="H787" t="s">
        <v>473</v>
      </c>
      <c r="I787">
        <v>0</v>
      </c>
      <c r="J787">
        <v>1</v>
      </c>
      <c r="K787">
        <v>0</v>
      </c>
      <c r="L787">
        <v>0</v>
      </c>
      <c r="M787">
        <v>0</v>
      </c>
      <c r="N787">
        <v>0</v>
      </c>
      <c r="O787">
        <v>0</v>
      </c>
      <c r="P787">
        <v>0</v>
      </c>
      <c r="Q787">
        <v>0</v>
      </c>
      <c r="R787">
        <v>0</v>
      </c>
      <c r="S787">
        <v>0</v>
      </c>
      <c r="T787" s="72">
        <f t="shared" si="4"/>
        <v>1</v>
      </c>
      <c r="AT787" s="425"/>
      <c r="AU787" s="425"/>
      <c r="AV787" s="425"/>
      <c r="AW787" s="425"/>
      <c r="AX787" s="425"/>
      <c r="AY787" s="425"/>
      <c r="AZ787" s="425"/>
      <c r="BA787" s="425"/>
    </row>
    <row r="788" spans="1:53" hidden="1">
      <c r="A788" s="462">
        <v>275</v>
      </c>
      <c r="B788" s="462" t="s">
        <v>390</v>
      </c>
      <c r="C788" t="s">
        <v>318</v>
      </c>
      <c r="D788" s="462" t="s">
        <v>730</v>
      </c>
      <c r="E788" t="s">
        <v>1021</v>
      </c>
      <c r="F788" s="462" t="s">
        <v>967</v>
      </c>
      <c r="G788" t="s">
        <v>1013</v>
      </c>
      <c r="H788" t="s">
        <v>473</v>
      </c>
      <c r="I788">
        <v>0</v>
      </c>
      <c r="J788">
        <v>0</v>
      </c>
      <c r="K788">
        <v>0</v>
      </c>
      <c r="L788">
        <v>0</v>
      </c>
      <c r="M788">
        <v>0</v>
      </c>
      <c r="N788">
        <v>0</v>
      </c>
      <c r="O788">
        <v>4</v>
      </c>
      <c r="P788">
        <v>0</v>
      </c>
      <c r="Q788">
        <v>0</v>
      </c>
      <c r="R788">
        <v>1</v>
      </c>
      <c r="S788">
        <v>0</v>
      </c>
      <c r="T788" s="72">
        <f t="shared" si="4"/>
        <v>5</v>
      </c>
    </row>
    <row r="789" spans="1:53" hidden="1">
      <c r="A789" s="462">
        <v>275</v>
      </c>
      <c r="B789" s="462" t="s">
        <v>390</v>
      </c>
      <c r="C789" t="s">
        <v>318</v>
      </c>
      <c r="D789" s="462" t="s">
        <v>730</v>
      </c>
      <c r="E789" t="s">
        <v>1410</v>
      </c>
      <c r="F789" s="462" t="s">
        <v>1361</v>
      </c>
      <c r="G789" t="s">
        <v>1013</v>
      </c>
      <c r="H789" t="s">
        <v>473</v>
      </c>
      <c r="I789">
        <v>0</v>
      </c>
      <c r="J789">
        <v>0</v>
      </c>
      <c r="K789">
        <v>1</v>
      </c>
      <c r="L789">
        <v>0</v>
      </c>
      <c r="M789">
        <v>0</v>
      </c>
      <c r="N789">
        <v>0</v>
      </c>
      <c r="O789">
        <v>0</v>
      </c>
      <c r="P789">
        <v>0</v>
      </c>
      <c r="Q789">
        <v>0</v>
      </c>
      <c r="R789">
        <v>0</v>
      </c>
      <c r="S789">
        <v>0</v>
      </c>
      <c r="T789" s="72">
        <f t="shared" si="4"/>
        <v>1</v>
      </c>
    </row>
    <row r="790" spans="1:53" hidden="1">
      <c r="A790" s="462">
        <v>275</v>
      </c>
      <c r="B790" s="462" t="s">
        <v>390</v>
      </c>
      <c r="C790" t="s">
        <v>318</v>
      </c>
      <c r="D790" s="462" t="s">
        <v>730</v>
      </c>
      <c r="E790" t="s">
        <v>1438</v>
      </c>
      <c r="F790" s="462" t="s">
        <v>977</v>
      </c>
      <c r="G790" t="s">
        <v>1013</v>
      </c>
      <c r="H790" t="s">
        <v>473</v>
      </c>
      <c r="I790">
        <v>0</v>
      </c>
      <c r="J790">
        <v>2</v>
      </c>
      <c r="K790">
        <v>0</v>
      </c>
      <c r="L790">
        <v>0</v>
      </c>
      <c r="M790">
        <v>0</v>
      </c>
      <c r="N790">
        <v>0</v>
      </c>
      <c r="O790">
        <v>0</v>
      </c>
      <c r="P790">
        <v>0</v>
      </c>
      <c r="Q790">
        <v>0</v>
      </c>
      <c r="R790">
        <v>0</v>
      </c>
      <c r="S790">
        <v>0</v>
      </c>
      <c r="T790" s="72">
        <f t="shared" si="4"/>
        <v>2</v>
      </c>
    </row>
    <row r="791" spans="1:53" hidden="1">
      <c r="A791" s="462">
        <v>275</v>
      </c>
      <c r="B791" s="462" t="s">
        <v>390</v>
      </c>
      <c r="C791" t="s">
        <v>318</v>
      </c>
      <c r="D791" s="462" t="s">
        <v>730</v>
      </c>
      <c r="E791" t="s">
        <v>1439</v>
      </c>
      <c r="F791" s="462" t="s">
        <v>1440</v>
      </c>
      <c r="G791" t="s">
        <v>1013</v>
      </c>
      <c r="H791" t="s">
        <v>473</v>
      </c>
      <c r="I791">
        <v>0</v>
      </c>
      <c r="J791">
        <v>1</v>
      </c>
      <c r="K791">
        <v>0</v>
      </c>
      <c r="L791">
        <v>0</v>
      </c>
      <c r="M791">
        <v>0</v>
      </c>
      <c r="N791">
        <v>0</v>
      </c>
      <c r="O791">
        <v>0</v>
      </c>
      <c r="P791">
        <v>1</v>
      </c>
      <c r="Q791">
        <v>0</v>
      </c>
      <c r="R791">
        <v>0</v>
      </c>
      <c r="S791">
        <v>0</v>
      </c>
      <c r="T791" s="72">
        <f t="shared" si="4"/>
        <v>2</v>
      </c>
    </row>
    <row r="792" spans="1:53" hidden="1">
      <c r="A792" s="462">
        <v>275</v>
      </c>
      <c r="B792" s="462" t="s">
        <v>390</v>
      </c>
      <c r="C792" t="s">
        <v>318</v>
      </c>
      <c r="D792" s="462" t="s">
        <v>730</v>
      </c>
      <c r="E792" t="s">
        <v>1023</v>
      </c>
      <c r="F792" s="462" t="s">
        <v>1411</v>
      </c>
      <c r="G792" t="s">
        <v>1013</v>
      </c>
      <c r="H792" t="s">
        <v>473</v>
      </c>
      <c r="I792">
        <v>0</v>
      </c>
      <c r="J792">
        <v>2</v>
      </c>
      <c r="K792">
        <v>0</v>
      </c>
      <c r="L792">
        <v>0</v>
      </c>
      <c r="M792">
        <v>0</v>
      </c>
      <c r="N792">
        <v>0</v>
      </c>
      <c r="O792">
        <v>1</v>
      </c>
      <c r="P792">
        <v>0</v>
      </c>
      <c r="Q792">
        <v>0</v>
      </c>
      <c r="R792">
        <v>0</v>
      </c>
      <c r="S792">
        <v>0</v>
      </c>
      <c r="T792" s="72">
        <f t="shared" si="4"/>
        <v>3</v>
      </c>
    </row>
    <row r="793" spans="1:53" hidden="1">
      <c r="A793" s="462">
        <v>275</v>
      </c>
      <c r="B793" s="462" t="s">
        <v>390</v>
      </c>
      <c r="C793" t="s">
        <v>318</v>
      </c>
      <c r="D793" s="462" t="s">
        <v>730</v>
      </c>
      <c r="E793" t="s">
        <v>1044</v>
      </c>
      <c r="F793" s="462" t="s">
        <v>968</v>
      </c>
      <c r="G793" t="s">
        <v>1013</v>
      </c>
      <c r="H793" t="s">
        <v>473</v>
      </c>
      <c r="I793">
        <v>0</v>
      </c>
      <c r="J793">
        <v>4</v>
      </c>
      <c r="K793">
        <v>0</v>
      </c>
      <c r="L793">
        <v>0</v>
      </c>
      <c r="M793">
        <v>0</v>
      </c>
      <c r="N793">
        <v>0</v>
      </c>
      <c r="O793">
        <v>2</v>
      </c>
      <c r="P793">
        <v>0</v>
      </c>
      <c r="Q793">
        <v>0</v>
      </c>
      <c r="R793">
        <v>0</v>
      </c>
      <c r="S793">
        <v>0</v>
      </c>
      <c r="T793" s="72">
        <f t="shared" si="4"/>
        <v>6</v>
      </c>
    </row>
    <row r="794" spans="1:53" hidden="1">
      <c r="A794" s="462">
        <v>275</v>
      </c>
      <c r="B794" s="462" t="s">
        <v>390</v>
      </c>
      <c r="C794" t="s">
        <v>318</v>
      </c>
      <c r="D794" s="462" t="s">
        <v>730</v>
      </c>
      <c r="E794" t="s">
        <v>1441</v>
      </c>
      <c r="F794" s="462" t="s">
        <v>1442</v>
      </c>
      <c r="G794" t="s">
        <v>1013</v>
      </c>
      <c r="H794" t="s">
        <v>473</v>
      </c>
      <c r="I794">
        <v>0</v>
      </c>
      <c r="J794">
        <v>3</v>
      </c>
      <c r="K794">
        <v>0</v>
      </c>
      <c r="L794">
        <v>0</v>
      </c>
      <c r="M794">
        <v>0</v>
      </c>
      <c r="N794">
        <v>0</v>
      </c>
      <c r="O794">
        <v>1</v>
      </c>
      <c r="P794">
        <v>0</v>
      </c>
      <c r="Q794">
        <v>0</v>
      </c>
      <c r="R794">
        <v>0</v>
      </c>
      <c r="S794">
        <v>0</v>
      </c>
      <c r="T794" s="72">
        <f t="shared" si="4"/>
        <v>4</v>
      </c>
    </row>
    <row r="795" spans="1:53" hidden="1">
      <c r="A795" s="462">
        <v>275</v>
      </c>
      <c r="B795" s="462" t="s">
        <v>390</v>
      </c>
      <c r="C795" t="s">
        <v>318</v>
      </c>
      <c r="D795" s="462" t="s">
        <v>730</v>
      </c>
      <c r="E795" t="s">
        <v>1443</v>
      </c>
      <c r="F795" s="462" t="s">
        <v>1444</v>
      </c>
      <c r="G795" t="s">
        <v>1013</v>
      </c>
      <c r="H795" t="s">
        <v>473</v>
      </c>
      <c r="I795">
        <v>0</v>
      </c>
      <c r="J795">
        <v>0</v>
      </c>
      <c r="K795">
        <v>0</v>
      </c>
      <c r="L795">
        <v>0</v>
      </c>
      <c r="M795">
        <v>0</v>
      </c>
      <c r="N795">
        <v>0</v>
      </c>
      <c r="O795">
        <v>1</v>
      </c>
      <c r="P795">
        <v>0</v>
      </c>
      <c r="Q795">
        <v>0</v>
      </c>
      <c r="R795">
        <v>0</v>
      </c>
      <c r="S795">
        <v>0</v>
      </c>
      <c r="T795" s="72">
        <f t="shared" si="4"/>
        <v>1</v>
      </c>
    </row>
    <row r="796" spans="1:53" hidden="1">
      <c r="A796" s="462">
        <v>275</v>
      </c>
      <c r="B796" s="462" t="s">
        <v>390</v>
      </c>
      <c r="C796" t="s">
        <v>318</v>
      </c>
      <c r="D796" s="462" t="s">
        <v>730</v>
      </c>
      <c r="E796" t="s">
        <v>1011</v>
      </c>
      <c r="F796" s="462" t="s">
        <v>1415</v>
      </c>
      <c r="G796" t="s">
        <v>1013</v>
      </c>
      <c r="H796" t="s">
        <v>473</v>
      </c>
      <c r="I796">
        <v>0</v>
      </c>
      <c r="J796">
        <v>0</v>
      </c>
      <c r="K796">
        <v>0</v>
      </c>
      <c r="L796">
        <v>0</v>
      </c>
      <c r="M796">
        <v>0</v>
      </c>
      <c r="N796">
        <v>0</v>
      </c>
      <c r="O796">
        <v>1</v>
      </c>
      <c r="P796">
        <v>0</v>
      </c>
      <c r="Q796">
        <v>0</v>
      </c>
      <c r="R796">
        <v>0</v>
      </c>
      <c r="S796">
        <v>0</v>
      </c>
      <c r="T796" s="72">
        <f t="shared" si="4"/>
        <v>1</v>
      </c>
    </row>
    <row r="797" spans="1:53" hidden="1">
      <c r="A797" s="462">
        <v>275</v>
      </c>
      <c r="B797" s="462" t="s">
        <v>390</v>
      </c>
      <c r="C797" t="s">
        <v>318</v>
      </c>
      <c r="D797" s="462" t="s">
        <v>730</v>
      </c>
      <c r="E797" t="s">
        <v>1056</v>
      </c>
      <c r="F797" s="462" t="s">
        <v>978</v>
      </c>
      <c r="G797" t="s">
        <v>1013</v>
      </c>
      <c r="H797" t="s">
        <v>473</v>
      </c>
      <c r="I797">
        <v>0</v>
      </c>
      <c r="J797">
        <v>1</v>
      </c>
      <c r="K797">
        <v>0</v>
      </c>
      <c r="L797">
        <v>0</v>
      </c>
      <c r="M797">
        <v>0</v>
      </c>
      <c r="N797">
        <v>0</v>
      </c>
      <c r="O797">
        <v>0</v>
      </c>
      <c r="P797">
        <v>0</v>
      </c>
      <c r="Q797">
        <v>0</v>
      </c>
      <c r="R797">
        <v>0</v>
      </c>
      <c r="S797">
        <v>0</v>
      </c>
      <c r="T797" s="72">
        <f t="shared" si="4"/>
        <v>1</v>
      </c>
    </row>
    <row r="798" spans="1:53" hidden="1">
      <c r="A798" s="462">
        <v>275</v>
      </c>
      <c r="B798" s="462" t="s">
        <v>390</v>
      </c>
      <c r="C798" t="s">
        <v>318</v>
      </c>
      <c r="D798" s="462" t="s">
        <v>730</v>
      </c>
      <c r="E798" t="s">
        <v>1389</v>
      </c>
      <c r="F798" s="462" t="s">
        <v>1390</v>
      </c>
      <c r="G798" t="s">
        <v>1013</v>
      </c>
      <c r="H798" t="s">
        <v>473</v>
      </c>
      <c r="I798">
        <v>0</v>
      </c>
      <c r="J798">
        <v>2</v>
      </c>
      <c r="K798">
        <v>0</v>
      </c>
      <c r="L798">
        <v>0</v>
      </c>
      <c r="M798">
        <v>0</v>
      </c>
      <c r="N798">
        <v>0</v>
      </c>
      <c r="O798">
        <v>0</v>
      </c>
      <c r="P798">
        <v>0</v>
      </c>
      <c r="Q798">
        <v>0</v>
      </c>
      <c r="R798">
        <v>0</v>
      </c>
      <c r="S798">
        <v>0</v>
      </c>
      <c r="T798" s="72">
        <f t="shared" si="4"/>
        <v>2</v>
      </c>
    </row>
    <row r="799" spans="1:53" hidden="1">
      <c r="A799" s="462">
        <v>275</v>
      </c>
      <c r="B799" s="462" t="s">
        <v>390</v>
      </c>
      <c r="C799" t="s">
        <v>318</v>
      </c>
      <c r="D799" s="462" t="s">
        <v>730</v>
      </c>
      <c r="E799" t="s">
        <v>1060</v>
      </c>
      <c r="F799" s="462" t="s">
        <v>969</v>
      </c>
      <c r="G799" t="s">
        <v>1013</v>
      </c>
      <c r="H799" t="s">
        <v>473</v>
      </c>
      <c r="I799">
        <v>0</v>
      </c>
      <c r="J799">
        <v>1</v>
      </c>
      <c r="K799">
        <v>0</v>
      </c>
      <c r="L799">
        <v>0</v>
      </c>
      <c r="M799">
        <v>0</v>
      </c>
      <c r="N799">
        <v>0</v>
      </c>
      <c r="O799">
        <v>2</v>
      </c>
      <c r="P799">
        <v>0</v>
      </c>
      <c r="Q799">
        <v>0</v>
      </c>
      <c r="R799">
        <v>0</v>
      </c>
      <c r="S799">
        <v>0</v>
      </c>
      <c r="T799" s="72">
        <f t="shared" si="4"/>
        <v>3</v>
      </c>
    </row>
    <row r="800" spans="1:53" hidden="1">
      <c r="A800" s="462">
        <v>275</v>
      </c>
      <c r="B800" s="462" t="s">
        <v>390</v>
      </c>
      <c r="C800" t="s">
        <v>318</v>
      </c>
      <c r="D800" s="462" t="s">
        <v>730</v>
      </c>
      <c r="E800" t="s">
        <v>1062</v>
      </c>
      <c r="F800" s="462" t="s">
        <v>976</v>
      </c>
      <c r="G800" t="s">
        <v>1013</v>
      </c>
      <c r="H800" t="s">
        <v>473</v>
      </c>
      <c r="I800">
        <v>0</v>
      </c>
      <c r="J800">
        <v>1</v>
      </c>
      <c r="K800">
        <v>0</v>
      </c>
      <c r="L800">
        <v>0</v>
      </c>
      <c r="M800">
        <v>0</v>
      </c>
      <c r="N800">
        <v>0</v>
      </c>
      <c r="O800">
        <v>1</v>
      </c>
      <c r="P800">
        <v>0</v>
      </c>
      <c r="Q800">
        <v>0</v>
      </c>
      <c r="R800">
        <v>0</v>
      </c>
      <c r="S800">
        <v>0</v>
      </c>
      <c r="T800" s="72">
        <f t="shared" si="4"/>
        <v>2</v>
      </c>
    </row>
    <row r="801" spans="1:20" hidden="1">
      <c r="A801" s="462">
        <v>275</v>
      </c>
      <c r="B801" s="462" t="s">
        <v>390</v>
      </c>
      <c r="C801" t="s">
        <v>318</v>
      </c>
      <c r="D801" s="462" t="s">
        <v>730</v>
      </c>
      <c r="E801" t="s">
        <v>1050</v>
      </c>
      <c r="F801" s="462" t="s">
        <v>1418</v>
      </c>
      <c r="G801" t="s">
        <v>1013</v>
      </c>
      <c r="H801" t="s">
        <v>473</v>
      </c>
      <c r="I801">
        <v>0</v>
      </c>
      <c r="J801">
        <v>1</v>
      </c>
      <c r="K801">
        <v>0</v>
      </c>
      <c r="L801">
        <v>0</v>
      </c>
      <c r="M801">
        <v>0</v>
      </c>
      <c r="N801">
        <v>0</v>
      </c>
      <c r="O801">
        <v>1</v>
      </c>
      <c r="P801">
        <v>0</v>
      </c>
      <c r="Q801">
        <v>0</v>
      </c>
      <c r="R801">
        <v>0</v>
      </c>
      <c r="S801">
        <v>0</v>
      </c>
      <c r="T801" s="72">
        <f t="shared" si="4"/>
        <v>2</v>
      </c>
    </row>
    <row r="802" spans="1:20" hidden="1">
      <c r="A802" s="462">
        <v>275</v>
      </c>
      <c r="B802" s="462" t="s">
        <v>390</v>
      </c>
      <c r="C802" t="s">
        <v>318</v>
      </c>
      <c r="D802" s="462" t="s">
        <v>730</v>
      </c>
      <c r="E802" t="s">
        <v>1391</v>
      </c>
      <c r="F802" s="462" t="s">
        <v>970</v>
      </c>
      <c r="G802" t="s">
        <v>1013</v>
      </c>
      <c r="H802" t="s">
        <v>473</v>
      </c>
      <c r="I802">
        <v>0</v>
      </c>
      <c r="J802">
        <v>4</v>
      </c>
      <c r="K802">
        <v>0</v>
      </c>
      <c r="L802">
        <v>0</v>
      </c>
      <c r="M802">
        <v>1</v>
      </c>
      <c r="N802">
        <v>0</v>
      </c>
      <c r="O802">
        <v>5</v>
      </c>
      <c r="P802">
        <v>0</v>
      </c>
      <c r="Q802">
        <v>0</v>
      </c>
      <c r="R802">
        <v>0</v>
      </c>
      <c r="S802">
        <v>0</v>
      </c>
      <c r="T802" s="72">
        <f t="shared" si="4"/>
        <v>10</v>
      </c>
    </row>
    <row r="803" spans="1:20" hidden="1">
      <c r="A803" s="462">
        <v>275</v>
      </c>
      <c r="B803" s="462" t="s">
        <v>390</v>
      </c>
      <c r="C803" t="s">
        <v>318</v>
      </c>
      <c r="D803" s="462" t="s">
        <v>730</v>
      </c>
      <c r="E803" t="s">
        <v>1063</v>
      </c>
      <c r="F803" s="462" t="s">
        <v>979</v>
      </c>
      <c r="G803" t="s">
        <v>1013</v>
      </c>
      <c r="H803" t="s">
        <v>473</v>
      </c>
      <c r="I803">
        <v>0</v>
      </c>
      <c r="J803">
        <v>3</v>
      </c>
      <c r="K803">
        <v>0</v>
      </c>
      <c r="L803">
        <v>0</v>
      </c>
      <c r="M803">
        <v>0</v>
      </c>
      <c r="N803">
        <v>0</v>
      </c>
      <c r="O803">
        <v>0</v>
      </c>
      <c r="P803">
        <v>0</v>
      </c>
      <c r="Q803">
        <v>0</v>
      </c>
      <c r="R803">
        <v>0</v>
      </c>
      <c r="S803">
        <v>0</v>
      </c>
      <c r="T803" s="72">
        <f t="shared" si="4"/>
        <v>3</v>
      </c>
    </row>
    <row r="804" spans="1:20" hidden="1">
      <c r="A804" s="462">
        <v>275</v>
      </c>
      <c r="B804" s="462" t="s">
        <v>390</v>
      </c>
      <c r="C804" t="s">
        <v>318</v>
      </c>
      <c r="D804" s="462" t="s">
        <v>730</v>
      </c>
      <c r="E804" t="s">
        <v>1445</v>
      </c>
      <c r="F804" s="462" t="s">
        <v>980</v>
      </c>
      <c r="G804" t="s">
        <v>1013</v>
      </c>
      <c r="H804" t="s">
        <v>473</v>
      </c>
      <c r="I804">
        <v>0</v>
      </c>
      <c r="J804">
        <v>5</v>
      </c>
      <c r="K804">
        <v>0</v>
      </c>
      <c r="L804">
        <v>0</v>
      </c>
      <c r="M804">
        <v>0</v>
      </c>
      <c r="N804">
        <v>0</v>
      </c>
      <c r="O804">
        <v>2</v>
      </c>
      <c r="P804">
        <v>0</v>
      </c>
      <c r="Q804">
        <v>0</v>
      </c>
      <c r="R804">
        <v>0</v>
      </c>
      <c r="S804">
        <v>0</v>
      </c>
      <c r="T804" s="72">
        <f t="shared" si="4"/>
        <v>7</v>
      </c>
    </row>
    <row r="805" spans="1:20" hidden="1">
      <c r="A805" s="462">
        <v>275</v>
      </c>
      <c r="B805" s="462" t="s">
        <v>390</v>
      </c>
      <c r="C805" t="s">
        <v>318</v>
      </c>
      <c r="D805" s="462" t="s">
        <v>730</v>
      </c>
      <c r="E805" t="s">
        <v>1450</v>
      </c>
      <c r="F805" s="462" t="s">
        <v>1451</v>
      </c>
      <c r="G805" t="s">
        <v>1013</v>
      </c>
      <c r="H805" t="s">
        <v>473</v>
      </c>
      <c r="I805">
        <v>0</v>
      </c>
      <c r="J805">
        <v>1</v>
      </c>
      <c r="K805">
        <v>0</v>
      </c>
      <c r="L805">
        <v>0</v>
      </c>
      <c r="M805">
        <v>0</v>
      </c>
      <c r="N805">
        <v>0</v>
      </c>
      <c r="O805">
        <v>0</v>
      </c>
      <c r="P805">
        <v>0</v>
      </c>
      <c r="Q805">
        <v>0</v>
      </c>
      <c r="R805">
        <v>0</v>
      </c>
      <c r="S805">
        <v>0</v>
      </c>
      <c r="T805" s="72">
        <f t="shared" si="4"/>
        <v>1</v>
      </c>
    </row>
    <row r="806" spans="1:20" hidden="1">
      <c r="A806" s="462">
        <v>275</v>
      </c>
      <c r="B806" s="462" t="s">
        <v>390</v>
      </c>
      <c r="C806" t="s">
        <v>318</v>
      </c>
      <c r="D806" s="462" t="s">
        <v>730</v>
      </c>
      <c r="E806" t="s">
        <v>1037</v>
      </c>
      <c r="F806" s="462" t="s">
        <v>971</v>
      </c>
      <c r="G806" t="s">
        <v>1013</v>
      </c>
      <c r="H806" t="s">
        <v>473</v>
      </c>
      <c r="I806">
        <v>0</v>
      </c>
      <c r="J806">
        <v>3</v>
      </c>
      <c r="K806">
        <v>0</v>
      </c>
      <c r="L806">
        <v>0</v>
      </c>
      <c r="M806">
        <v>0</v>
      </c>
      <c r="N806">
        <v>0</v>
      </c>
      <c r="O806">
        <v>4</v>
      </c>
      <c r="P806">
        <v>0</v>
      </c>
      <c r="Q806">
        <v>0</v>
      </c>
      <c r="R806">
        <v>0</v>
      </c>
      <c r="S806">
        <v>0</v>
      </c>
      <c r="T806" s="72">
        <f t="shared" si="4"/>
        <v>7</v>
      </c>
    </row>
    <row r="807" spans="1:20" hidden="1">
      <c r="A807" s="462">
        <v>275</v>
      </c>
      <c r="B807" s="462" t="s">
        <v>390</v>
      </c>
      <c r="C807" t="s">
        <v>318</v>
      </c>
      <c r="D807" s="462" t="s">
        <v>730</v>
      </c>
      <c r="E807" t="s">
        <v>1065</v>
      </c>
      <c r="F807" s="462" t="s">
        <v>1452</v>
      </c>
      <c r="G807" t="s">
        <v>1013</v>
      </c>
      <c r="H807" t="s">
        <v>473</v>
      </c>
      <c r="I807">
        <v>0</v>
      </c>
      <c r="J807">
        <v>0</v>
      </c>
      <c r="K807">
        <v>0</v>
      </c>
      <c r="L807">
        <v>0</v>
      </c>
      <c r="M807">
        <v>0</v>
      </c>
      <c r="N807">
        <v>0</v>
      </c>
      <c r="O807">
        <v>1</v>
      </c>
      <c r="P807">
        <v>0</v>
      </c>
      <c r="Q807">
        <v>0</v>
      </c>
      <c r="R807">
        <v>0</v>
      </c>
      <c r="S807">
        <v>0</v>
      </c>
      <c r="T807" s="72">
        <f t="shared" si="4"/>
        <v>1</v>
      </c>
    </row>
    <row r="808" spans="1:20" hidden="1">
      <c r="A808" s="462">
        <v>275</v>
      </c>
      <c r="B808" s="462" t="s">
        <v>390</v>
      </c>
      <c r="C808" t="s">
        <v>318</v>
      </c>
      <c r="D808" s="462" t="s">
        <v>730</v>
      </c>
      <c r="E808" t="s">
        <v>1071</v>
      </c>
      <c r="F808" s="462" t="s">
        <v>1453</v>
      </c>
      <c r="G808" t="s">
        <v>1013</v>
      </c>
      <c r="H808" t="s">
        <v>473</v>
      </c>
      <c r="I808">
        <v>0</v>
      </c>
      <c r="J808">
        <v>1</v>
      </c>
      <c r="K808">
        <v>0</v>
      </c>
      <c r="L808">
        <v>0</v>
      </c>
      <c r="M808">
        <v>0</v>
      </c>
      <c r="N808">
        <v>0</v>
      </c>
      <c r="O808">
        <v>1</v>
      </c>
      <c r="P808">
        <v>0</v>
      </c>
      <c r="Q808">
        <v>0</v>
      </c>
      <c r="R808">
        <v>1</v>
      </c>
      <c r="S808">
        <v>0</v>
      </c>
      <c r="T808" s="72">
        <f t="shared" si="4"/>
        <v>3</v>
      </c>
    </row>
    <row r="809" spans="1:20" hidden="1">
      <c r="A809" s="462">
        <v>275</v>
      </c>
      <c r="B809" s="462" t="s">
        <v>390</v>
      </c>
      <c r="C809" t="s">
        <v>318</v>
      </c>
      <c r="D809" s="462" t="s">
        <v>730</v>
      </c>
      <c r="E809" t="s">
        <v>1457</v>
      </c>
      <c r="F809" s="462" t="s">
        <v>1458</v>
      </c>
      <c r="G809" t="s">
        <v>1013</v>
      </c>
      <c r="H809" t="s">
        <v>473</v>
      </c>
      <c r="I809">
        <v>0</v>
      </c>
      <c r="J809">
        <v>0</v>
      </c>
      <c r="K809">
        <v>0</v>
      </c>
      <c r="L809">
        <v>0</v>
      </c>
      <c r="M809">
        <v>0</v>
      </c>
      <c r="N809">
        <v>0</v>
      </c>
      <c r="O809">
        <v>1</v>
      </c>
      <c r="P809">
        <v>0</v>
      </c>
      <c r="Q809">
        <v>0</v>
      </c>
      <c r="R809">
        <v>0</v>
      </c>
      <c r="S809">
        <v>0</v>
      </c>
      <c r="T809" s="72">
        <f t="shared" si="4"/>
        <v>1</v>
      </c>
    </row>
    <row r="810" spans="1:20" hidden="1">
      <c r="A810" s="462">
        <v>275</v>
      </c>
      <c r="B810" s="462" t="s">
        <v>390</v>
      </c>
      <c r="C810" t="s">
        <v>318</v>
      </c>
      <c r="D810" s="462" t="s">
        <v>730</v>
      </c>
      <c r="E810" t="s">
        <v>1398</v>
      </c>
      <c r="F810" s="462" t="s">
        <v>1399</v>
      </c>
      <c r="G810" t="s">
        <v>1027</v>
      </c>
      <c r="H810" t="s">
        <v>473</v>
      </c>
      <c r="I810">
        <v>0</v>
      </c>
      <c r="J810">
        <v>1</v>
      </c>
      <c r="K810">
        <v>0</v>
      </c>
      <c r="L810">
        <v>0</v>
      </c>
      <c r="M810">
        <v>0</v>
      </c>
      <c r="N810">
        <v>0</v>
      </c>
      <c r="O810">
        <v>0</v>
      </c>
      <c r="P810">
        <v>0</v>
      </c>
      <c r="Q810">
        <v>0</v>
      </c>
      <c r="R810">
        <v>0</v>
      </c>
      <c r="S810">
        <v>0</v>
      </c>
      <c r="T810" s="72">
        <f t="shared" si="4"/>
        <v>1</v>
      </c>
    </row>
    <row r="811" spans="1:20" hidden="1">
      <c r="A811" s="462">
        <v>275</v>
      </c>
      <c r="B811" s="462" t="s">
        <v>390</v>
      </c>
      <c r="C811" t="s">
        <v>318</v>
      </c>
      <c r="D811" s="462" t="s">
        <v>730</v>
      </c>
      <c r="E811" t="s">
        <v>1039</v>
      </c>
      <c r="F811" s="462" t="s">
        <v>1400</v>
      </c>
      <c r="G811" t="s">
        <v>1013</v>
      </c>
      <c r="H811" t="s">
        <v>473</v>
      </c>
      <c r="I811">
        <v>0</v>
      </c>
      <c r="J811">
        <v>1</v>
      </c>
      <c r="K811">
        <v>0</v>
      </c>
      <c r="L811">
        <v>0</v>
      </c>
      <c r="M811">
        <v>0</v>
      </c>
      <c r="N811">
        <v>0</v>
      </c>
      <c r="O811">
        <v>3</v>
      </c>
      <c r="P811">
        <v>0</v>
      </c>
      <c r="Q811">
        <v>0</v>
      </c>
      <c r="R811">
        <v>0</v>
      </c>
      <c r="S811">
        <v>0</v>
      </c>
      <c r="T811" s="72">
        <f t="shared" si="4"/>
        <v>4</v>
      </c>
    </row>
    <row r="812" spans="1:20" hidden="1">
      <c r="A812" s="462">
        <v>286</v>
      </c>
      <c r="B812" s="462" t="s">
        <v>406</v>
      </c>
      <c r="C812" t="s">
        <v>318</v>
      </c>
      <c r="D812" s="462" t="s">
        <v>730</v>
      </c>
      <c r="E812" t="s">
        <v>1044</v>
      </c>
      <c r="F812" s="462" t="s">
        <v>968</v>
      </c>
      <c r="G812" t="s">
        <v>1013</v>
      </c>
      <c r="H812" t="s">
        <v>473</v>
      </c>
      <c r="I812">
        <v>0</v>
      </c>
      <c r="J812">
        <v>2</v>
      </c>
      <c r="K812">
        <v>0</v>
      </c>
      <c r="L812">
        <v>0</v>
      </c>
      <c r="M812">
        <v>0</v>
      </c>
      <c r="N812">
        <v>0</v>
      </c>
      <c r="O812">
        <v>0</v>
      </c>
      <c r="P812">
        <v>0</v>
      </c>
      <c r="Q812">
        <v>0</v>
      </c>
      <c r="R812">
        <v>0</v>
      </c>
      <c r="S812">
        <v>0</v>
      </c>
      <c r="T812" s="72">
        <f t="shared" si="4"/>
        <v>2</v>
      </c>
    </row>
    <row r="813" spans="1:20" hidden="1">
      <c r="A813" s="462">
        <v>286</v>
      </c>
      <c r="B813" s="462" t="s">
        <v>406</v>
      </c>
      <c r="C813" t="s">
        <v>318</v>
      </c>
      <c r="D813" s="462" t="s">
        <v>730</v>
      </c>
      <c r="E813" t="s">
        <v>1461</v>
      </c>
      <c r="F813" s="462" t="s">
        <v>981</v>
      </c>
      <c r="G813" t="s">
        <v>1013</v>
      </c>
      <c r="H813" t="s">
        <v>473</v>
      </c>
      <c r="I813">
        <v>0</v>
      </c>
      <c r="J813">
        <v>1</v>
      </c>
      <c r="K813">
        <v>0</v>
      </c>
      <c r="L813">
        <v>0</v>
      </c>
      <c r="M813">
        <v>0</v>
      </c>
      <c r="N813">
        <v>0</v>
      </c>
      <c r="O813">
        <v>0</v>
      </c>
      <c r="P813">
        <v>0</v>
      </c>
      <c r="Q813">
        <v>0</v>
      </c>
      <c r="R813">
        <v>0</v>
      </c>
      <c r="S813">
        <v>0</v>
      </c>
      <c r="T813" s="72">
        <f t="shared" si="4"/>
        <v>1</v>
      </c>
    </row>
    <row r="814" spans="1:20" hidden="1">
      <c r="A814" s="462">
        <v>286</v>
      </c>
      <c r="B814" s="462" t="s">
        <v>406</v>
      </c>
      <c r="C814" t="s">
        <v>318</v>
      </c>
      <c r="D814" s="462" t="s">
        <v>730</v>
      </c>
      <c r="E814" t="s">
        <v>1462</v>
      </c>
      <c r="F814" s="462" t="s">
        <v>1368</v>
      </c>
      <c r="G814" t="s">
        <v>1013</v>
      </c>
      <c r="H814" t="s">
        <v>473</v>
      </c>
      <c r="I814">
        <v>0</v>
      </c>
      <c r="J814">
        <v>0</v>
      </c>
      <c r="K814">
        <v>0</v>
      </c>
      <c r="L814">
        <v>0</v>
      </c>
      <c r="M814">
        <v>1</v>
      </c>
      <c r="N814">
        <v>0</v>
      </c>
      <c r="O814">
        <v>0</v>
      </c>
      <c r="P814">
        <v>0</v>
      </c>
      <c r="Q814">
        <v>0</v>
      </c>
      <c r="R814">
        <v>0</v>
      </c>
      <c r="S814">
        <v>0</v>
      </c>
      <c r="T814" s="72">
        <f>SUM(I814:S814)</f>
        <v>1</v>
      </c>
    </row>
    <row r="815" spans="1:20" hidden="1">
      <c r="A815" s="462">
        <v>288</v>
      </c>
      <c r="B815" s="462" t="s">
        <v>398</v>
      </c>
      <c r="C815" t="s">
        <v>318</v>
      </c>
      <c r="D815" s="462" t="s">
        <v>730</v>
      </c>
      <c r="E815" t="s">
        <v>1465</v>
      </c>
      <c r="F815" s="462" t="s">
        <v>1372</v>
      </c>
      <c r="G815" t="s">
        <v>1013</v>
      </c>
      <c r="H815" t="s">
        <v>473</v>
      </c>
      <c r="I815">
        <v>0</v>
      </c>
      <c r="J815">
        <v>0</v>
      </c>
      <c r="K815">
        <v>0</v>
      </c>
      <c r="L815">
        <v>0</v>
      </c>
      <c r="M815">
        <v>2</v>
      </c>
      <c r="N815">
        <v>0</v>
      </c>
      <c r="O815">
        <v>0</v>
      </c>
      <c r="P815">
        <v>0</v>
      </c>
      <c r="Q815">
        <v>0</v>
      </c>
      <c r="R815">
        <v>0</v>
      </c>
      <c r="S815">
        <v>0</v>
      </c>
      <c r="T815" s="72">
        <f t="shared" si="4"/>
        <v>2</v>
      </c>
    </row>
    <row r="816" spans="1:20" hidden="1">
      <c r="A816" s="462">
        <v>304</v>
      </c>
      <c r="B816" s="462" t="s">
        <v>641</v>
      </c>
      <c r="C816" t="s">
        <v>318</v>
      </c>
      <c r="D816" s="462" t="s">
        <v>730</v>
      </c>
      <c r="E816" t="s">
        <v>1019</v>
      </c>
      <c r="F816" s="462" t="s">
        <v>982</v>
      </c>
      <c r="G816" t="s">
        <v>1013</v>
      </c>
      <c r="H816" t="s">
        <v>474</v>
      </c>
      <c r="I816">
        <v>0</v>
      </c>
      <c r="J816">
        <v>1</v>
      </c>
      <c r="K816">
        <v>0</v>
      </c>
      <c r="L816">
        <v>0</v>
      </c>
      <c r="M816">
        <v>8</v>
      </c>
      <c r="N816">
        <v>0</v>
      </c>
      <c r="O816">
        <v>1</v>
      </c>
      <c r="P816">
        <v>0</v>
      </c>
      <c r="Q816">
        <v>0</v>
      </c>
      <c r="R816">
        <v>1</v>
      </c>
      <c r="S816">
        <v>0</v>
      </c>
      <c r="T816" s="72">
        <f t="shared" si="4"/>
        <v>11</v>
      </c>
    </row>
    <row r="817" spans="1:20" hidden="1">
      <c r="A817" s="462">
        <v>304</v>
      </c>
      <c r="B817" s="462" t="s">
        <v>641</v>
      </c>
      <c r="C817" t="s">
        <v>318</v>
      </c>
      <c r="D817" s="462" t="s">
        <v>730</v>
      </c>
      <c r="E817" t="s">
        <v>1079</v>
      </c>
      <c r="F817" s="462" t="s">
        <v>984</v>
      </c>
      <c r="G817" t="s">
        <v>1013</v>
      </c>
      <c r="H817" t="s">
        <v>474</v>
      </c>
      <c r="I817">
        <v>0</v>
      </c>
      <c r="J817">
        <v>1</v>
      </c>
      <c r="K817">
        <v>0</v>
      </c>
      <c r="L817">
        <v>0</v>
      </c>
      <c r="M817">
        <v>0</v>
      </c>
      <c r="N817">
        <v>0</v>
      </c>
      <c r="O817">
        <v>0</v>
      </c>
      <c r="P817">
        <v>0</v>
      </c>
      <c r="Q817">
        <v>0</v>
      </c>
      <c r="R817">
        <v>0</v>
      </c>
      <c r="S817">
        <v>0</v>
      </c>
      <c r="T817" s="72">
        <f t="shared" si="4"/>
        <v>1</v>
      </c>
    </row>
    <row r="818" spans="1:20" hidden="1">
      <c r="A818" s="462">
        <v>304</v>
      </c>
      <c r="B818" s="462" t="s">
        <v>641</v>
      </c>
      <c r="C818" t="s">
        <v>318</v>
      </c>
      <c r="D818" s="462" t="s">
        <v>730</v>
      </c>
      <c r="E818" t="s">
        <v>1443</v>
      </c>
      <c r="F818" s="462" t="s">
        <v>1444</v>
      </c>
      <c r="G818" t="s">
        <v>1013</v>
      </c>
      <c r="H818" t="s">
        <v>474</v>
      </c>
      <c r="I818">
        <v>0</v>
      </c>
      <c r="J818">
        <v>1</v>
      </c>
      <c r="K818">
        <v>0</v>
      </c>
      <c r="L818">
        <v>0</v>
      </c>
      <c r="M818">
        <v>0</v>
      </c>
      <c r="N818">
        <v>0</v>
      </c>
      <c r="O818">
        <v>0</v>
      </c>
      <c r="P818">
        <v>0</v>
      </c>
      <c r="Q818">
        <v>0</v>
      </c>
      <c r="R818">
        <v>0</v>
      </c>
      <c r="S818">
        <v>0</v>
      </c>
      <c r="T818" s="72">
        <f t="shared" si="4"/>
        <v>1</v>
      </c>
    </row>
    <row r="819" spans="1:20" hidden="1">
      <c r="A819" s="462">
        <v>304</v>
      </c>
      <c r="B819" s="121" t="s">
        <v>641</v>
      </c>
      <c r="C819" t="s">
        <v>318</v>
      </c>
      <c r="D819" s="121" t="s">
        <v>730</v>
      </c>
      <c r="E819" t="s">
        <v>318</v>
      </c>
      <c r="F819" s="121" t="s">
        <v>986</v>
      </c>
      <c r="G819" t="s">
        <v>1013</v>
      </c>
      <c r="H819" t="s">
        <v>474</v>
      </c>
      <c r="I819">
        <v>0</v>
      </c>
      <c r="J819">
        <v>9</v>
      </c>
      <c r="K819">
        <v>0</v>
      </c>
      <c r="L819">
        <v>0</v>
      </c>
      <c r="M819">
        <v>0</v>
      </c>
      <c r="N819">
        <v>0</v>
      </c>
      <c r="O819">
        <v>6</v>
      </c>
      <c r="P819">
        <v>0</v>
      </c>
      <c r="Q819">
        <v>0</v>
      </c>
      <c r="R819">
        <v>1</v>
      </c>
      <c r="S819">
        <v>0</v>
      </c>
      <c r="T819" s="72">
        <f>SUM(I819:S819)</f>
        <v>16</v>
      </c>
    </row>
    <row r="820" spans="1:20" hidden="1">
      <c r="A820" s="462"/>
      <c r="B820" s="121"/>
      <c r="D820" s="121"/>
      <c r="F820" s="121"/>
      <c r="T820" s="72"/>
    </row>
    <row r="821" spans="1:20">
      <c r="A821" s="462"/>
      <c r="B821" s="121"/>
      <c r="D821" s="121"/>
      <c r="F821" s="121"/>
      <c r="T821" s="72"/>
    </row>
    <row r="822" spans="1:20">
      <c r="A822" s="462"/>
      <c r="B822" s="121"/>
      <c r="D822" s="121"/>
      <c r="F822" s="121"/>
      <c r="T822" s="72"/>
    </row>
    <row r="823" spans="1:20">
      <c r="A823" s="462"/>
      <c r="B823" s="121"/>
      <c r="D823" s="121"/>
      <c r="F823" s="121"/>
      <c r="T823" s="72"/>
    </row>
    <row r="824" spans="1:20">
      <c r="A824" s="462"/>
      <c r="B824" s="121"/>
      <c r="D824" s="121"/>
      <c r="F824" s="121"/>
      <c r="T824" s="72"/>
    </row>
    <row r="825" spans="1:20">
      <c r="A825" s="462"/>
      <c r="B825" s="121"/>
      <c r="D825" s="121"/>
      <c r="F825" s="121"/>
      <c r="T825" s="72"/>
    </row>
    <row r="826" spans="1:20">
      <c r="A826" s="462"/>
      <c r="B826" s="121"/>
      <c r="D826" s="121"/>
      <c r="F826" s="121"/>
      <c r="T826" s="72"/>
    </row>
    <row r="827" spans="1:20">
      <c r="A827" s="462"/>
      <c r="B827" s="121"/>
      <c r="D827" s="121"/>
      <c r="F827" s="121"/>
      <c r="T827" s="72"/>
    </row>
    <row r="828" spans="1:20">
      <c r="A828" s="462"/>
      <c r="B828" s="121"/>
      <c r="D828" s="121"/>
      <c r="F828" s="121"/>
      <c r="T828" s="72"/>
    </row>
    <row r="829" spans="1:20">
      <c r="A829" s="462"/>
      <c r="B829" s="121"/>
      <c r="D829" s="121"/>
      <c r="F829" s="121"/>
      <c r="T829" s="72"/>
    </row>
    <row r="830" spans="1:20">
      <c r="A830" s="462"/>
      <c r="B830" s="121"/>
      <c r="D830" s="121"/>
      <c r="F830" s="121"/>
      <c r="T830" s="72"/>
    </row>
    <row r="831" spans="1:20">
      <c r="A831" s="462"/>
      <c r="B831" s="121"/>
      <c r="D831" s="121"/>
      <c r="F831" s="121"/>
      <c r="T831" s="72"/>
    </row>
    <row r="832" spans="1:20">
      <c r="A832" s="462"/>
      <c r="B832" s="121"/>
      <c r="D832" s="121"/>
      <c r="F832" s="121"/>
      <c r="T832" s="72"/>
    </row>
    <row r="833" spans="1:20">
      <c r="A833" s="462"/>
      <c r="B833" s="121"/>
      <c r="D833" s="121"/>
      <c r="F833" s="121"/>
      <c r="T833" s="72"/>
    </row>
    <row r="834" spans="1:20">
      <c r="A834" s="462"/>
      <c r="B834" s="121"/>
      <c r="D834" s="121"/>
      <c r="F834" s="121"/>
      <c r="T834" s="72"/>
    </row>
    <row r="835" spans="1:20">
      <c r="A835" s="462"/>
      <c r="B835" s="121"/>
      <c r="D835" s="121"/>
      <c r="F835" s="121"/>
      <c r="T835" s="72"/>
    </row>
    <row r="836" spans="1:20">
      <c r="A836" s="462"/>
      <c r="B836" s="121"/>
      <c r="D836" s="121"/>
      <c r="F836" s="121"/>
      <c r="T836" s="72"/>
    </row>
    <row r="837" spans="1:20">
      <c r="T837" s="72">
        <f>SUM(T755:T819)</f>
        <v>171</v>
      </c>
    </row>
    <row r="841" spans="1:20">
      <c r="B841" t="s">
        <v>1513</v>
      </c>
    </row>
    <row r="842" spans="1:20">
      <c r="C842" t="s">
        <v>1514</v>
      </c>
      <c r="J842" t="s">
        <v>1515</v>
      </c>
      <c r="N842" t="s">
        <v>1516</v>
      </c>
    </row>
    <row r="843" spans="1:20">
      <c r="C843" t="s">
        <v>739</v>
      </c>
      <c r="D843" t="s">
        <v>481</v>
      </c>
      <c r="E843" t="s">
        <v>375</v>
      </c>
      <c r="F843" t="s">
        <v>331</v>
      </c>
      <c r="G843" t="s">
        <v>338</v>
      </c>
      <c r="I843" t="s">
        <v>1334</v>
      </c>
      <c r="J843" s="465" t="s">
        <v>1334</v>
      </c>
      <c r="K843" s="465" t="s">
        <v>739</v>
      </c>
      <c r="L843" s="465" t="s">
        <v>481</v>
      </c>
      <c r="M843" s="465" t="s">
        <v>375</v>
      </c>
      <c r="N843" s="465" t="s">
        <v>331</v>
      </c>
      <c r="O843" s="465" t="s">
        <v>338</v>
      </c>
      <c r="P843" s="465" t="s">
        <v>37</v>
      </c>
    </row>
    <row r="844" spans="1:20">
      <c r="C844">
        <v>261</v>
      </c>
      <c r="D844" t="s">
        <v>733</v>
      </c>
      <c r="E844">
        <v>1744</v>
      </c>
      <c r="F844" t="s">
        <v>1470</v>
      </c>
      <c r="G844" t="s">
        <v>1013</v>
      </c>
      <c r="I844">
        <v>4</v>
      </c>
      <c r="J844" s="465">
        <v>4</v>
      </c>
      <c r="K844" s="465">
        <v>261</v>
      </c>
      <c r="L844" s="465" t="s">
        <v>1295</v>
      </c>
      <c r="M844" s="465">
        <v>1744</v>
      </c>
      <c r="N844" s="465" t="s">
        <v>1470</v>
      </c>
      <c r="O844" s="465" t="s">
        <v>666</v>
      </c>
    </row>
    <row r="845" spans="1:20">
      <c r="C845">
        <v>261</v>
      </c>
      <c r="D845" t="s">
        <v>733</v>
      </c>
      <c r="E845">
        <v>3310</v>
      </c>
      <c r="F845" t="s">
        <v>1045</v>
      </c>
      <c r="G845" t="s">
        <v>1013</v>
      </c>
      <c r="I845">
        <v>1</v>
      </c>
      <c r="J845" s="465">
        <v>1</v>
      </c>
      <c r="K845" s="465">
        <v>261</v>
      </c>
      <c r="L845" s="465" t="s">
        <v>1295</v>
      </c>
      <c r="M845" s="465">
        <v>3310</v>
      </c>
      <c r="N845" s="465" t="s">
        <v>1045</v>
      </c>
      <c r="O845" s="465" t="s">
        <v>666</v>
      </c>
    </row>
    <row r="846" spans="1:20">
      <c r="C846">
        <v>261</v>
      </c>
      <c r="D846" t="s">
        <v>733</v>
      </c>
      <c r="E846">
        <v>3330</v>
      </c>
      <c r="F846" t="s">
        <v>1012</v>
      </c>
      <c r="G846" t="s">
        <v>1013</v>
      </c>
      <c r="I846">
        <v>1</v>
      </c>
      <c r="J846" s="465">
        <v>1</v>
      </c>
      <c r="K846" s="465">
        <v>261</v>
      </c>
      <c r="L846" s="465" t="s">
        <v>1295</v>
      </c>
      <c r="M846" s="465">
        <v>3330</v>
      </c>
      <c r="N846" s="465" t="s">
        <v>1012</v>
      </c>
      <c r="O846" s="465" t="s">
        <v>666</v>
      </c>
    </row>
    <row r="847" spans="1:20">
      <c r="C847">
        <v>261</v>
      </c>
      <c r="D847" t="s">
        <v>733</v>
      </c>
      <c r="E847">
        <v>3449</v>
      </c>
      <c r="F847" t="s">
        <v>1015</v>
      </c>
      <c r="G847" t="s">
        <v>1013</v>
      </c>
      <c r="I847">
        <v>16</v>
      </c>
      <c r="J847" s="465">
        <v>16</v>
      </c>
      <c r="K847" s="465">
        <v>261</v>
      </c>
      <c r="L847" s="465" t="s">
        <v>1295</v>
      </c>
      <c r="M847" s="465">
        <v>3449</v>
      </c>
      <c r="N847" s="465" t="s">
        <v>1015</v>
      </c>
      <c r="O847" s="465" t="s">
        <v>666</v>
      </c>
    </row>
    <row r="848" spans="1:20">
      <c r="C848">
        <v>261</v>
      </c>
      <c r="D848" t="s">
        <v>733</v>
      </c>
      <c r="E848">
        <v>3483</v>
      </c>
      <c r="F848" t="s">
        <v>1471</v>
      </c>
      <c r="G848" t="s">
        <v>1013</v>
      </c>
      <c r="I848">
        <v>18</v>
      </c>
      <c r="J848" s="465">
        <v>18</v>
      </c>
      <c r="K848" s="465">
        <v>261</v>
      </c>
      <c r="L848" s="465" t="s">
        <v>1295</v>
      </c>
      <c r="M848" s="465">
        <v>3483</v>
      </c>
      <c r="N848" s="465" t="s">
        <v>1471</v>
      </c>
      <c r="O848" s="465" t="s">
        <v>666</v>
      </c>
    </row>
    <row r="849" spans="3:16">
      <c r="C849">
        <v>261</v>
      </c>
      <c r="D849" t="s">
        <v>733</v>
      </c>
      <c r="E849">
        <v>8193</v>
      </c>
      <c r="F849" t="s">
        <v>1472</v>
      </c>
      <c r="G849" t="s">
        <v>1027</v>
      </c>
      <c r="I849" s="383">
        <v>1</v>
      </c>
      <c r="J849" s="466">
        <v>22</v>
      </c>
      <c r="K849" s="465">
        <v>261</v>
      </c>
      <c r="L849" s="465" t="s">
        <v>1295</v>
      </c>
      <c r="M849" s="465">
        <v>8193</v>
      </c>
      <c r="N849" s="465" t="s">
        <v>1472</v>
      </c>
      <c r="O849" s="465" t="s">
        <v>973</v>
      </c>
      <c r="P849">
        <f>J849-I849</f>
        <v>21</v>
      </c>
    </row>
    <row r="850" spans="3:16">
      <c r="C850">
        <v>267</v>
      </c>
      <c r="D850" t="s">
        <v>392</v>
      </c>
      <c r="E850">
        <v>1306</v>
      </c>
      <c r="F850" t="s">
        <v>1018</v>
      </c>
      <c r="G850" t="s">
        <v>1013</v>
      </c>
      <c r="I850">
        <v>4</v>
      </c>
      <c r="J850" s="465">
        <v>4</v>
      </c>
      <c r="K850" s="465">
        <v>267</v>
      </c>
      <c r="L850" s="465" t="s">
        <v>392</v>
      </c>
      <c r="M850" s="465">
        <v>1306</v>
      </c>
      <c r="N850" s="465" t="s">
        <v>1018</v>
      </c>
      <c r="O850" s="465" t="s">
        <v>666</v>
      </c>
    </row>
    <row r="851" spans="3:16">
      <c r="C851">
        <v>267</v>
      </c>
      <c r="D851" t="s">
        <v>392</v>
      </c>
      <c r="E851">
        <v>1758</v>
      </c>
      <c r="F851" t="s">
        <v>1020</v>
      </c>
      <c r="G851" t="s">
        <v>1013</v>
      </c>
      <c r="I851">
        <v>8</v>
      </c>
      <c r="J851" s="465">
        <v>8</v>
      </c>
      <c r="K851" s="465">
        <v>267</v>
      </c>
      <c r="L851" s="465" t="s">
        <v>392</v>
      </c>
      <c r="M851" s="465">
        <v>1758</v>
      </c>
      <c r="N851" s="465" t="s">
        <v>1020</v>
      </c>
      <c r="O851" s="465" t="s">
        <v>666</v>
      </c>
    </row>
    <row r="852" spans="3:16">
      <c r="C852">
        <v>267</v>
      </c>
      <c r="D852" t="s">
        <v>392</v>
      </c>
      <c r="E852">
        <v>3282</v>
      </c>
      <c r="F852" t="s">
        <v>1022</v>
      </c>
      <c r="G852" t="s">
        <v>1013</v>
      </c>
      <c r="I852">
        <v>5</v>
      </c>
      <c r="J852" s="465">
        <v>5</v>
      </c>
      <c r="K852" s="465">
        <v>267</v>
      </c>
      <c r="L852" s="465" t="s">
        <v>392</v>
      </c>
      <c r="M852" s="465">
        <v>3282</v>
      </c>
      <c r="N852" s="465" t="s">
        <v>1022</v>
      </c>
      <c r="O852" s="465" t="s">
        <v>666</v>
      </c>
    </row>
    <row r="853" spans="3:16">
      <c r="C853">
        <v>267</v>
      </c>
      <c r="D853" t="s">
        <v>392</v>
      </c>
      <c r="E853">
        <v>3305</v>
      </c>
      <c r="F853" t="s">
        <v>1024</v>
      </c>
      <c r="G853" t="s">
        <v>1013</v>
      </c>
      <c r="I853">
        <v>2</v>
      </c>
      <c r="J853" s="465">
        <v>2</v>
      </c>
      <c r="K853" s="465">
        <v>267</v>
      </c>
      <c r="L853" s="465" t="s">
        <v>392</v>
      </c>
      <c r="M853" s="465">
        <v>3305</v>
      </c>
      <c r="N853" s="465" t="s">
        <v>1024</v>
      </c>
      <c r="O853" s="465" t="s">
        <v>666</v>
      </c>
    </row>
    <row r="854" spans="3:16">
      <c r="C854">
        <v>267</v>
      </c>
      <c r="D854" t="s">
        <v>392</v>
      </c>
      <c r="E854">
        <v>3343</v>
      </c>
      <c r="F854" t="s">
        <v>1473</v>
      </c>
      <c r="G854" t="s">
        <v>1013</v>
      </c>
      <c r="I854">
        <v>1</v>
      </c>
      <c r="J854" s="465">
        <v>1</v>
      </c>
      <c r="K854" s="465">
        <v>267</v>
      </c>
      <c r="L854" s="465" t="s">
        <v>392</v>
      </c>
      <c r="M854" s="465">
        <v>3343</v>
      </c>
      <c r="N854" s="465" t="s">
        <v>1473</v>
      </c>
      <c r="O854" s="465" t="s">
        <v>666</v>
      </c>
    </row>
    <row r="855" spans="3:16">
      <c r="C855">
        <v>267</v>
      </c>
      <c r="D855" t="s">
        <v>392</v>
      </c>
      <c r="E855">
        <v>3491</v>
      </c>
      <c r="F855" t="s">
        <v>1474</v>
      </c>
      <c r="G855" t="s">
        <v>1013</v>
      </c>
      <c r="I855">
        <v>1</v>
      </c>
      <c r="J855" s="465">
        <v>1</v>
      </c>
      <c r="K855" s="465">
        <v>267</v>
      </c>
      <c r="L855" s="465" t="s">
        <v>392</v>
      </c>
      <c r="M855" s="465">
        <v>3491</v>
      </c>
      <c r="N855" s="465" t="s">
        <v>1474</v>
      </c>
      <c r="O855" s="465" t="s">
        <v>666</v>
      </c>
    </row>
    <row r="856" spans="3:16">
      <c r="C856">
        <v>267</v>
      </c>
      <c r="D856" t="s">
        <v>392</v>
      </c>
      <c r="E856">
        <v>6912</v>
      </c>
      <c r="F856" t="s">
        <v>1475</v>
      </c>
      <c r="G856" t="s">
        <v>1013</v>
      </c>
      <c r="I856">
        <v>1</v>
      </c>
      <c r="J856" s="465">
        <v>1</v>
      </c>
      <c r="K856" s="465">
        <v>267</v>
      </c>
      <c r="L856" s="465" t="s">
        <v>392</v>
      </c>
      <c r="M856" s="465">
        <v>6912</v>
      </c>
      <c r="N856" s="465" t="s">
        <v>1475</v>
      </c>
      <c r="O856" s="465" t="s">
        <v>666</v>
      </c>
    </row>
    <row r="857" spans="3:16">
      <c r="C857">
        <v>267</v>
      </c>
      <c r="D857" t="s">
        <v>392</v>
      </c>
      <c r="E857">
        <v>7502</v>
      </c>
      <c r="F857" t="s">
        <v>1026</v>
      </c>
      <c r="G857" t="s">
        <v>1027</v>
      </c>
      <c r="I857">
        <v>7</v>
      </c>
      <c r="J857" s="465">
        <v>7</v>
      </c>
      <c r="K857" s="465">
        <v>267</v>
      </c>
      <c r="L857" s="465" t="s">
        <v>392</v>
      </c>
      <c r="M857" s="465">
        <v>7502</v>
      </c>
      <c r="N857" s="465" t="s">
        <v>1026</v>
      </c>
      <c r="O857" s="465" t="s">
        <v>973</v>
      </c>
    </row>
    <row r="858" spans="3:16">
      <c r="C858">
        <v>267</v>
      </c>
      <c r="D858" t="s">
        <v>392</v>
      </c>
      <c r="E858">
        <v>8193</v>
      </c>
      <c r="F858" t="s">
        <v>1472</v>
      </c>
      <c r="G858" t="s">
        <v>1027</v>
      </c>
      <c r="I858" s="383">
        <v>4</v>
      </c>
      <c r="J858" s="466">
        <v>27</v>
      </c>
      <c r="K858" s="465">
        <v>267</v>
      </c>
      <c r="L858" s="465" t="s">
        <v>392</v>
      </c>
      <c r="M858" s="465">
        <v>8193</v>
      </c>
      <c r="N858" s="465" t="s">
        <v>1472</v>
      </c>
      <c r="O858" s="465" t="s">
        <v>973</v>
      </c>
      <c r="P858">
        <f>J858-I858</f>
        <v>23</v>
      </c>
    </row>
    <row r="859" spans="3:16">
      <c r="C859">
        <v>267</v>
      </c>
      <c r="D859" t="s">
        <v>392</v>
      </c>
      <c r="E859">
        <v>8230</v>
      </c>
      <c r="F859" t="s">
        <v>1029</v>
      </c>
      <c r="G859" t="s">
        <v>1013</v>
      </c>
      <c r="I859">
        <v>2</v>
      </c>
      <c r="J859" s="465">
        <v>2</v>
      </c>
      <c r="K859" s="465">
        <v>267</v>
      </c>
      <c r="L859" s="465" t="s">
        <v>392</v>
      </c>
      <c r="M859" s="465">
        <v>8230</v>
      </c>
      <c r="N859" s="465" t="s">
        <v>1029</v>
      </c>
      <c r="O859" s="465" t="s">
        <v>1506</v>
      </c>
    </row>
    <row r="860" spans="3:16">
      <c r="C860">
        <v>271</v>
      </c>
      <c r="D860" t="s">
        <v>396</v>
      </c>
      <c r="E860">
        <v>1045</v>
      </c>
      <c r="F860" t="s">
        <v>1476</v>
      </c>
      <c r="G860" t="s">
        <v>1013</v>
      </c>
      <c r="I860" s="383">
        <v>0</v>
      </c>
      <c r="J860" s="466">
        <v>5</v>
      </c>
      <c r="K860" s="465">
        <v>271</v>
      </c>
      <c r="L860" s="465" t="s">
        <v>396</v>
      </c>
      <c r="M860" s="465">
        <v>1045</v>
      </c>
      <c r="N860" s="465" t="s">
        <v>1476</v>
      </c>
      <c r="O860" s="465" t="s">
        <v>1506</v>
      </c>
      <c r="P860">
        <f>J860-I860</f>
        <v>5</v>
      </c>
    </row>
    <row r="861" spans="3:16">
      <c r="C861">
        <v>271</v>
      </c>
      <c r="D861" t="s">
        <v>396</v>
      </c>
      <c r="E861">
        <v>2198</v>
      </c>
      <c r="F861" t="s">
        <v>1032</v>
      </c>
      <c r="G861" t="s">
        <v>1013</v>
      </c>
      <c r="I861">
        <v>1</v>
      </c>
      <c r="J861" s="465">
        <v>1</v>
      </c>
      <c r="K861" s="465">
        <v>271</v>
      </c>
      <c r="L861" s="465" t="s">
        <v>396</v>
      </c>
      <c r="M861" s="465">
        <v>2198</v>
      </c>
      <c r="N861" s="465" t="s">
        <v>1032</v>
      </c>
      <c r="O861" s="465" t="s">
        <v>666</v>
      </c>
    </row>
    <row r="862" spans="3:16">
      <c r="C862">
        <v>271</v>
      </c>
      <c r="D862" t="s">
        <v>396</v>
      </c>
      <c r="E862">
        <v>3321</v>
      </c>
      <c r="F862" t="s">
        <v>1047</v>
      </c>
      <c r="G862" t="s">
        <v>1013</v>
      </c>
      <c r="I862">
        <v>3</v>
      </c>
      <c r="J862" s="465">
        <v>3</v>
      </c>
      <c r="K862" s="465">
        <v>271</v>
      </c>
      <c r="L862" s="465" t="s">
        <v>396</v>
      </c>
      <c r="M862" s="465">
        <v>3321</v>
      </c>
      <c r="N862" s="465" t="s">
        <v>1047</v>
      </c>
      <c r="O862" s="465" t="s">
        <v>666</v>
      </c>
    </row>
    <row r="863" spans="3:16">
      <c r="C863">
        <v>271</v>
      </c>
      <c r="D863" t="s">
        <v>396</v>
      </c>
      <c r="E863">
        <v>3349</v>
      </c>
      <c r="F863" t="s">
        <v>1478</v>
      </c>
      <c r="G863" t="s">
        <v>1013</v>
      </c>
      <c r="I863">
        <v>1</v>
      </c>
      <c r="J863" s="465">
        <v>1</v>
      </c>
      <c r="K863" s="465">
        <v>271</v>
      </c>
      <c r="L863" s="465" t="s">
        <v>396</v>
      </c>
      <c r="M863" s="465">
        <v>3349</v>
      </c>
      <c r="N863" s="465" t="s">
        <v>1478</v>
      </c>
      <c r="O863" s="465" t="s">
        <v>666</v>
      </c>
    </row>
    <row r="864" spans="3:16">
      <c r="C864">
        <v>271</v>
      </c>
      <c r="D864" t="s">
        <v>396</v>
      </c>
      <c r="E864">
        <v>3379</v>
      </c>
      <c r="F864" t="s">
        <v>1051</v>
      </c>
      <c r="G864" t="s">
        <v>1013</v>
      </c>
      <c r="I864">
        <v>2</v>
      </c>
      <c r="J864" s="465">
        <v>2</v>
      </c>
      <c r="K864" s="465">
        <v>271</v>
      </c>
      <c r="L864" s="465" t="s">
        <v>396</v>
      </c>
      <c r="M864" s="465">
        <v>3379</v>
      </c>
      <c r="N864" s="465" t="s">
        <v>1051</v>
      </c>
      <c r="O864" s="465" t="s">
        <v>666</v>
      </c>
    </row>
    <row r="865" spans="3:16">
      <c r="C865">
        <v>271</v>
      </c>
      <c r="D865" t="s">
        <v>396</v>
      </c>
      <c r="E865">
        <v>3395</v>
      </c>
      <c r="F865" t="s">
        <v>1479</v>
      </c>
      <c r="G865" t="s">
        <v>1013</v>
      </c>
      <c r="I865">
        <v>1</v>
      </c>
      <c r="J865" s="465">
        <v>1</v>
      </c>
      <c r="K865" s="465">
        <v>271</v>
      </c>
      <c r="L865" s="465" t="s">
        <v>396</v>
      </c>
      <c r="M865" s="465">
        <v>3395</v>
      </c>
      <c r="N865" s="465" t="s">
        <v>1479</v>
      </c>
      <c r="O865" s="465" t="s">
        <v>666</v>
      </c>
    </row>
    <row r="866" spans="3:16">
      <c r="C866">
        <v>271</v>
      </c>
      <c r="D866" t="s">
        <v>396</v>
      </c>
      <c r="E866">
        <v>3401</v>
      </c>
      <c r="F866" t="s">
        <v>1034</v>
      </c>
      <c r="G866" t="s">
        <v>1013</v>
      </c>
      <c r="I866">
        <v>1</v>
      </c>
      <c r="J866" s="465">
        <v>1</v>
      </c>
      <c r="K866" s="465">
        <v>271</v>
      </c>
      <c r="L866" s="465" t="s">
        <v>396</v>
      </c>
      <c r="M866" s="465">
        <v>3401</v>
      </c>
      <c r="N866" s="465" t="s">
        <v>1034</v>
      </c>
      <c r="O866" s="465" t="s">
        <v>1506</v>
      </c>
    </row>
    <row r="867" spans="3:16">
      <c r="C867">
        <v>271</v>
      </c>
      <c r="D867" t="s">
        <v>396</v>
      </c>
      <c r="E867">
        <v>3411</v>
      </c>
      <c r="F867" t="s">
        <v>1036</v>
      </c>
      <c r="G867" t="s">
        <v>1013</v>
      </c>
      <c r="I867">
        <v>2</v>
      </c>
      <c r="J867" s="465">
        <v>2</v>
      </c>
      <c r="K867" s="465">
        <v>271</v>
      </c>
      <c r="L867" s="465" t="s">
        <v>396</v>
      </c>
      <c r="M867" s="465">
        <v>3411</v>
      </c>
      <c r="N867" s="465" t="s">
        <v>1036</v>
      </c>
      <c r="O867" s="465" t="s">
        <v>666</v>
      </c>
    </row>
    <row r="868" spans="3:16">
      <c r="C868" s="467">
        <v>271</v>
      </c>
      <c r="D868" s="467" t="s">
        <v>396</v>
      </c>
      <c r="E868" s="467">
        <v>38065</v>
      </c>
      <c r="F868" s="467" t="s">
        <v>1480</v>
      </c>
      <c r="G868" s="467" t="s">
        <v>1013</v>
      </c>
      <c r="H868" s="467"/>
      <c r="I868" s="467">
        <v>2</v>
      </c>
      <c r="J868" s="468">
        <v>2</v>
      </c>
      <c r="K868" s="468">
        <v>271</v>
      </c>
      <c r="L868" s="468" t="s">
        <v>396</v>
      </c>
      <c r="M868" s="468">
        <v>38065</v>
      </c>
      <c r="N868" s="468" t="s">
        <v>1480</v>
      </c>
      <c r="O868" s="468" t="s">
        <v>666</v>
      </c>
    </row>
    <row r="869" spans="3:16">
      <c r="C869">
        <v>271</v>
      </c>
      <c r="D869" t="s">
        <v>396</v>
      </c>
      <c r="E869">
        <v>5725</v>
      </c>
      <c r="F869" t="s">
        <v>1038</v>
      </c>
      <c r="G869" t="s">
        <v>1013</v>
      </c>
      <c r="I869">
        <v>1</v>
      </c>
      <c r="J869" s="465">
        <v>1</v>
      </c>
      <c r="K869" s="465">
        <v>271</v>
      </c>
      <c r="L869" s="465" t="s">
        <v>396</v>
      </c>
      <c r="M869" s="465">
        <v>5725</v>
      </c>
      <c r="N869" s="465" t="s">
        <v>1038</v>
      </c>
      <c r="O869" s="465" t="s">
        <v>666</v>
      </c>
    </row>
    <row r="870" spans="3:16">
      <c r="C870">
        <v>271</v>
      </c>
      <c r="D870" t="s">
        <v>396</v>
      </c>
      <c r="E870">
        <v>7045</v>
      </c>
      <c r="F870" t="s">
        <v>1481</v>
      </c>
      <c r="G870" t="s">
        <v>1013</v>
      </c>
      <c r="I870">
        <v>1</v>
      </c>
      <c r="J870" s="465">
        <v>1</v>
      </c>
      <c r="K870" s="465">
        <v>271</v>
      </c>
      <c r="L870" s="465" t="s">
        <v>396</v>
      </c>
      <c r="M870" s="465">
        <v>7045</v>
      </c>
      <c r="N870" s="465" t="s">
        <v>1481</v>
      </c>
      <c r="O870" s="465" t="s">
        <v>666</v>
      </c>
    </row>
    <row r="871" spans="3:16">
      <c r="C871">
        <v>271</v>
      </c>
      <c r="D871" t="s">
        <v>396</v>
      </c>
      <c r="E871">
        <v>7203</v>
      </c>
      <c r="F871" t="s">
        <v>1482</v>
      </c>
      <c r="G871" t="s">
        <v>1013</v>
      </c>
      <c r="I871">
        <v>57</v>
      </c>
      <c r="J871" s="465">
        <v>57</v>
      </c>
      <c r="K871" s="465">
        <v>271</v>
      </c>
      <c r="L871" s="465" t="s">
        <v>396</v>
      </c>
      <c r="M871" s="465">
        <v>7203</v>
      </c>
      <c r="N871" s="465" t="s">
        <v>1482</v>
      </c>
      <c r="O871" s="465" t="s">
        <v>666</v>
      </c>
    </row>
    <row r="872" spans="3:16">
      <c r="C872">
        <v>271</v>
      </c>
      <c r="D872" t="s">
        <v>396</v>
      </c>
      <c r="E872">
        <v>7592</v>
      </c>
      <c r="F872" t="s">
        <v>1483</v>
      </c>
      <c r="G872" t="s">
        <v>1013</v>
      </c>
      <c r="I872">
        <v>2</v>
      </c>
      <c r="J872" s="465">
        <v>2</v>
      </c>
      <c r="K872" s="465">
        <v>271</v>
      </c>
      <c r="L872" s="465" t="s">
        <v>396</v>
      </c>
      <c r="M872" s="465">
        <v>7592</v>
      </c>
      <c r="N872" s="465" t="s">
        <v>1483</v>
      </c>
      <c r="O872" s="465" t="s">
        <v>666</v>
      </c>
    </row>
    <row r="873" spans="3:16">
      <c r="C873">
        <v>271</v>
      </c>
      <c r="D873" t="s">
        <v>396</v>
      </c>
      <c r="E873">
        <v>8193</v>
      </c>
      <c r="F873" t="s">
        <v>1472</v>
      </c>
      <c r="G873" t="s">
        <v>1027</v>
      </c>
      <c r="I873">
        <v>1</v>
      </c>
      <c r="J873" s="465">
        <v>1</v>
      </c>
      <c r="K873" s="465">
        <v>271</v>
      </c>
      <c r="L873" s="465" t="s">
        <v>396</v>
      </c>
      <c r="M873" s="465">
        <v>8193</v>
      </c>
      <c r="N873" s="465" t="s">
        <v>1472</v>
      </c>
      <c r="O873" s="465" t="s">
        <v>973</v>
      </c>
    </row>
    <row r="874" spans="3:16">
      <c r="C874">
        <v>271</v>
      </c>
      <c r="D874" t="s">
        <v>396</v>
      </c>
      <c r="E874">
        <v>8930</v>
      </c>
      <c r="F874" t="s">
        <v>1040</v>
      </c>
      <c r="G874" t="s">
        <v>1013</v>
      </c>
      <c r="I874">
        <v>3</v>
      </c>
      <c r="J874" s="465">
        <v>3</v>
      </c>
      <c r="K874" s="465">
        <v>271</v>
      </c>
      <c r="L874" s="465" t="s">
        <v>396</v>
      </c>
      <c r="M874" s="465">
        <v>8930</v>
      </c>
      <c r="N874" s="465" t="s">
        <v>1040</v>
      </c>
      <c r="O874" s="465" t="s">
        <v>1506</v>
      </c>
    </row>
    <row r="875" spans="3:16">
      <c r="C875">
        <v>272</v>
      </c>
      <c r="D875" t="s">
        <v>734</v>
      </c>
      <c r="E875">
        <v>1283</v>
      </c>
      <c r="F875" t="s">
        <v>1043</v>
      </c>
      <c r="G875" t="s">
        <v>1013</v>
      </c>
      <c r="I875">
        <v>1</v>
      </c>
      <c r="J875" s="465">
        <v>1</v>
      </c>
      <c r="K875" s="465">
        <v>272</v>
      </c>
      <c r="L875" s="465" t="s">
        <v>388</v>
      </c>
      <c r="M875" s="465">
        <v>1283</v>
      </c>
      <c r="N875" s="465" t="s">
        <v>1043</v>
      </c>
      <c r="O875" s="465" t="s">
        <v>1506</v>
      </c>
    </row>
    <row r="876" spans="3:16">
      <c r="C876">
        <v>272</v>
      </c>
      <c r="D876" t="s">
        <v>734</v>
      </c>
      <c r="E876">
        <v>3282</v>
      </c>
      <c r="F876" t="s">
        <v>1022</v>
      </c>
      <c r="G876" t="s">
        <v>1013</v>
      </c>
      <c r="I876">
        <v>1</v>
      </c>
      <c r="J876" s="465">
        <v>1</v>
      </c>
      <c r="K876" s="465">
        <v>272</v>
      </c>
      <c r="L876" s="465" t="s">
        <v>388</v>
      </c>
      <c r="M876" s="465">
        <v>3282</v>
      </c>
      <c r="N876" s="465" t="s">
        <v>1022</v>
      </c>
      <c r="O876" s="465" t="s">
        <v>666</v>
      </c>
    </row>
    <row r="877" spans="3:16">
      <c r="C877">
        <v>272</v>
      </c>
      <c r="D877" t="s">
        <v>734</v>
      </c>
      <c r="E877">
        <v>3285</v>
      </c>
      <c r="F877" t="s">
        <v>1485</v>
      </c>
      <c r="G877" t="s">
        <v>1013</v>
      </c>
      <c r="I877" s="383">
        <v>8</v>
      </c>
      <c r="J877" s="466">
        <v>9</v>
      </c>
      <c r="K877" s="465">
        <v>272</v>
      </c>
      <c r="L877" s="465" t="s">
        <v>388</v>
      </c>
      <c r="M877" s="465">
        <v>3285</v>
      </c>
      <c r="N877" s="465" t="s">
        <v>1485</v>
      </c>
      <c r="O877" s="465" t="s">
        <v>666</v>
      </c>
      <c r="P877">
        <f>J877-I877</f>
        <v>1</v>
      </c>
    </row>
    <row r="878" spans="3:16">
      <c r="C878">
        <v>272</v>
      </c>
      <c r="D878" t="s">
        <v>734</v>
      </c>
      <c r="E878">
        <v>3310</v>
      </c>
      <c r="F878" t="s">
        <v>1045</v>
      </c>
      <c r="G878" t="s">
        <v>1013</v>
      </c>
      <c r="I878">
        <v>2</v>
      </c>
      <c r="J878" s="465">
        <v>2</v>
      </c>
      <c r="K878" s="465">
        <v>272</v>
      </c>
      <c r="L878" s="465" t="s">
        <v>388</v>
      </c>
      <c r="M878" s="465">
        <v>3310</v>
      </c>
      <c r="N878" s="465" t="s">
        <v>1045</v>
      </c>
      <c r="O878" s="465" t="s">
        <v>666</v>
      </c>
    </row>
    <row r="879" spans="3:16">
      <c r="C879">
        <v>272</v>
      </c>
      <c r="D879" t="s">
        <v>734</v>
      </c>
      <c r="E879">
        <v>3321</v>
      </c>
      <c r="F879" t="s">
        <v>1047</v>
      </c>
      <c r="G879" t="s">
        <v>1013</v>
      </c>
      <c r="I879">
        <v>1</v>
      </c>
      <c r="J879" s="465">
        <v>1</v>
      </c>
      <c r="K879" s="465">
        <v>272</v>
      </c>
      <c r="L879" s="465" t="s">
        <v>388</v>
      </c>
      <c r="M879" s="465">
        <v>3321</v>
      </c>
      <c r="N879" s="465" t="s">
        <v>1047</v>
      </c>
      <c r="O879" s="465" t="s">
        <v>666</v>
      </c>
    </row>
    <row r="880" spans="3:16">
      <c r="C880">
        <v>272</v>
      </c>
      <c r="D880" t="s">
        <v>734</v>
      </c>
      <c r="E880">
        <v>3351</v>
      </c>
      <c r="F880" t="s">
        <v>1486</v>
      </c>
      <c r="G880" t="s">
        <v>1013</v>
      </c>
      <c r="I880">
        <v>1</v>
      </c>
      <c r="J880" s="465">
        <v>1</v>
      </c>
      <c r="K880" s="465">
        <v>272</v>
      </c>
      <c r="L880" s="465" t="s">
        <v>388</v>
      </c>
      <c r="M880" s="465">
        <v>3351</v>
      </c>
      <c r="N880" s="465" t="s">
        <v>1486</v>
      </c>
      <c r="O880" s="465" t="s">
        <v>666</v>
      </c>
    </row>
    <row r="881" spans="3:16">
      <c r="C881">
        <v>272</v>
      </c>
      <c r="D881" t="s">
        <v>734</v>
      </c>
      <c r="E881">
        <v>3370</v>
      </c>
      <c r="F881" t="s">
        <v>1049</v>
      </c>
      <c r="G881" t="s">
        <v>1013</v>
      </c>
      <c r="I881">
        <v>1</v>
      </c>
      <c r="J881" s="465">
        <v>1</v>
      </c>
      <c r="K881" s="465">
        <v>272</v>
      </c>
      <c r="L881" s="465" t="s">
        <v>388</v>
      </c>
      <c r="M881" s="465">
        <v>3370</v>
      </c>
      <c r="N881" s="465" t="s">
        <v>1049</v>
      </c>
      <c r="O881" s="465" t="s">
        <v>666</v>
      </c>
    </row>
    <row r="882" spans="3:16">
      <c r="C882">
        <v>272</v>
      </c>
      <c r="D882" t="s">
        <v>734</v>
      </c>
      <c r="E882">
        <v>3374</v>
      </c>
      <c r="F882" t="s">
        <v>1487</v>
      </c>
      <c r="G882" t="s">
        <v>1013</v>
      </c>
      <c r="I882">
        <v>1</v>
      </c>
      <c r="J882" s="465">
        <v>1</v>
      </c>
      <c r="K882" s="465">
        <v>272</v>
      </c>
      <c r="L882" s="465" t="s">
        <v>388</v>
      </c>
      <c r="M882" s="465">
        <v>3374</v>
      </c>
      <c r="N882" s="465" t="s">
        <v>1487</v>
      </c>
      <c r="O882" s="465" t="s">
        <v>666</v>
      </c>
    </row>
    <row r="883" spans="3:16">
      <c r="C883">
        <v>272</v>
      </c>
      <c r="D883" t="s">
        <v>734</v>
      </c>
      <c r="E883">
        <v>3379</v>
      </c>
      <c r="F883" t="s">
        <v>1051</v>
      </c>
      <c r="G883" t="s">
        <v>1013</v>
      </c>
      <c r="I883">
        <v>1</v>
      </c>
      <c r="J883" s="465">
        <v>1</v>
      </c>
      <c r="K883" s="465">
        <v>272</v>
      </c>
      <c r="L883" s="465" t="s">
        <v>388</v>
      </c>
      <c r="M883" s="465">
        <v>3379</v>
      </c>
      <c r="N883" s="465" t="s">
        <v>1051</v>
      </c>
      <c r="O883" s="465" t="s">
        <v>666</v>
      </c>
    </row>
    <row r="884" spans="3:16">
      <c r="C884">
        <v>272</v>
      </c>
      <c r="D884" t="s">
        <v>734</v>
      </c>
      <c r="E884">
        <v>3449</v>
      </c>
      <c r="F884" t="s">
        <v>1015</v>
      </c>
      <c r="G884" t="s">
        <v>1013</v>
      </c>
      <c r="I884">
        <v>1</v>
      </c>
      <c r="J884" s="465">
        <v>1</v>
      </c>
      <c r="K884" s="465">
        <v>272</v>
      </c>
      <c r="L884" s="465" t="s">
        <v>388</v>
      </c>
      <c r="M884" s="465">
        <v>3449</v>
      </c>
      <c r="N884" s="465" t="s">
        <v>1015</v>
      </c>
      <c r="O884" s="465" t="s">
        <v>666</v>
      </c>
    </row>
    <row r="885" spans="3:16">
      <c r="C885">
        <v>272</v>
      </c>
      <c r="D885" t="s">
        <v>734</v>
      </c>
      <c r="E885">
        <v>8230</v>
      </c>
      <c r="F885" t="s">
        <v>1029</v>
      </c>
      <c r="G885" t="s">
        <v>1013</v>
      </c>
      <c r="I885" s="383">
        <v>0</v>
      </c>
      <c r="J885" s="466">
        <v>1</v>
      </c>
      <c r="K885" s="465">
        <v>272</v>
      </c>
      <c r="L885" s="465" t="s">
        <v>388</v>
      </c>
      <c r="M885" s="465">
        <v>8230</v>
      </c>
      <c r="N885" s="465" t="s">
        <v>1029</v>
      </c>
      <c r="O885" s="465" t="s">
        <v>1506</v>
      </c>
      <c r="P885">
        <f>J885-I885</f>
        <v>1</v>
      </c>
    </row>
    <row r="886" spans="3:16">
      <c r="C886">
        <v>272</v>
      </c>
      <c r="D886" t="s">
        <v>734</v>
      </c>
      <c r="E886">
        <v>9632</v>
      </c>
      <c r="F886" t="s">
        <v>1488</v>
      </c>
      <c r="G886" t="s">
        <v>1027</v>
      </c>
      <c r="I886" s="383">
        <v>0</v>
      </c>
      <c r="J886" s="466">
        <v>3</v>
      </c>
      <c r="K886" s="465">
        <v>272</v>
      </c>
      <c r="L886" s="465" t="s">
        <v>388</v>
      </c>
      <c r="M886" s="465">
        <v>9632</v>
      </c>
      <c r="N886" s="465" t="s">
        <v>1488</v>
      </c>
      <c r="O886" s="465" t="s">
        <v>973</v>
      </c>
      <c r="P886">
        <f>J886-I886</f>
        <v>3</v>
      </c>
    </row>
    <row r="887" spans="3:16">
      <c r="C887">
        <v>273</v>
      </c>
      <c r="D887" t="s">
        <v>735</v>
      </c>
      <c r="E887">
        <v>1755</v>
      </c>
      <c r="F887" t="s">
        <v>1489</v>
      </c>
      <c r="G887" t="s">
        <v>1013</v>
      </c>
      <c r="I887">
        <v>83</v>
      </c>
      <c r="J887" s="465">
        <v>83</v>
      </c>
      <c r="K887" s="465">
        <v>273</v>
      </c>
      <c r="L887" s="465" t="s">
        <v>402</v>
      </c>
      <c r="M887" s="465">
        <v>1755</v>
      </c>
      <c r="N887" s="465" t="s">
        <v>1489</v>
      </c>
      <c r="O887" s="465" t="s">
        <v>666</v>
      </c>
    </row>
    <row r="888" spans="3:16">
      <c r="C888">
        <v>273</v>
      </c>
      <c r="D888" t="s">
        <v>735</v>
      </c>
      <c r="E888">
        <v>21085</v>
      </c>
      <c r="F888" t="s">
        <v>1491</v>
      </c>
      <c r="G888" t="s">
        <v>1013</v>
      </c>
      <c r="I888">
        <v>3</v>
      </c>
      <c r="J888" s="465">
        <v>3</v>
      </c>
      <c r="K888" s="465">
        <v>273</v>
      </c>
      <c r="L888" s="465" t="s">
        <v>402</v>
      </c>
      <c r="M888" s="465">
        <v>21085</v>
      </c>
      <c r="N888" s="465" t="s">
        <v>1491</v>
      </c>
      <c r="O888" s="465" t="s">
        <v>666</v>
      </c>
    </row>
    <row r="889" spans="3:16">
      <c r="C889">
        <v>273</v>
      </c>
      <c r="D889" t="s">
        <v>735</v>
      </c>
      <c r="E889">
        <v>38093</v>
      </c>
      <c r="F889" t="s">
        <v>1420</v>
      </c>
      <c r="G889" t="s">
        <v>1013</v>
      </c>
      <c r="I889">
        <v>1</v>
      </c>
      <c r="J889" s="465">
        <v>1</v>
      </c>
      <c r="K889" s="465">
        <v>273</v>
      </c>
      <c r="L889" s="465" t="s">
        <v>402</v>
      </c>
      <c r="M889" s="465">
        <v>38093</v>
      </c>
      <c r="N889" s="465" t="s">
        <v>1420</v>
      </c>
      <c r="O889" s="465" t="s">
        <v>666</v>
      </c>
    </row>
    <row r="890" spans="3:16">
      <c r="C890">
        <v>275</v>
      </c>
      <c r="D890" t="s">
        <v>390</v>
      </c>
      <c r="E890">
        <v>1048</v>
      </c>
      <c r="F890" t="s">
        <v>1055</v>
      </c>
      <c r="G890" t="s">
        <v>1013</v>
      </c>
      <c r="I890" s="383">
        <v>8</v>
      </c>
      <c r="J890" s="466">
        <v>14</v>
      </c>
      <c r="K890" s="465">
        <v>275</v>
      </c>
      <c r="L890" s="465" t="s">
        <v>390</v>
      </c>
      <c r="M890" s="465">
        <v>1048</v>
      </c>
      <c r="N890" s="465" t="s">
        <v>1055</v>
      </c>
      <c r="O890" s="465" t="s">
        <v>1506</v>
      </c>
      <c r="P890">
        <f>J890-I890</f>
        <v>6</v>
      </c>
    </row>
    <row r="891" spans="3:16">
      <c r="C891">
        <v>275</v>
      </c>
      <c r="D891" t="s">
        <v>390</v>
      </c>
      <c r="E891">
        <v>1761</v>
      </c>
      <c r="F891" t="s">
        <v>1492</v>
      </c>
      <c r="G891" t="s">
        <v>1013</v>
      </c>
      <c r="I891">
        <v>1</v>
      </c>
      <c r="J891" s="465">
        <v>1</v>
      </c>
      <c r="K891" s="465">
        <v>275</v>
      </c>
      <c r="L891" s="465" t="s">
        <v>390</v>
      </c>
      <c r="M891" s="465">
        <v>1761</v>
      </c>
      <c r="N891" s="465" t="s">
        <v>1492</v>
      </c>
      <c r="O891" s="465" t="s">
        <v>666</v>
      </c>
    </row>
    <row r="892" spans="3:16">
      <c r="C892">
        <v>275</v>
      </c>
      <c r="D892" t="s">
        <v>390</v>
      </c>
      <c r="E892">
        <v>3282</v>
      </c>
      <c r="F892" t="s">
        <v>1022</v>
      </c>
      <c r="G892" t="s">
        <v>1013</v>
      </c>
      <c r="I892">
        <v>9</v>
      </c>
      <c r="J892" s="465">
        <v>9</v>
      </c>
      <c r="K892" s="465">
        <v>275</v>
      </c>
      <c r="L892" s="465" t="s">
        <v>390</v>
      </c>
      <c r="M892" s="465">
        <v>3282</v>
      </c>
      <c r="N892" s="465" t="s">
        <v>1022</v>
      </c>
      <c r="O892" s="465" t="s">
        <v>666</v>
      </c>
    </row>
    <row r="893" spans="3:16">
      <c r="C893">
        <v>275</v>
      </c>
      <c r="D893" t="s">
        <v>390</v>
      </c>
      <c r="E893">
        <v>3285</v>
      </c>
      <c r="F893" t="s">
        <v>1485</v>
      </c>
      <c r="G893" t="s">
        <v>1013</v>
      </c>
      <c r="I893">
        <v>2</v>
      </c>
      <c r="J893" s="465">
        <v>1</v>
      </c>
      <c r="K893" s="465">
        <v>275</v>
      </c>
      <c r="L893" s="465" t="s">
        <v>390</v>
      </c>
      <c r="M893" s="465">
        <v>3285</v>
      </c>
      <c r="N893" s="465" t="s">
        <v>1485</v>
      </c>
      <c r="O893" s="465" t="s">
        <v>666</v>
      </c>
    </row>
    <row r="894" spans="3:16">
      <c r="C894">
        <v>275</v>
      </c>
      <c r="D894" t="s">
        <v>390</v>
      </c>
      <c r="E894">
        <v>3303</v>
      </c>
      <c r="F894" t="s">
        <v>1493</v>
      </c>
      <c r="G894" t="s">
        <v>1013</v>
      </c>
      <c r="I894">
        <v>1</v>
      </c>
      <c r="J894" s="465">
        <v>1</v>
      </c>
      <c r="K894" s="465">
        <v>275</v>
      </c>
      <c r="L894" s="465" t="s">
        <v>390</v>
      </c>
      <c r="M894" s="465">
        <v>3303</v>
      </c>
      <c r="N894" s="465" t="s">
        <v>1493</v>
      </c>
      <c r="O894" s="465" t="s">
        <v>666</v>
      </c>
    </row>
    <row r="895" spans="3:16">
      <c r="C895">
        <v>275</v>
      </c>
      <c r="D895" t="s">
        <v>390</v>
      </c>
      <c r="E895">
        <v>3304</v>
      </c>
      <c r="F895" t="s">
        <v>1494</v>
      </c>
      <c r="G895" t="s">
        <v>1013</v>
      </c>
      <c r="I895">
        <v>2</v>
      </c>
      <c r="J895" s="465">
        <v>2</v>
      </c>
      <c r="K895" s="465">
        <v>275</v>
      </c>
      <c r="L895" s="465" t="s">
        <v>390</v>
      </c>
      <c r="M895" s="465">
        <v>3304</v>
      </c>
      <c r="N895" s="465" t="s">
        <v>1494</v>
      </c>
      <c r="O895" s="465" t="s">
        <v>666</v>
      </c>
    </row>
    <row r="896" spans="3:16">
      <c r="C896">
        <v>275</v>
      </c>
      <c r="D896" t="s">
        <v>390</v>
      </c>
      <c r="E896">
        <v>3305</v>
      </c>
      <c r="F896" t="s">
        <v>1024</v>
      </c>
      <c r="G896" t="s">
        <v>1013</v>
      </c>
      <c r="I896">
        <v>3</v>
      </c>
      <c r="J896" s="465">
        <v>3</v>
      </c>
      <c r="K896" s="465">
        <v>275</v>
      </c>
      <c r="L896" s="465" t="s">
        <v>390</v>
      </c>
      <c r="M896" s="465">
        <v>3305</v>
      </c>
      <c r="N896" s="465" t="s">
        <v>1024</v>
      </c>
      <c r="O896" s="465" t="s">
        <v>666</v>
      </c>
    </row>
    <row r="897" spans="3:15">
      <c r="C897">
        <v>275</v>
      </c>
      <c r="D897" t="s">
        <v>390</v>
      </c>
      <c r="E897">
        <v>3310</v>
      </c>
      <c r="F897" t="s">
        <v>1045</v>
      </c>
      <c r="G897" t="s">
        <v>1013</v>
      </c>
      <c r="I897">
        <v>7</v>
      </c>
      <c r="J897" s="465">
        <v>7</v>
      </c>
      <c r="K897" s="465">
        <v>275</v>
      </c>
      <c r="L897" s="465" t="s">
        <v>390</v>
      </c>
      <c r="M897" s="465">
        <v>3310</v>
      </c>
      <c r="N897" s="465" t="s">
        <v>1045</v>
      </c>
      <c r="O897" s="465" t="s">
        <v>666</v>
      </c>
    </row>
    <row r="898" spans="3:15">
      <c r="C898">
        <v>275</v>
      </c>
      <c r="D898" t="s">
        <v>390</v>
      </c>
      <c r="E898">
        <v>3313</v>
      </c>
      <c r="F898" t="s">
        <v>1495</v>
      </c>
      <c r="G898" t="s">
        <v>1013</v>
      </c>
      <c r="I898">
        <v>1</v>
      </c>
      <c r="J898" s="465">
        <v>1</v>
      </c>
      <c r="K898" s="465">
        <v>275</v>
      </c>
      <c r="L898" s="465" t="s">
        <v>390</v>
      </c>
      <c r="M898" s="465">
        <v>3313</v>
      </c>
      <c r="N898" s="465" t="s">
        <v>1495</v>
      </c>
      <c r="O898" s="465" t="s">
        <v>666</v>
      </c>
    </row>
    <row r="899" spans="3:15">
      <c r="C899">
        <v>275</v>
      </c>
      <c r="D899" t="s">
        <v>390</v>
      </c>
      <c r="E899">
        <v>3324</v>
      </c>
      <c r="F899" t="s">
        <v>1496</v>
      </c>
      <c r="G899" t="s">
        <v>1013</v>
      </c>
      <c r="I899">
        <v>7.5</v>
      </c>
      <c r="J899" s="465">
        <v>7.5</v>
      </c>
      <c r="K899" s="465">
        <v>275</v>
      </c>
      <c r="L899" s="465" t="s">
        <v>390</v>
      </c>
      <c r="M899" s="465">
        <v>3324</v>
      </c>
      <c r="N899" s="465" t="s">
        <v>1496</v>
      </c>
      <c r="O899" s="465" t="s">
        <v>666</v>
      </c>
    </row>
    <row r="900" spans="3:15">
      <c r="C900">
        <v>275</v>
      </c>
      <c r="D900" t="s">
        <v>390</v>
      </c>
      <c r="E900">
        <v>3330</v>
      </c>
      <c r="F900" t="s">
        <v>1012</v>
      </c>
      <c r="G900" t="s">
        <v>1013</v>
      </c>
      <c r="I900">
        <v>5</v>
      </c>
      <c r="J900" s="465">
        <v>5</v>
      </c>
      <c r="K900" s="465">
        <v>275</v>
      </c>
      <c r="L900" s="465" t="s">
        <v>390</v>
      </c>
      <c r="M900" s="465">
        <v>3330</v>
      </c>
      <c r="N900" s="465" t="s">
        <v>1012</v>
      </c>
      <c r="O900" s="465" t="s">
        <v>666</v>
      </c>
    </row>
    <row r="901" spans="3:15">
      <c r="C901">
        <v>275</v>
      </c>
      <c r="D901" t="s">
        <v>390</v>
      </c>
      <c r="E901">
        <v>3342</v>
      </c>
      <c r="F901" t="s">
        <v>1057</v>
      </c>
      <c r="G901" t="s">
        <v>1013</v>
      </c>
      <c r="I901">
        <v>2</v>
      </c>
      <c r="J901" s="465">
        <v>2</v>
      </c>
      <c r="K901" s="465">
        <v>275</v>
      </c>
      <c r="L901" s="465" t="s">
        <v>390</v>
      </c>
      <c r="M901" s="465">
        <v>3342</v>
      </c>
      <c r="N901" s="465" t="s">
        <v>1057</v>
      </c>
      <c r="O901" s="465" t="s">
        <v>666</v>
      </c>
    </row>
    <row r="902" spans="3:15">
      <c r="C902">
        <v>275</v>
      </c>
      <c r="D902" t="s">
        <v>390</v>
      </c>
      <c r="E902">
        <v>3343</v>
      </c>
      <c r="F902" t="s">
        <v>1473</v>
      </c>
      <c r="G902" t="s">
        <v>1013</v>
      </c>
      <c r="I902">
        <v>1</v>
      </c>
      <c r="J902" s="465">
        <v>1</v>
      </c>
      <c r="K902" s="465">
        <v>275</v>
      </c>
      <c r="L902" s="465" t="s">
        <v>390</v>
      </c>
      <c r="M902" s="465">
        <v>3343</v>
      </c>
      <c r="N902" s="465" t="s">
        <v>1473</v>
      </c>
      <c r="O902" s="465" t="s">
        <v>666</v>
      </c>
    </row>
    <row r="903" spans="3:15">
      <c r="C903">
        <v>275</v>
      </c>
      <c r="D903" t="s">
        <v>390</v>
      </c>
      <c r="E903">
        <v>3350</v>
      </c>
      <c r="F903" t="s">
        <v>1059</v>
      </c>
      <c r="G903" t="s">
        <v>1013</v>
      </c>
      <c r="I903">
        <v>2</v>
      </c>
      <c r="J903" s="465">
        <v>2</v>
      </c>
      <c r="K903" s="465">
        <v>275</v>
      </c>
      <c r="L903" s="465" t="s">
        <v>390</v>
      </c>
      <c r="M903" s="465">
        <v>3350</v>
      </c>
      <c r="N903" s="465" t="s">
        <v>1059</v>
      </c>
      <c r="O903" s="465" t="s">
        <v>666</v>
      </c>
    </row>
    <row r="904" spans="3:15">
      <c r="C904">
        <v>275</v>
      </c>
      <c r="D904" t="s">
        <v>390</v>
      </c>
      <c r="E904">
        <v>3362</v>
      </c>
      <c r="F904" t="s">
        <v>1061</v>
      </c>
      <c r="G904" t="s">
        <v>1013</v>
      </c>
      <c r="I904">
        <v>3</v>
      </c>
      <c r="J904" s="465">
        <v>3</v>
      </c>
      <c r="K904" s="465">
        <v>275</v>
      </c>
      <c r="L904" s="465" t="s">
        <v>390</v>
      </c>
      <c r="M904" s="465">
        <v>3362</v>
      </c>
      <c r="N904" s="465" t="s">
        <v>1061</v>
      </c>
      <c r="O904" s="465" t="s">
        <v>666</v>
      </c>
    </row>
    <row r="905" spans="3:15">
      <c r="C905">
        <v>275</v>
      </c>
      <c r="D905" t="s">
        <v>390</v>
      </c>
      <c r="E905">
        <v>3372</v>
      </c>
      <c r="F905" t="s">
        <v>976</v>
      </c>
      <c r="G905" t="s">
        <v>1013</v>
      </c>
      <c r="I905">
        <v>3</v>
      </c>
      <c r="J905" s="465">
        <v>3</v>
      </c>
      <c r="K905" s="465">
        <v>275</v>
      </c>
      <c r="L905" s="465" t="s">
        <v>390</v>
      </c>
      <c r="M905" s="465">
        <v>3372</v>
      </c>
      <c r="N905" s="465" t="s">
        <v>976</v>
      </c>
      <c r="O905" s="465" t="s">
        <v>666</v>
      </c>
    </row>
    <row r="906" spans="3:15">
      <c r="C906">
        <v>275</v>
      </c>
      <c r="D906" t="s">
        <v>390</v>
      </c>
      <c r="E906">
        <v>3379</v>
      </c>
      <c r="F906" t="s">
        <v>1051</v>
      </c>
      <c r="G906" t="s">
        <v>1013</v>
      </c>
      <c r="I906">
        <v>2</v>
      </c>
      <c r="J906" s="465">
        <v>2</v>
      </c>
      <c r="K906" s="465">
        <v>275</v>
      </c>
      <c r="L906" s="465" t="s">
        <v>390</v>
      </c>
      <c r="M906" s="465">
        <v>3379</v>
      </c>
      <c r="N906" s="465" t="s">
        <v>1051</v>
      </c>
      <c r="O906" s="465" t="s">
        <v>666</v>
      </c>
    </row>
    <row r="907" spans="3:15">
      <c r="C907">
        <v>275</v>
      </c>
      <c r="D907" t="s">
        <v>390</v>
      </c>
      <c r="E907">
        <v>3400</v>
      </c>
      <c r="F907" t="s">
        <v>1064</v>
      </c>
      <c r="G907" t="s">
        <v>1013</v>
      </c>
      <c r="I907">
        <v>3</v>
      </c>
      <c r="J907" s="465">
        <v>3</v>
      </c>
      <c r="K907" s="465">
        <v>275</v>
      </c>
      <c r="L907" s="465" t="s">
        <v>390</v>
      </c>
      <c r="M907" s="465">
        <v>3400</v>
      </c>
      <c r="N907" s="465" t="s">
        <v>1064</v>
      </c>
      <c r="O907" s="465" t="s">
        <v>666</v>
      </c>
    </row>
    <row r="908" spans="3:15">
      <c r="C908">
        <v>275</v>
      </c>
      <c r="D908" t="s">
        <v>390</v>
      </c>
      <c r="E908">
        <v>3460</v>
      </c>
      <c r="F908" t="s">
        <v>1497</v>
      </c>
      <c r="G908" t="s">
        <v>1013</v>
      </c>
      <c r="I908">
        <v>8</v>
      </c>
      <c r="J908" s="465">
        <v>8</v>
      </c>
      <c r="K908" s="465">
        <v>275</v>
      </c>
      <c r="L908" s="465" t="s">
        <v>390</v>
      </c>
      <c r="M908" s="465">
        <v>3460</v>
      </c>
      <c r="N908" s="465" t="s">
        <v>1497</v>
      </c>
      <c r="O908" s="465" t="s">
        <v>666</v>
      </c>
    </row>
    <row r="909" spans="3:15">
      <c r="C909">
        <v>275</v>
      </c>
      <c r="D909" t="s">
        <v>390</v>
      </c>
      <c r="E909">
        <v>3524</v>
      </c>
      <c r="F909" t="s">
        <v>1498</v>
      </c>
      <c r="G909" t="s">
        <v>1013</v>
      </c>
      <c r="I909">
        <v>3</v>
      </c>
      <c r="J909" s="465">
        <v>3</v>
      </c>
      <c r="K909" s="465">
        <v>275</v>
      </c>
      <c r="L909" s="465" t="s">
        <v>390</v>
      </c>
      <c r="M909" s="465">
        <v>3524</v>
      </c>
      <c r="N909" s="465" t="s">
        <v>1498</v>
      </c>
      <c r="O909" s="465" t="s">
        <v>666</v>
      </c>
    </row>
    <row r="910" spans="3:15">
      <c r="C910">
        <v>275</v>
      </c>
      <c r="D910" t="s">
        <v>390</v>
      </c>
      <c r="E910">
        <v>6003</v>
      </c>
      <c r="F910" t="s">
        <v>1066</v>
      </c>
      <c r="G910" t="s">
        <v>1013</v>
      </c>
      <c r="I910">
        <v>1</v>
      </c>
      <c r="J910" s="465">
        <v>1</v>
      </c>
      <c r="K910" s="465">
        <v>275</v>
      </c>
      <c r="L910" s="465" t="s">
        <v>390</v>
      </c>
      <c r="M910" s="465">
        <v>6003</v>
      </c>
      <c r="N910" s="465" t="s">
        <v>1066</v>
      </c>
      <c r="O910" s="465" t="s">
        <v>1506</v>
      </c>
    </row>
    <row r="911" spans="3:15">
      <c r="C911">
        <v>275</v>
      </c>
      <c r="D911" t="s">
        <v>390</v>
      </c>
      <c r="E911">
        <v>6178</v>
      </c>
      <c r="F911" t="s">
        <v>1068</v>
      </c>
      <c r="G911" t="s">
        <v>1013</v>
      </c>
      <c r="I911">
        <v>1</v>
      </c>
      <c r="J911" s="465">
        <v>1</v>
      </c>
      <c r="K911" s="465">
        <v>275</v>
      </c>
      <c r="L911" s="465" t="s">
        <v>390</v>
      </c>
      <c r="M911" s="465">
        <v>6178</v>
      </c>
      <c r="N911" s="465" t="s">
        <v>1068</v>
      </c>
      <c r="O911" s="465" t="s">
        <v>666</v>
      </c>
    </row>
    <row r="912" spans="3:15">
      <c r="C912">
        <v>275</v>
      </c>
      <c r="D912" t="s">
        <v>390</v>
      </c>
      <c r="E912">
        <v>6407</v>
      </c>
      <c r="F912" t="s">
        <v>1070</v>
      </c>
      <c r="G912" t="s">
        <v>1013</v>
      </c>
      <c r="I912">
        <v>1</v>
      </c>
      <c r="J912" s="465">
        <v>1</v>
      </c>
      <c r="K912" s="465">
        <v>275</v>
      </c>
      <c r="L912" s="465" t="s">
        <v>390</v>
      </c>
      <c r="M912" s="465">
        <v>6407</v>
      </c>
      <c r="N912" s="465" t="s">
        <v>1070</v>
      </c>
      <c r="O912" s="465" t="s">
        <v>666</v>
      </c>
    </row>
    <row r="913" spans="3:16">
      <c r="C913">
        <v>275</v>
      </c>
      <c r="D913" t="s">
        <v>390</v>
      </c>
      <c r="E913">
        <v>6415</v>
      </c>
      <c r="F913" t="s">
        <v>1072</v>
      </c>
      <c r="G913" t="s">
        <v>1013</v>
      </c>
      <c r="I913">
        <v>3</v>
      </c>
      <c r="J913" s="465">
        <v>3</v>
      </c>
      <c r="K913" s="465">
        <v>275</v>
      </c>
      <c r="L913" s="465" t="s">
        <v>390</v>
      </c>
      <c r="M913" s="465">
        <v>6415</v>
      </c>
      <c r="N913" s="465" t="s">
        <v>1072</v>
      </c>
      <c r="O913" s="465" t="s">
        <v>666</v>
      </c>
    </row>
    <row r="914" spans="3:16">
      <c r="C914">
        <v>275</v>
      </c>
      <c r="D914" t="s">
        <v>390</v>
      </c>
      <c r="E914">
        <v>7868</v>
      </c>
      <c r="F914" t="s">
        <v>1499</v>
      </c>
      <c r="G914" t="s">
        <v>1013</v>
      </c>
      <c r="I914" s="383">
        <v>0</v>
      </c>
      <c r="J914" s="466">
        <v>1</v>
      </c>
      <c r="K914" s="465">
        <v>275</v>
      </c>
      <c r="L914" s="465" t="s">
        <v>390</v>
      </c>
      <c r="M914" s="465">
        <v>7868</v>
      </c>
      <c r="N914" s="465" t="s">
        <v>1499</v>
      </c>
      <c r="O914" s="465" t="s">
        <v>1506</v>
      </c>
      <c r="P914">
        <f>J914-I914</f>
        <v>1</v>
      </c>
    </row>
    <row r="915" spans="3:16">
      <c r="C915">
        <v>275</v>
      </c>
      <c r="D915" t="s">
        <v>390</v>
      </c>
      <c r="E915">
        <v>8230</v>
      </c>
      <c r="F915" t="s">
        <v>1029</v>
      </c>
      <c r="G915" t="s">
        <v>1013</v>
      </c>
      <c r="I915" s="383">
        <v>0</v>
      </c>
      <c r="J915" s="466">
        <v>1</v>
      </c>
      <c r="K915" s="465">
        <v>275</v>
      </c>
      <c r="L915" s="465" t="s">
        <v>390</v>
      </c>
      <c r="M915" s="465">
        <v>8230</v>
      </c>
      <c r="N915" s="465" t="s">
        <v>1029</v>
      </c>
      <c r="O915" s="465" t="s">
        <v>1506</v>
      </c>
      <c r="P915">
        <f>J915-I915</f>
        <v>1</v>
      </c>
    </row>
    <row r="916" spans="3:16">
      <c r="C916">
        <v>275</v>
      </c>
      <c r="D916" t="s">
        <v>390</v>
      </c>
      <c r="E916">
        <v>8930</v>
      </c>
      <c r="F916" t="s">
        <v>1040</v>
      </c>
      <c r="G916" t="s">
        <v>1013</v>
      </c>
      <c r="I916" s="383">
        <v>1</v>
      </c>
      <c r="J916" s="466">
        <v>8</v>
      </c>
      <c r="K916" s="465">
        <v>275</v>
      </c>
      <c r="L916" s="465" t="s">
        <v>390</v>
      </c>
      <c r="M916" s="465">
        <v>8930</v>
      </c>
      <c r="N916" s="465" t="s">
        <v>1040</v>
      </c>
      <c r="O916" s="465" t="s">
        <v>1506</v>
      </c>
      <c r="P916">
        <f>J916-I916</f>
        <v>7</v>
      </c>
    </row>
    <row r="917" spans="3:16">
      <c r="C917">
        <v>286</v>
      </c>
      <c r="D917" t="s">
        <v>406</v>
      </c>
      <c r="E917">
        <v>3303</v>
      </c>
      <c r="F917" t="s">
        <v>1493</v>
      </c>
      <c r="G917" t="s">
        <v>1013</v>
      </c>
      <c r="I917">
        <v>1</v>
      </c>
      <c r="J917" s="465">
        <v>1</v>
      </c>
      <c r="K917" s="465">
        <v>286</v>
      </c>
      <c r="L917" s="465" t="s">
        <v>406</v>
      </c>
      <c r="M917" s="465">
        <v>3303</v>
      </c>
      <c r="N917" s="465" t="s">
        <v>1493</v>
      </c>
      <c r="O917" s="465" t="s">
        <v>666</v>
      </c>
    </row>
    <row r="918" spans="3:16">
      <c r="C918">
        <v>286</v>
      </c>
      <c r="D918" t="s">
        <v>406</v>
      </c>
      <c r="E918">
        <v>3310</v>
      </c>
      <c r="F918" t="s">
        <v>1045</v>
      </c>
      <c r="G918" t="s">
        <v>1013</v>
      </c>
      <c r="I918">
        <v>2</v>
      </c>
      <c r="J918" s="465">
        <v>2</v>
      </c>
      <c r="K918" s="465">
        <v>286</v>
      </c>
      <c r="L918" s="465" t="s">
        <v>406</v>
      </c>
      <c r="M918" s="465">
        <v>3310</v>
      </c>
      <c r="N918" s="465" t="s">
        <v>1045</v>
      </c>
      <c r="O918" s="465" t="s">
        <v>666</v>
      </c>
    </row>
    <row r="919" spans="3:16">
      <c r="C919">
        <v>286</v>
      </c>
      <c r="D919" t="s">
        <v>406</v>
      </c>
      <c r="E919">
        <v>5736</v>
      </c>
      <c r="F919" t="s">
        <v>1500</v>
      </c>
      <c r="G919" t="s">
        <v>1013</v>
      </c>
      <c r="I919">
        <v>1</v>
      </c>
      <c r="J919" s="465">
        <v>1</v>
      </c>
      <c r="K919" s="465">
        <v>286</v>
      </c>
      <c r="L919" s="465" t="s">
        <v>406</v>
      </c>
      <c r="M919" s="465">
        <v>5736</v>
      </c>
      <c r="N919" s="465" t="s">
        <v>1500</v>
      </c>
      <c r="O919" s="465" t="s">
        <v>666</v>
      </c>
    </row>
    <row r="920" spans="3:16">
      <c r="C920">
        <v>286</v>
      </c>
      <c r="D920" t="s">
        <v>406</v>
      </c>
      <c r="E920">
        <v>7870</v>
      </c>
      <c r="F920" t="s">
        <v>1501</v>
      </c>
      <c r="G920" t="s">
        <v>1013</v>
      </c>
      <c r="I920">
        <v>29</v>
      </c>
      <c r="J920" s="465">
        <v>29</v>
      </c>
      <c r="K920" s="465">
        <v>286</v>
      </c>
      <c r="L920" s="465" t="s">
        <v>406</v>
      </c>
      <c r="M920" s="465">
        <v>7870</v>
      </c>
      <c r="N920" s="465" t="s">
        <v>1501</v>
      </c>
      <c r="O920" s="465" t="s">
        <v>666</v>
      </c>
    </row>
    <row r="921" spans="3:16">
      <c r="C921">
        <v>288</v>
      </c>
      <c r="D921" t="s">
        <v>398</v>
      </c>
      <c r="E921">
        <v>20891</v>
      </c>
      <c r="F921" t="s">
        <v>1502</v>
      </c>
      <c r="G921" t="s">
        <v>1027</v>
      </c>
      <c r="I921">
        <v>15</v>
      </c>
      <c r="J921" s="465">
        <v>15</v>
      </c>
      <c r="K921" s="465">
        <v>288</v>
      </c>
      <c r="L921" s="465" t="s">
        <v>398</v>
      </c>
      <c r="M921" s="465">
        <v>20891</v>
      </c>
      <c r="N921" s="465" t="s">
        <v>1502</v>
      </c>
      <c r="O921" s="465" t="s">
        <v>973</v>
      </c>
    </row>
    <row r="922" spans="3:16">
      <c r="C922">
        <v>288</v>
      </c>
      <c r="D922" t="s">
        <v>398</v>
      </c>
      <c r="E922">
        <v>3403</v>
      </c>
      <c r="F922" t="s">
        <v>1503</v>
      </c>
      <c r="G922" t="s">
        <v>1013</v>
      </c>
      <c r="I922">
        <v>3</v>
      </c>
      <c r="J922" s="465">
        <v>3</v>
      </c>
      <c r="K922" s="465">
        <v>288</v>
      </c>
      <c r="L922" s="465" t="s">
        <v>398</v>
      </c>
      <c r="M922" s="465">
        <v>3403</v>
      </c>
      <c r="N922" s="465" t="s">
        <v>1503</v>
      </c>
      <c r="O922" s="465" t="s">
        <v>666</v>
      </c>
    </row>
    <row r="923" spans="3:16">
      <c r="C923" s="383">
        <v>295</v>
      </c>
      <c r="D923" s="383" t="s">
        <v>320</v>
      </c>
      <c r="E923" s="383">
        <v>3285</v>
      </c>
      <c r="F923" s="383" t="s">
        <v>1485</v>
      </c>
      <c r="G923" s="383" t="s">
        <v>1013</v>
      </c>
      <c r="H923" s="383"/>
      <c r="I923" s="383">
        <v>1</v>
      </c>
      <c r="J923" s="465"/>
      <c r="K923" s="465"/>
      <c r="L923" s="465"/>
      <c r="M923" s="465"/>
      <c r="N923" s="465"/>
      <c r="O923" s="465"/>
      <c r="P923">
        <f>J923-I923</f>
        <v>-1</v>
      </c>
    </row>
    <row r="924" spans="3:16">
      <c r="C924">
        <v>304</v>
      </c>
      <c r="D924" t="s">
        <v>641</v>
      </c>
      <c r="E924">
        <v>1758</v>
      </c>
      <c r="F924" t="s">
        <v>1020</v>
      </c>
      <c r="G924" t="s">
        <v>1013</v>
      </c>
      <c r="I924">
        <v>9</v>
      </c>
      <c r="J924" s="465">
        <v>9</v>
      </c>
      <c r="K924" s="465">
        <v>304</v>
      </c>
      <c r="L924" s="465" t="s">
        <v>394</v>
      </c>
      <c r="M924" s="465">
        <v>1758</v>
      </c>
      <c r="N924" s="465" t="s">
        <v>1020</v>
      </c>
      <c r="O924" s="465" t="s">
        <v>666</v>
      </c>
    </row>
    <row r="925" spans="3:16">
      <c r="C925">
        <v>304</v>
      </c>
      <c r="D925" t="s">
        <v>641</v>
      </c>
      <c r="E925">
        <v>1765</v>
      </c>
      <c r="F925" t="s">
        <v>1080</v>
      </c>
      <c r="G925" t="s">
        <v>1013</v>
      </c>
      <c r="I925">
        <v>2</v>
      </c>
      <c r="J925" s="465">
        <v>2</v>
      </c>
      <c r="K925" s="465">
        <v>304</v>
      </c>
      <c r="L925" s="465" t="s">
        <v>394</v>
      </c>
      <c r="M925" s="465">
        <v>1765</v>
      </c>
      <c r="N925" s="465" t="s">
        <v>1080</v>
      </c>
      <c r="O925" s="465" t="s">
        <v>666</v>
      </c>
    </row>
    <row r="926" spans="3:16">
      <c r="C926">
        <v>304</v>
      </c>
      <c r="D926" t="s">
        <v>641</v>
      </c>
      <c r="E926">
        <v>3548</v>
      </c>
      <c r="F926" t="s">
        <v>1081</v>
      </c>
      <c r="G926" t="s">
        <v>1013</v>
      </c>
      <c r="I926">
        <v>11</v>
      </c>
      <c r="J926" s="465">
        <v>11</v>
      </c>
      <c r="K926" s="465">
        <v>304</v>
      </c>
      <c r="L926" s="465" t="s">
        <v>394</v>
      </c>
      <c r="M926" s="465">
        <v>3548</v>
      </c>
      <c r="N926" s="465" t="s">
        <v>1081</v>
      </c>
      <c r="O926" s="465" t="s">
        <v>666</v>
      </c>
    </row>
    <row r="927" spans="3:16">
      <c r="C927">
        <v>305</v>
      </c>
      <c r="D927" t="s">
        <v>404</v>
      </c>
      <c r="E927">
        <v>3563</v>
      </c>
      <c r="F927" t="s">
        <v>1267</v>
      </c>
      <c r="G927" t="s">
        <v>1013</v>
      </c>
      <c r="I927">
        <v>15</v>
      </c>
      <c r="J927" s="465">
        <v>15</v>
      </c>
      <c r="K927" s="465">
        <v>305</v>
      </c>
      <c r="L927" s="465" t="s">
        <v>404</v>
      </c>
      <c r="M927" s="465">
        <v>3563</v>
      </c>
      <c r="N927" s="465" t="s">
        <v>1267</v>
      </c>
      <c r="O927" s="465" t="s">
        <v>666</v>
      </c>
    </row>
    <row r="928" spans="3:16">
      <c r="C928" s="383">
        <v>327</v>
      </c>
      <c r="D928" s="383" t="s">
        <v>638</v>
      </c>
      <c r="E928" s="383">
        <v>8193</v>
      </c>
      <c r="F928" s="383" t="s">
        <v>1472</v>
      </c>
      <c r="G928" s="383" t="s">
        <v>1027</v>
      </c>
      <c r="H928" s="383"/>
      <c r="I928" s="383">
        <v>4</v>
      </c>
      <c r="P928">
        <f>J928-I928</f>
        <v>-4</v>
      </c>
    </row>
    <row r="929" spans="9:16">
      <c r="I929">
        <v>432.5</v>
      </c>
      <c r="J929" s="465">
        <v>495.5</v>
      </c>
      <c r="P929">
        <f>SUM(P844:P928)</f>
        <v>64</v>
      </c>
    </row>
    <row r="930" spans="9:16">
      <c r="I930">
        <f>J929-I929</f>
        <v>63</v>
      </c>
      <c r="J930" t="s">
        <v>1517</v>
      </c>
    </row>
  </sheetData>
  <autoFilter ref="A752:T818" xr:uid="{00000000-0009-0000-0000-000036000000}"/>
  <mergeCells count="2">
    <mergeCell ref="M6:O6"/>
    <mergeCell ref="K561:M561"/>
  </mergeCells>
  <pageMargins left="0.7" right="0.7" top="0.75" bottom="0.75" header="0.3" footer="0.3"/>
  <pageSetup orientation="portrait" r:id="rId1"/>
  <headerFooter>
    <oddFooter>&amp;L&amp;"Times New Roman"&amp;8NCR#10431491 - v3A</oddFooter>
  </headerFooter>
  <legacyDrawing r:id="rId2"/>
  <tableParts count="2">
    <tablePart r:id="rId3"/>
    <tablePart r:id="rId4"/>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FFFF00"/>
  </sheetPr>
  <dimension ref="A1:Q37"/>
  <sheetViews>
    <sheetView topLeftCell="A10" workbookViewId="0"/>
  </sheetViews>
  <sheetFormatPr baseColWidth="10" defaultColWidth="9" defaultRowHeight="14"/>
  <cols>
    <col min="2" max="2" width="26.796875" customWidth="1"/>
    <col min="6" max="6" width="16.19921875" customWidth="1"/>
    <col min="7" max="7" width="13" customWidth="1"/>
    <col min="8" max="17" width="10.796875" customWidth="1"/>
  </cols>
  <sheetData>
    <row r="1" spans="1:17" ht="26">
      <c r="A1" s="889" t="s">
        <v>1518</v>
      </c>
    </row>
    <row r="2" spans="1:17" ht="19">
      <c r="A2" s="890" t="s">
        <v>1519</v>
      </c>
    </row>
    <row r="3" spans="1:17">
      <c r="A3" t="s">
        <v>1520</v>
      </c>
    </row>
    <row r="6" spans="1:17" ht="15">
      <c r="H6" s="1731" t="s">
        <v>1521</v>
      </c>
      <c r="I6" s="1731"/>
      <c r="J6" s="1731"/>
      <c r="K6" s="1731"/>
      <c r="L6" s="1731"/>
      <c r="M6" s="1731"/>
      <c r="N6" s="1731"/>
      <c r="O6" s="1731"/>
      <c r="P6" s="1731"/>
      <c r="Q6" s="1731"/>
    </row>
    <row r="7" spans="1:17" ht="96">
      <c r="A7" s="895" t="s">
        <v>1522</v>
      </c>
      <c r="B7" s="896" t="s">
        <v>1523</v>
      </c>
      <c r="C7" s="896" t="s">
        <v>373</v>
      </c>
      <c r="D7" s="896" t="s">
        <v>374</v>
      </c>
      <c r="E7" s="896" t="s">
        <v>375</v>
      </c>
      <c r="F7" s="896" t="s">
        <v>331</v>
      </c>
      <c r="G7" s="896" t="s">
        <v>1524</v>
      </c>
      <c r="H7" s="897" t="s">
        <v>1525</v>
      </c>
      <c r="I7" s="897" t="s">
        <v>1526</v>
      </c>
      <c r="J7" s="897" t="s">
        <v>1527</v>
      </c>
      <c r="K7" s="897" t="s">
        <v>1528</v>
      </c>
      <c r="L7" s="897" t="s">
        <v>1529</v>
      </c>
      <c r="M7" s="898" t="s">
        <v>1530</v>
      </c>
      <c r="N7" s="898" t="s">
        <v>1531</v>
      </c>
      <c r="O7" s="898" t="s">
        <v>1532</v>
      </c>
      <c r="P7" s="898" t="s">
        <v>1533</v>
      </c>
      <c r="Q7" s="898" t="s">
        <v>1534</v>
      </c>
    </row>
    <row r="8" spans="1:17">
      <c r="A8" s="893">
        <v>261</v>
      </c>
      <c r="B8" s="891" t="s">
        <v>733</v>
      </c>
      <c r="C8" s="891">
        <v>3548</v>
      </c>
      <c r="D8" s="891" t="s">
        <v>730</v>
      </c>
      <c r="E8" s="891">
        <v>3370</v>
      </c>
      <c r="F8" s="891" t="s">
        <v>966</v>
      </c>
      <c r="G8" s="892" t="s">
        <v>666</v>
      </c>
      <c r="H8" s="891">
        <v>0</v>
      </c>
      <c r="I8" s="891">
        <v>0</v>
      </c>
      <c r="J8" s="891">
        <v>0</v>
      </c>
      <c r="K8" s="891">
        <v>0</v>
      </c>
      <c r="L8" s="891">
        <v>0</v>
      </c>
      <c r="M8" s="891">
        <v>0</v>
      </c>
      <c r="N8" s="891">
        <v>0</v>
      </c>
      <c r="O8" s="891">
        <v>0</v>
      </c>
      <c r="P8" s="891">
        <v>1</v>
      </c>
      <c r="Q8" s="891">
        <v>0</v>
      </c>
    </row>
    <row r="9" spans="1:17">
      <c r="A9" s="894">
        <v>267</v>
      </c>
      <c r="B9" s="892" t="s">
        <v>392</v>
      </c>
      <c r="C9" s="892">
        <v>3548</v>
      </c>
      <c r="D9" s="892" t="s">
        <v>730</v>
      </c>
      <c r="E9" s="892">
        <v>3282</v>
      </c>
      <c r="F9" s="892" t="s">
        <v>967</v>
      </c>
      <c r="G9" s="892" t="s">
        <v>666</v>
      </c>
      <c r="H9" s="892">
        <v>0</v>
      </c>
      <c r="I9" s="892">
        <v>0</v>
      </c>
      <c r="J9" s="892">
        <v>0</v>
      </c>
      <c r="K9" s="892">
        <v>3</v>
      </c>
      <c r="L9" s="892">
        <v>0</v>
      </c>
      <c r="M9" s="892">
        <v>0</v>
      </c>
      <c r="N9" s="892">
        <v>0</v>
      </c>
      <c r="O9" s="892">
        <v>0</v>
      </c>
      <c r="P9" s="892">
        <v>3</v>
      </c>
      <c r="Q9" s="892">
        <v>0</v>
      </c>
    </row>
    <row r="10" spans="1:17">
      <c r="A10" s="893">
        <v>267</v>
      </c>
      <c r="B10" s="891" t="s">
        <v>392</v>
      </c>
      <c r="C10" s="891">
        <v>3548</v>
      </c>
      <c r="D10" s="891" t="s">
        <v>730</v>
      </c>
      <c r="E10" s="891">
        <v>3310</v>
      </c>
      <c r="F10" s="891" t="s">
        <v>968</v>
      </c>
      <c r="G10" s="892" t="s">
        <v>666</v>
      </c>
      <c r="H10" s="891">
        <v>0</v>
      </c>
      <c r="I10" s="891">
        <v>0</v>
      </c>
      <c r="J10" s="891">
        <v>0</v>
      </c>
      <c r="K10" s="891">
        <v>0</v>
      </c>
      <c r="L10" s="891">
        <v>0</v>
      </c>
      <c r="M10" s="891">
        <v>0</v>
      </c>
      <c r="N10" s="891">
        <v>0</v>
      </c>
      <c r="O10" s="891">
        <v>0</v>
      </c>
      <c r="P10" s="891">
        <v>1</v>
      </c>
      <c r="Q10" s="891">
        <v>0</v>
      </c>
    </row>
    <row r="11" spans="1:17">
      <c r="A11" s="894">
        <v>267</v>
      </c>
      <c r="B11" s="892" t="s">
        <v>392</v>
      </c>
      <c r="C11" s="892">
        <v>3548</v>
      </c>
      <c r="D11" s="892" t="s">
        <v>730</v>
      </c>
      <c r="E11" s="892">
        <v>3362</v>
      </c>
      <c r="F11" s="892" t="s">
        <v>969</v>
      </c>
      <c r="G11" s="892" t="s">
        <v>666</v>
      </c>
      <c r="H11" s="892">
        <v>0</v>
      </c>
      <c r="I11" s="892">
        <v>0</v>
      </c>
      <c r="J11" s="892">
        <v>0</v>
      </c>
      <c r="K11" s="892">
        <v>2</v>
      </c>
      <c r="L11" s="892">
        <v>0</v>
      </c>
      <c r="M11" s="892">
        <v>0</v>
      </c>
      <c r="N11" s="892">
        <v>0</v>
      </c>
      <c r="O11" s="892">
        <v>0</v>
      </c>
      <c r="P11" s="892">
        <v>1</v>
      </c>
      <c r="Q11" s="892">
        <v>0</v>
      </c>
    </row>
    <row r="12" spans="1:17">
      <c r="A12" s="893">
        <v>267</v>
      </c>
      <c r="B12" s="891" t="s">
        <v>392</v>
      </c>
      <c r="C12" s="891">
        <v>3548</v>
      </c>
      <c r="D12" s="891" t="s">
        <v>730</v>
      </c>
      <c r="E12" s="891">
        <v>3395</v>
      </c>
      <c r="F12" s="891" t="s">
        <v>970</v>
      </c>
      <c r="G12" s="892" t="s">
        <v>666</v>
      </c>
      <c r="H12" s="891">
        <v>0</v>
      </c>
      <c r="I12" s="891">
        <v>0</v>
      </c>
      <c r="J12" s="891">
        <v>0</v>
      </c>
      <c r="K12" s="891">
        <v>0</v>
      </c>
      <c r="L12" s="891">
        <v>0</v>
      </c>
      <c r="M12" s="891">
        <v>0</v>
      </c>
      <c r="N12" s="891">
        <v>0</v>
      </c>
      <c r="O12" s="891">
        <v>0</v>
      </c>
      <c r="P12" s="891">
        <v>3</v>
      </c>
      <c r="Q12" s="891">
        <v>0</v>
      </c>
    </row>
    <row r="13" spans="1:17">
      <c r="A13" s="894">
        <v>267</v>
      </c>
      <c r="B13" s="892" t="s">
        <v>392</v>
      </c>
      <c r="C13" s="892">
        <v>3548</v>
      </c>
      <c r="D13" s="892" t="s">
        <v>730</v>
      </c>
      <c r="E13" s="892">
        <v>5725</v>
      </c>
      <c r="F13" s="892" t="s">
        <v>971</v>
      </c>
      <c r="G13" s="892" t="s">
        <v>666</v>
      </c>
      <c r="H13" s="892">
        <v>0</v>
      </c>
      <c r="I13" s="892">
        <v>0</v>
      </c>
      <c r="J13" s="892">
        <v>0</v>
      </c>
      <c r="K13" s="892">
        <v>2</v>
      </c>
      <c r="L13" s="892">
        <v>0</v>
      </c>
      <c r="M13" s="892">
        <v>0</v>
      </c>
      <c r="N13" s="892">
        <v>0</v>
      </c>
      <c r="O13" s="892">
        <v>0</v>
      </c>
      <c r="P13" s="892">
        <v>0</v>
      </c>
      <c r="Q13" s="892">
        <v>0</v>
      </c>
    </row>
    <row r="14" spans="1:17">
      <c r="A14" s="893">
        <v>267</v>
      </c>
      <c r="B14" s="891" t="s">
        <v>392</v>
      </c>
      <c r="C14" s="891">
        <v>3548</v>
      </c>
      <c r="D14" s="891" t="s">
        <v>730</v>
      </c>
      <c r="E14" s="891">
        <v>7502</v>
      </c>
      <c r="F14" s="891" t="s">
        <v>972</v>
      </c>
      <c r="G14" s="892" t="s">
        <v>973</v>
      </c>
      <c r="H14" s="891">
        <v>0</v>
      </c>
      <c r="I14" s="891">
        <v>4</v>
      </c>
      <c r="J14" s="891">
        <v>0</v>
      </c>
      <c r="K14" s="891">
        <v>0</v>
      </c>
      <c r="L14" s="891">
        <v>0</v>
      </c>
      <c r="M14" s="891">
        <v>0</v>
      </c>
      <c r="N14" s="891">
        <v>0</v>
      </c>
      <c r="O14" s="891">
        <v>0</v>
      </c>
      <c r="P14" s="891">
        <v>0</v>
      </c>
      <c r="Q14" s="891">
        <v>0</v>
      </c>
    </row>
    <row r="15" spans="1:17">
      <c r="A15" s="894">
        <v>267</v>
      </c>
      <c r="B15" s="892" t="s">
        <v>392</v>
      </c>
      <c r="C15" s="892">
        <v>3548</v>
      </c>
      <c r="D15" s="892" t="s">
        <v>730</v>
      </c>
      <c r="E15" s="892">
        <v>2460008</v>
      </c>
      <c r="F15" s="892" t="s">
        <v>974</v>
      </c>
      <c r="G15" s="892" t="s">
        <v>973</v>
      </c>
      <c r="H15" s="892">
        <v>0</v>
      </c>
      <c r="I15" s="892">
        <v>0</v>
      </c>
      <c r="J15" s="892">
        <v>0</v>
      </c>
      <c r="K15" s="892">
        <v>0</v>
      </c>
      <c r="L15" s="892">
        <v>0</v>
      </c>
      <c r="M15" s="892">
        <v>0</v>
      </c>
      <c r="N15" s="892">
        <v>0</v>
      </c>
      <c r="O15" s="892">
        <v>0</v>
      </c>
      <c r="P15" s="892">
        <v>6</v>
      </c>
      <c r="Q15" s="892">
        <v>0</v>
      </c>
    </row>
    <row r="16" spans="1:17">
      <c r="A16" s="893">
        <v>271</v>
      </c>
      <c r="B16" s="891" t="s">
        <v>396</v>
      </c>
      <c r="C16" s="891">
        <v>3548</v>
      </c>
      <c r="D16" s="891" t="s">
        <v>730</v>
      </c>
      <c r="E16" s="891">
        <v>3395</v>
      </c>
      <c r="F16" s="891" t="s">
        <v>970</v>
      </c>
      <c r="G16" s="892" t="s">
        <v>666</v>
      </c>
      <c r="H16" s="891">
        <v>0</v>
      </c>
      <c r="I16" s="891">
        <v>0</v>
      </c>
      <c r="J16" s="891">
        <v>0</v>
      </c>
      <c r="K16" s="891">
        <v>1</v>
      </c>
      <c r="L16" s="891">
        <v>0</v>
      </c>
      <c r="M16" s="891">
        <v>0</v>
      </c>
      <c r="N16" s="891">
        <v>0</v>
      </c>
      <c r="O16" s="891">
        <v>0</v>
      </c>
      <c r="P16" s="891">
        <v>2</v>
      </c>
      <c r="Q16" s="891">
        <v>0</v>
      </c>
    </row>
    <row r="17" spans="1:17">
      <c r="A17" s="894">
        <v>271</v>
      </c>
      <c r="B17" s="892" t="s">
        <v>396</v>
      </c>
      <c r="C17" s="892">
        <v>3548</v>
      </c>
      <c r="D17" s="892" t="s">
        <v>730</v>
      </c>
      <c r="E17" s="892">
        <v>7832</v>
      </c>
      <c r="F17" s="892" t="s">
        <v>975</v>
      </c>
      <c r="G17" s="892" t="s">
        <v>666</v>
      </c>
      <c r="H17" s="892">
        <v>0</v>
      </c>
      <c r="I17" s="892">
        <v>0</v>
      </c>
      <c r="J17" s="892">
        <v>0</v>
      </c>
      <c r="K17" s="892">
        <v>0</v>
      </c>
      <c r="L17" s="892">
        <v>0</v>
      </c>
      <c r="M17" s="892">
        <v>0</v>
      </c>
      <c r="N17" s="892">
        <v>0</v>
      </c>
      <c r="O17" s="892">
        <v>0</v>
      </c>
      <c r="P17" s="892">
        <v>1</v>
      </c>
      <c r="Q17" s="892">
        <v>0</v>
      </c>
    </row>
    <row r="18" spans="1:17">
      <c r="A18" s="893">
        <v>272</v>
      </c>
      <c r="B18" s="891" t="s">
        <v>734</v>
      </c>
      <c r="C18" s="891">
        <v>3548</v>
      </c>
      <c r="D18" s="891" t="s">
        <v>730</v>
      </c>
      <c r="E18" s="891">
        <v>3282</v>
      </c>
      <c r="F18" s="891" t="s">
        <v>967</v>
      </c>
      <c r="G18" s="892" t="s">
        <v>666</v>
      </c>
      <c r="H18" s="891">
        <v>0</v>
      </c>
      <c r="I18" s="891">
        <v>0</v>
      </c>
      <c r="J18" s="891">
        <v>0</v>
      </c>
      <c r="K18" s="891">
        <v>1</v>
      </c>
      <c r="L18" s="891">
        <v>0</v>
      </c>
      <c r="M18" s="891">
        <v>0</v>
      </c>
      <c r="N18" s="891">
        <v>0</v>
      </c>
      <c r="O18" s="891">
        <v>0</v>
      </c>
      <c r="P18" s="891">
        <v>1</v>
      </c>
      <c r="Q18" s="891">
        <v>0</v>
      </c>
    </row>
    <row r="19" spans="1:17">
      <c r="A19" s="894">
        <v>272</v>
      </c>
      <c r="B19" s="892" t="s">
        <v>734</v>
      </c>
      <c r="C19" s="892">
        <v>3548</v>
      </c>
      <c r="D19" s="892" t="s">
        <v>730</v>
      </c>
      <c r="E19" s="892">
        <v>3362</v>
      </c>
      <c r="F19" s="892" t="s">
        <v>969</v>
      </c>
      <c r="G19" s="892" t="s">
        <v>666</v>
      </c>
      <c r="H19" s="892">
        <v>0</v>
      </c>
      <c r="I19" s="892">
        <v>0</v>
      </c>
      <c r="J19" s="892">
        <v>0</v>
      </c>
      <c r="K19" s="892">
        <v>1</v>
      </c>
      <c r="L19" s="892">
        <v>0</v>
      </c>
      <c r="M19" s="892">
        <v>0</v>
      </c>
      <c r="N19" s="892">
        <v>0</v>
      </c>
      <c r="O19" s="892">
        <v>0</v>
      </c>
      <c r="P19" s="892">
        <v>0</v>
      </c>
      <c r="Q19" s="892">
        <v>0</v>
      </c>
    </row>
    <row r="20" spans="1:17">
      <c r="A20" s="893">
        <v>272</v>
      </c>
      <c r="B20" s="891" t="s">
        <v>734</v>
      </c>
      <c r="C20" s="891">
        <v>3548</v>
      </c>
      <c r="D20" s="891" t="s">
        <v>730</v>
      </c>
      <c r="E20" s="891">
        <v>3372</v>
      </c>
      <c r="F20" s="891" t="s">
        <v>976</v>
      </c>
      <c r="G20" s="892" t="s">
        <v>666</v>
      </c>
      <c r="H20" s="891">
        <v>0</v>
      </c>
      <c r="I20" s="891">
        <v>0</v>
      </c>
      <c r="J20" s="891">
        <v>0</v>
      </c>
      <c r="K20" s="891">
        <v>1</v>
      </c>
      <c r="L20" s="891">
        <v>0</v>
      </c>
      <c r="M20" s="891">
        <v>0</v>
      </c>
      <c r="N20" s="891">
        <v>0</v>
      </c>
      <c r="O20" s="891">
        <v>0</v>
      </c>
      <c r="P20" s="891">
        <v>0</v>
      </c>
      <c r="Q20" s="891">
        <v>0</v>
      </c>
    </row>
    <row r="21" spans="1:17">
      <c r="A21" s="894">
        <v>272</v>
      </c>
      <c r="B21" s="892" t="s">
        <v>734</v>
      </c>
      <c r="C21" s="892">
        <v>3548</v>
      </c>
      <c r="D21" s="892" t="s">
        <v>730</v>
      </c>
      <c r="E21" s="892">
        <v>3395</v>
      </c>
      <c r="F21" s="892" t="s">
        <v>970</v>
      </c>
      <c r="G21" s="892" t="s">
        <v>666</v>
      </c>
      <c r="H21" s="892">
        <v>0</v>
      </c>
      <c r="I21" s="892">
        <v>0</v>
      </c>
      <c r="J21" s="892">
        <v>0</v>
      </c>
      <c r="K21" s="892">
        <v>2</v>
      </c>
      <c r="L21" s="892">
        <v>0</v>
      </c>
      <c r="M21" s="892">
        <v>0</v>
      </c>
      <c r="N21" s="892">
        <v>0</v>
      </c>
      <c r="O21" s="892">
        <v>0</v>
      </c>
      <c r="P21" s="892">
        <v>1</v>
      </c>
      <c r="Q21" s="892">
        <v>0</v>
      </c>
    </row>
    <row r="22" spans="1:17">
      <c r="A22" s="893">
        <v>275</v>
      </c>
      <c r="B22" s="891" t="s">
        <v>390</v>
      </c>
      <c r="C22" s="891">
        <v>3548</v>
      </c>
      <c r="D22" s="891" t="s">
        <v>730</v>
      </c>
      <c r="E22" s="891">
        <v>3282</v>
      </c>
      <c r="F22" s="891" t="s">
        <v>967</v>
      </c>
      <c r="G22" s="892" t="s">
        <v>666</v>
      </c>
      <c r="H22" s="891">
        <v>0</v>
      </c>
      <c r="I22" s="891">
        <v>0</v>
      </c>
      <c r="J22" s="891">
        <v>0</v>
      </c>
      <c r="K22" s="891">
        <v>2</v>
      </c>
      <c r="L22" s="891">
        <v>0</v>
      </c>
      <c r="M22" s="891">
        <v>0</v>
      </c>
      <c r="N22" s="891">
        <v>0</v>
      </c>
      <c r="O22" s="891">
        <v>0</v>
      </c>
      <c r="P22" s="891">
        <v>0</v>
      </c>
      <c r="Q22" s="891">
        <v>0</v>
      </c>
    </row>
    <row r="23" spans="1:17">
      <c r="A23" s="894">
        <v>275</v>
      </c>
      <c r="B23" s="892" t="s">
        <v>390</v>
      </c>
      <c r="C23" s="892">
        <v>3548</v>
      </c>
      <c r="D23" s="892" t="s">
        <v>730</v>
      </c>
      <c r="E23" s="892">
        <v>3303</v>
      </c>
      <c r="F23" s="892" t="s">
        <v>977</v>
      </c>
      <c r="G23" s="892" t="s">
        <v>666</v>
      </c>
      <c r="H23" s="892">
        <v>0</v>
      </c>
      <c r="I23" s="892">
        <v>0</v>
      </c>
      <c r="J23" s="892">
        <v>0</v>
      </c>
      <c r="K23" s="892">
        <v>1</v>
      </c>
      <c r="L23" s="892">
        <v>0</v>
      </c>
      <c r="M23" s="892">
        <v>0</v>
      </c>
      <c r="N23" s="892">
        <v>0</v>
      </c>
      <c r="O23" s="892">
        <v>0</v>
      </c>
      <c r="P23" s="892">
        <v>0</v>
      </c>
      <c r="Q23" s="892">
        <v>0</v>
      </c>
    </row>
    <row r="24" spans="1:17">
      <c r="A24" s="893">
        <v>275</v>
      </c>
      <c r="B24" s="891" t="s">
        <v>390</v>
      </c>
      <c r="C24" s="891">
        <v>3548</v>
      </c>
      <c r="D24" s="891" t="s">
        <v>730</v>
      </c>
      <c r="E24" s="891">
        <v>3310</v>
      </c>
      <c r="F24" s="891" t="s">
        <v>968</v>
      </c>
      <c r="G24" s="892" t="s">
        <v>666</v>
      </c>
      <c r="H24" s="891">
        <v>0</v>
      </c>
      <c r="I24" s="891">
        <v>0</v>
      </c>
      <c r="J24" s="891">
        <v>0</v>
      </c>
      <c r="K24" s="891">
        <v>2</v>
      </c>
      <c r="L24" s="891">
        <v>0</v>
      </c>
      <c r="M24" s="891">
        <v>0</v>
      </c>
      <c r="N24" s="891">
        <v>0</v>
      </c>
      <c r="O24" s="891">
        <v>0</v>
      </c>
      <c r="P24" s="891">
        <v>1</v>
      </c>
      <c r="Q24" s="891">
        <v>0</v>
      </c>
    </row>
    <row r="25" spans="1:17">
      <c r="A25" s="894">
        <v>275</v>
      </c>
      <c r="B25" s="892" t="s">
        <v>390</v>
      </c>
      <c r="C25" s="892">
        <v>3548</v>
      </c>
      <c r="D25" s="892" t="s">
        <v>730</v>
      </c>
      <c r="E25" s="892">
        <v>3342</v>
      </c>
      <c r="F25" s="892" t="s">
        <v>978</v>
      </c>
      <c r="G25" s="892" t="s">
        <v>666</v>
      </c>
      <c r="H25" s="892">
        <v>0</v>
      </c>
      <c r="I25" s="892">
        <v>0</v>
      </c>
      <c r="J25" s="892">
        <v>0</v>
      </c>
      <c r="K25" s="892">
        <v>1</v>
      </c>
      <c r="L25" s="892">
        <v>0</v>
      </c>
      <c r="M25" s="892">
        <v>0</v>
      </c>
      <c r="N25" s="892">
        <v>0</v>
      </c>
      <c r="O25" s="892">
        <v>0</v>
      </c>
      <c r="P25" s="892">
        <v>0</v>
      </c>
      <c r="Q25" s="892">
        <v>0</v>
      </c>
    </row>
    <row r="26" spans="1:17">
      <c r="A26" s="893">
        <v>275</v>
      </c>
      <c r="B26" s="891" t="s">
        <v>390</v>
      </c>
      <c r="C26" s="891">
        <v>3548</v>
      </c>
      <c r="D26" s="891" t="s">
        <v>730</v>
      </c>
      <c r="E26" s="891">
        <v>3395</v>
      </c>
      <c r="F26" s="891" t="s">
        <v>970</v>
      </c>
      <c r="G26" s="892" t="s">
        <v>666</v>
      </c>
      <c r="H26" s="891">
        <v>0</v>
      </c>
      <c r="I26" s="891">
        <v>0</v>
      </c>
      <c r="J26" s="891">
        <v>0</v>
      </c>
      <c r="K26" s="891">
        <v>2</v>
      </c>
      <c r="L26" s="891">
        <v>0</v>
      </c>
      <c r="M26" s="891">
        <v>0</v>
      </c>
      <c r="N26" s="891">
        <v>0</v>
      </c>
      <c r="O26" s="891">
        <v>0</v>
      </c>
      <c r="P26" s="891">
        <v>0</v>
      </c>
      <c r="Q26" s="891">
        <v>0</v>
      </c>
    </row>
    <row r="27" spans="1:17">
      <c r="A27" s="894">
        <v>275</v>
      </c>
      <c r="B27" s="892" t="s">
        <v>390</v>
      </c>
      <c r="C27" s="892">
        <v>3548</v>
      </c>
      <c r="D27" s="892" t="s">
        <v>730</v>
      </c>
      <c r="E27" s="892">
        <v>3400</v>
      </c>
      <c r="F27" s="892" t="s">
        <v>979</v>
      </c>
      <c r="G27" s="892" t="s">
        <v>666</v>
      </c>
      <c r="H27" s="892">
        <v>0</v>
      </c>
      <c r="I27" s="892">
        <v>0</v>
      </c>
      <c r="J27" s="892">
        <v>0</v>
      </c>
      <c r="K27" s="892">
        <v>1</v>
      </c>
      <c r="L27" s="892">
        <v>0</v>
      </c>
      <c r="M27" s="892">
        <v>0</v>
      </c>
      <c r="N27" s="892">
        <v>0</v>
      </c>
      <c r="O27" s="892">
        <v>0</v>
      </c>
      <c r="P27" s="892">
        <v>0</v>
      </c>
      <c r="Q27" s="892">
        <v>0</v>
      </c>
    </row>
    <row r="28" spans="1:17">
      <c r="A28" s="893">
        <v>275</v>
      </c>
      <c r="B28" s="891" t="s">
        <v>390</v>
      </c>
      <c r="C28" s="891">
        <v>3548</v>
      </c>
      <c r="D28" s="891" t="s">
        <v>730</v>
      </c>
      <c r="E28" s="891">
        <v>3460</v>
      </c>
      <c r="F28" s="891" t="s">
        <v>980</v>
      </c>
      <c r="G28" s="892" t="s">
        <v>666</v>
      </c>
      <c r="H28" s="891">
        <v>0</v>
      </c>
      <c r="I28" s="891">
        <v>0</v>
      </c>
      <c r="J28" s="891">
        <v>0</v>
      </c>
      <c r="K28" s="891">
        <v>1</v>
      </c>
      <c r="L28" s="891">
        <v>0</v>
      </c>
      <c r="M28" s="891">
        <v>0</v>
      </c>
      <c r="N28" s="891">
        <v>0</v>
      </c>
      <c r="O28" s="891">
        <v>0</v>
      </c>
      <c r="P28" s="891">
        <v>0</v>
      </c>
      <c r="Q28" s="891">
        <v>0</v>
      </c>
    </row>
    <row r="29" spans="1:17">
      <c r="A29" s="894">
        <v>275</v>
      </c>
      <c r="B29" s="892" t="s">
        <v>390</v>
      </c>
      <c r="C29" s="892">
        <v>3548</v>
      </c>
      <c r="D29" s="892" t="s">
        <v>730</v>
      </c>
      <c r="E29" s="892">
        <v>5725</v>
      </c>
      <c r="F29" s="892" t="s">
        <v>971</v>
      </c>
      <c r="G29" s="892" t="s">
        <v>666</v>
      </c>
      <c r="H29" s="892">
        <v>0</v>
      </c>
      <c r="I29" s="892">
        <v>0</v>
      </c>
      <c r="J29" s="892">
        <v>0</v>
      </c>
      <c r="K29" s="892">
        <v>4</v>
      </c>
      <c r="L29" s="892">
        <v>0</v>
      </c>
      <c r="M29" s="892">
        <v>0</v>
      </c>
      <c r="N29" s="892">
        <v>0</v>
      </c>
      <c r="O29" s="892">
        <v>0</v>
      </c>
      <c r="P29" s="892">
        <v>0</v>
      </c>
      <c r="Q29" s="892">
        <v>0</v>
      </c>
    </row>
    <row r="30" spans="1:17">
      <c r="A30" s="893">
        <v>275</v>
      </c>
      <c r="B30" s="891" t="s">
        <v>390</v>
      </c>
      <c r="C30" s="891">
        <v>3548</v>
      </c>
      <c r="D30" s="891" t="s">
        <v>730</v>
      </c>
      <c r="E30" s="891">
        <v>5736</v>
      </c>
      <c r="F30" s="891" t="s">
        <v>981</v>
      </c>
      <c r="G30" s="892" t="s">
        <v>666</v>
      </c>
      <c r="H30" s="891">
        <v>0</v>
      </c>
      <c r="I30" s="891">
        <v>0</v>
      </c>
      <c r="J30" s="891">
        <v>0</v>
      </c>
      <c r="K30" s="891">
        <v>1</v>
      </c>
      <c r="L30" s="891">
        <v>0</v>
      </c>
      <c r="M30" s="891">
        <v>0</v>
      </c>
      <c r="N30" s="891">
        <v>0</v>
      </c>
      <c r="O30" s="891">
        <v>0</v>
      </c>
      <c r="P30" s="891">
        <v>0</v>
      </c>
      <c r="Q30" s="891">
        <v>0</v>
      </c>
    </row>
    <row r="31" spans="1:17">
      <c r="A31" s="894">
        <v>286</v>
      </c>
      <c r="B31" s="892" t="s">
        <v>406</v>
      </c>
      <c r="C31" s="892">
        <v>3548</v>
      </c>
      <c r="D31" s="892" t="s">
        <v>730</v>
      </c>
      <c r="E31" s="892">
        <v>3310</v>
      </c>
      <c r="F31" s="892" t="s">
        <v>968</v>
      </c>
      <c r="G31" s="892" t="s">
        <v>666</v>
      </c>
      <c r="H31" s="892">
        <v>0</v>
      </c>
      <c r="I31" s="892">
        <v>0</v>
      </c>
      <c r="J31" s="892">
        <v>0</v>
      </c>
      <c r="K31" s="892">
        <v>0</v>
      </c>
      <c r="L31" s="892">
        <v>0</v>
      </c>
      <c r="M31" s="892">
        <v>0</v>
      </c>
      <c r="N31" s="892">
        <v>0</v>
      </c>
      <c r="O31" s="892">
        <v>0</v>
      </c>
      <c r="P31" s="892">
        <v>2</v>
      </c>
      <c r="Q31" s="892">
        <v>0</v>
      </c>
    </row>
    <row r="32" spans="1:17">
      <c r="A32" s="893">
        <v>304</v>
      </c>
      <c r="B32" s="891" t="s">
        <v>641</v>
      </c>
      <c r="C32" s="891">
        <v>3548</v>
      </c>
      <c r="D32" s="891" t="s">
        <v>730</v>
      </c>
      <c r="E32" s="891">
        <v>1758</v>
      </c>
      <c r="F32" s="891" t="s">
        <v>982</v>
      </c>
      <c r="G32" s="892" t="s">
        <v>666</v>
      </c>
      <c r="H32" s="891">
        <v>0</v>
      </c>
      <c r="I32" s="891">
        <v>2</v>
      </c>
      <c r="J32" s="891">
        <v>0</v>
      </c>
      <c r="K32" s="891">
        <v>0</v>
      </c>
      <c r="L32" s="891">
        <v>0</v>
      </c>
      <c r="M32" s="891">
        <v>0</v>
      </c>
      <c r="N32" s="891">
        <v>3</v>
      </c>
      <c r="O32" s="891">
        <v>0</v>
      </c>
      <c r="P32" s="891">
        <v>0</v>
      </c>
      <c r="Q32" s="891">
        <v>0</v>
      </c>
    </row>
    <row r="33" spans="1:17">
      <c r="A33" s="894">
        <v>304</v>
      </c>
      <c r="B33" s="892" t="s">
        <v>641</v>
      </c>
      <c r="C33" s="892">
        <v>3548</v>
      </c>
      <c r="D33" s="892" t="s">
        <v>730</v>
      </c>
      <c r="E33" s="892">
        <v>1761</v>
      </c>
      <c r="F33" s="892" t="s">
        <v>983</v>
      </c>
      <c r="G33" s="892" t="s">
        <v>666</v>
      </c>
      <c r="H33" s="892">
        <v>0</v>
      </c>
      <c r="I33" s="892">
        <v>0</v>
      </c>
      <c r="J33" s="892">
        <v>0</v>
      </c>
      <c r="K33" s="892">
        <v>0</v>
      </c>
      <c r="L33" s="892">
        <v>0</v>
      </c>
      <c r="M33" s="892">
        <v>0</v>
      </c>
      <c r="N33" s="892">
        <v>0</v>
      </c>
      <c r="O33" s="892">
        <v>0</v>
      </c>
      <c r="P33" s="892">
        <v>1</v>
      </c>
      <c r="Q33" s="892">
        <v>0</v>
      </c>
    </row>
    <row r="34" spans="1:17">
      <c r="A34" s="893">
        <v>304</v>
      </c>
      <c r="B34" s="891" t="s">
        <v>641</v>
      </c>
      <c r="C34" s="891">
        <v>3548</v>
      </c>
      <c r="D34" s="891" t="s">
        <v>730</v>
      </c>
      <c r="E34" s="891">
        <v>1765</v>
      </c>
      <c r="F34" s="891" t="s">
        <v>984</v>
      </c>
      <c r="G34" s="892" t="s">
        <v>666</v>
      </c>
      <c r="H34" s="891">
        <v>0</v>
      </c>
      <c r="I34" s="891">
        <v>0</v>
      </c>
      <c r="J34" s="891">
        <v>0</v>
      </c>
      <c r="K34" s="891">
        <v>1</v>
      </c>
      <c r="L34" s="891">
        <v>0</v>
      </c>
      <c r="M34" s="891">
        <v>0</v>
      </c>
      <c r="N34" s="891">
        <v>0</v>
      </c>
      <c r="O34" s="891">
        <v>0</v>
      </c>
      <c r="P34" s="891">
        <v>0</v>
      </c>
      <c r="Q34" s="891">
        <v>0</v>
      </c>
    </row>
    <row r="35" spans="1:17">
      <c r="A35" s="894">
        <v>304</v>
      </c>
      <c r="B35" s="892" t="s">
        <v>641</v>
      </c>
      <c r="C35" s="892">
        <v>3548</v>
      </c>
      <c r="D35" s="892" t="s">
        <v>730</v>
      </c>
      <c r="E35" s="892">
        <v>3395</v>
      </c>
      <c r="F35" s="892" t="s">
        <v>970</v>
      </c>
      <c r="G35" s="892" t="s">
        <v>666</v>
      </c>
      <c r="H35" s="892">
        <v>0</v>
      </c>
      <c r="I35" s="892">
        <v>0</v>
      </c>
      <c r="J35" s="892">
        <v>0</v>
      </c>
      <c r="K35" s="892">
        <v>0</v>
      </c>
      <c r="L35" s="892">
        <v>0</v>
      </c>
      <c r="M35" s="892">
        <v>0</v>
      </c>
      <c r="N35" s="892">
        <v>0</v>
      </c>
      <c r="O35" s="892">
        <v>0</v>
      </c>
      <c r="P35" s="892">
        <v>3</v>
      </c>
      <c r="Q35" s="892">
        <v>0</v>
      </c>
    </row>
    <row r="36" spans="1:17">
      <c r="A36" s="893">
        <v>304</v>
      </c>
      <c r="B36" s="891" t="s">
        <v>641</v>
      </c>
      <c r="C36" s="891">
        <v>3548</v>
      </c>
      <c r="D36" s="891" t="s">
        <v>730</v>
      </c>
      <c r="E36" s="891">
        <v>3478</v>
      </c>
      <c r="F36" s="891" t="s">
        <v>985</v>
      </c>
      <c r="G36" s="892" t="s">
        <v>666</v>
      </c>
      <c r="H36" s="891">
        <v>0</v>
      </c>
      <c r="I36" s="891">
        <v>0</v>
      </c>
      <c r="J36" s="891">
        <v>0</v>
      </c>
      <c r="K36" s="891">
        <v>1</v>
      </c>
      <c r="L36" s="891">
        <v>0</v>
      </c>
      <c r="M36" s="891">
        <v>0</v>
      </c>
      <c r="N36" s="891">
        <v>0</v>
      </c>
      <c r="O36" s="891">
        <v>0</v>
      </c>
      <c r="P36" s="891">
        <v>0</v>
      </c>
      <c r="Q36" s="891">
        <v>0</v>
      </c>
    </row>
    <row r="37" spans="1:17">
      <c r="A37" s="894">
        <v>304</v>
      </c>
      <c r="B37" s="892" t="s">
        <v>641</v>
      </c>
      <c r="C37" s="892">
        <v>3548</v>
      </c>
      <c r="D37" s="892" t="s">
        <v>730</v>
      </c>
      <c r="E37" s="892">
        <v>3548</v>
      </c>
      <c r="F37" s="892" t="s">
        <v>986</v>
      </c>
      <c r="G37" s="892" t="s">
        <v>666</v>
      </c>
      <c r="H37" s="892">
        <v>0</v>
      </c>
      <c r="I37" s="892">
        <v>0</v>
      </c>
      <c r="J37" s="892">
        <v>0</v>
      </c>
      <c r="K37" s="892">
        <v>8</v>
      </c>
      <c r="L37" s="892">
        <v>0</v>
      </c>
      <c r="M37" s="892">
        <v>0</v>
      </c>
      <c r="N37" s="892">
        <v>0</v>
      </c>
      <c r="O37" s="892">
        <v>0</v>
      </c>
      <c r="P37" s="892">
        <v>5</v>
      </c>
      <c r="Q37" s="892">
        <v>0</v>
      </c>
    </row>
  </sheetData>
  <mergeCells count="1">
    <mergeCell ref="H6:Q6"/>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filterMode="1">
    <tabColor theme="6" tint="0.39997558519241921"/>
  </sheetPr>
  <dimension ref="A2:AZ631"/>
  <sheetViews>
    <sheetView topLeftCell="N532" workbookViewId="0">
      <selection activeCell="AD424" sqref="A2:AZ631"/>
    </sheetView>
  </sheetViews>
  <sheetFormatPr baseColWidth="10" defaultColWidth="9.19921875" defaultRowHeight="14"/>
  <cols>
    <col min="1" max="1" width="9.19921875" customWidth="1"/>
    <col min="2" max="2" width="15" customWidth="1"/>
    <col min="3" max="3" width="9.796875" customWidth="1"/>
    <col min="4" max="4" width="34.19921875" bestFit="1" customWidth="1"/>
    <col min="5" max="5" width="27.59765625" customWidth="1"/>
    <col min="6" max="7" width="5.19921875" bestFit="1" customWidth="1"/>
    <col min="8" max="10" width="9.3984375" bestFit="1" customWidth="1"/>
    <col min="11" max="11" width="12.19921875" bestFit="1" customWidth="1"/>
    <col min="12" max="12" width="9.3984375" bestFit="1" customWidth="1"/>
    <col min="13" max="15" width="10.3984375" bestFit="1" customWidth="1"/>
    <col min="16" max="16" width="13" customWidth="1"/>
    <col min="17" max="17" width="12.19921875" customWidth="1"/>
    <col min="18" max="19" width="6.796875" bestFit="1" customWidth="1"/>
    <col min="20" max="27" width="11" bestFit="1" customWidth="1"/>
    <col min="28" max="28" width="12.19921875" bestFit="1" customWidth="1"/>
    <col min="29" max="29" width="11" bestFit="1" customWidth="1"/>
    <col min="30" max="31" width="10.3984375" bestFit="1" customWidth="1"/>
    <col min="33" max="33" width="11.59765625" customWidth="1"/>
    <col min="34" max="34" width="12.796875" customWidth="1"/>
    <col min="35" max="35" width="20.19921875" customWidth="1"/>
    <col min="36" max="36" width="22" customWidth="1"/>
    <col min="37" max="37" width="22.19921875" customWidth="1"/>
  </cols>
  <sheetData>
    <row r="2" spans="1:37" ht="16">
      <c r="A2" s="10" t="s">
        <v>1535</v>
      </c>
    </row>
    <row r="4" spans="1:37">
      <c r="A4" t="s">
        <v>1536</v>
      </c>
    </row>
    <row r="5" spans="1:37">
      <c r="F5" t="s">
        <v>1537</v>
      </c>
      <c r="G5" t="s">
        <v>1537</v>
      </c>
      <c r="H5" t="s">
        <v>1537</v>
      </c>
      <c r="I5" t="s">
        <v>1537</v>
      </c>
      <c r="J5" t="s">
        <v>1537</v>
      </c>
      <c r="K5" t="s">
        <v>1537</v>
      </c>
      <c r="L5" t="s">
        <v>1537</v>
      </c>
      <c r="M5" t="s">
        <v>1537</v>
      </c>
      <c r="N5" t="s">
        <v>1537</v>
      </c>
      <c r="O5" t="s">
        <v>1537</v>
      </c>
      <c r="P5" t="s">
        <v>1537</v>
      </c>
      <c r="Q5" t="s">
        <v>1537</v>
      </c>
      <c r="R5" t="s">
        <v>1537</v>
      </c>
      <c r="S5" t="s">
        <v>1537</v>
      </c>
      <c r="T5" t="s">
        <v>1537</v>
      </c>
      <c r="U5" t="s">
        <v>1537</v>
      </c>
      <c r="V5" t="s">
        <v>1537</v>
      </c>
      <c r="W5" t="s">
        <v>1537</v>
      </c>
      <c r="X5" t="s">
        <v>1537</v>
      </c>
      <c r="Y5" t="s">
        <v>1537</v>
      </c>
      <c r="Z5" t="s">
        <v>1537</v>
      </c>
      <c r="AA5" t="s">
        <v>1537</v>
      </c>
      <c r="AB5" t="s">
        <v>1537</v>
      </c>
      <c r="AC5" t="s">
        <v>1537</v>
      </c>
      <c r="AD5" t="s">
        <v>1537</v>
      </c>
      <c r="AE5" t="s">
        <v>1537</v>
      </c>
      <c r="AF5" t="s">
        <v>1537</v>
      </c>
      <c r="AG5" t="s">
        <v>1537</v>
      </c>
      <c r="AH5" t="s">
        <v>1537</v>
      </c>
      <c r="AI5" t="s">
        <v>1537</v>
      </c>
      <c r="AJ5" t="s">
        <v>1537</v>
      </c>
      <c r="AK5" t="s">
        <v>1537</v>
      </c>
    </row>
    <row r="6" spans="1:37" ht="45">
      <c r="A6" s="1320" t="s">
        <v>739</v>
      </c>
      <c r="B6" s="1320" t="s">
        <v>481</v>
      </c>
      <c r="C6" s="1320" t="s">
        <v>375</v>
      </c>
      <c r="D6" s="1320" t="s">
        <v>331</v>
      </c>
      <c r="E6" s="1320" t="s">
        <v>338</v>
      </c>
      <c r="F6" s="1320" t="s">
        <v>1276</v>
      </c>
      <c r="G6" s="1320" t="s">
        <v>1277</v>
      </c>
      <c r="H6" s="1320" t="s">
        <v>1320</v>
      </c>
      <c r="I6" s="1320" t="s">
        <v>1326</v>
      </c>
      <c r="J6" s="1320" t="s">
        <v>1327</v>
      </c>
      <c r="K6" s="1320" t="s">
        <v>1328</v>
      </c>
      <c r="L6" s="1320" t="s">
        <v>1329</v>
      </c>
      <c r="M6" s="1320" t="s">
        <v>1330</v>
      </c>
      <c r="N6" s="1320" t="s">
        <v>1331</v>
      </c>
      <c r="O6" s="1320" t="s">
        <v>1332</v>
      </c>
      <c r="P6" s="1320" t="s">
        <v>1333</v>
      </c>
      <c r="Q6" s="1320" t="s">
        <v>1538</v>
      </c>
      <c r="R6" s="1320" t="s">
        <v>1278</v>
      </c>
      <c r="S6" s="1320" t="s">
        <v>1279</v>
      </c>
      <c r="T6" s="1320" t="s">
        <v>1335</v>
      </c>
      <c r="U6" s="1320" t="s">
        <v>1336</v>
      </c>
      <c r="V6" s="1320" t="s">
        <v>1337</v>
      </c>
      <c r="W6" s="1320" t="s">
        <v>1338</v>
      </c>
      <c r="X6" s="1320" t="s">
        <v>1339</v>
      </c>
      <c r="Y6" s="1320" t="s">
        <v>1340</v>
      </c>
      <c r="Z6" s="1320" t="s">
        <v>1341</v>
      </c>
      <c r="AA6" s="1320" t="s">
        <v>1342</v>
      </c>
      <c r="AB6" s="1320" t="s">
        <v>1343</v>
      </c>
      <c r="AC6" s="1320" t="s">
        <v>1344</v>
      </c>
      <c r="AD6" s="1320" t="s">
        <v>1345</v>
      </c>
      <c r="AE6" s="1320" t="s">
        <v>1346</v>
      </c>
      <c r="AF6" s="1320" t="s">
        <v>1347</v>
      </c>
      <c r="AG6" s="1320" t="s">
        <v>1348</v>
      </c>
      <c r="AH6" s="1320" t="s">
        <v>1539</v>
      </c>
      <c r="AI6" s="1320" t="s">
        <v>1350</v>
      </c>
      <c r="AJ6" s="1320" t="s">
        <v>832</v>
      </c>
      <c r="AK6" s="1320" t="s">
        <v>1351</v>
      </c>
    </row>
    <row r="7" spans="1:37">
      <c r="A7" s="1159">
        <v>267</v>
      </c>
      <c r="B7" s="1159" t="s">
        <v>392</v>
      </c>
      <c r="C7" s="1159">
        <v>2460008</v>
      </c>
      <c r="D7" s="1159" t="s">
        <v>974</v>
      </c>
      <c r="E7" s="1159" t="s">
        <v>973</v>
      </c>
      <c r="F7" s="1159"/>
      <c r="G7" s="1159"/>
      <c r="H7" s="1159"/>
      <c r="I7" s="1159"/>
      <c r="J7" s="1159"/>
      <c r="K7" s="1159"/>
      <c r="L7" s="1159"/>
      <c r="M7" s="1159"/>
      <c r="N7" s="1159"/>
      <c r="O7" s="1321">
        <v>16</v>
      </c>
      <c r="P7" s="1159"/>
      <c r="Q7" s="1322">
        <f>SUM('C. 20-21 Prov&amp;Priv 22+'!$F7:$P7)</f>
        <v>16</v>
      </c>
      <c r="R7" s="1159"/>
      <c r="S7" s="1159"/>
      <c r="T7" s="1159"/>
      <c r="U7" s="1159"/>
      <c r="V7" s="1159"/>
      <c r="W7" s="1159"/>
      <c r="X7" s="1159"/>
      <c r="Y7" s="1159"/>
      <c r="Z7" s="1159"/>
      <c r="AA7" s="1159"/>
      <c r="AB7" s="1159"/>
      <c r="AC7" s="1159"/>
      <c r="AD7" s="1159"/>
      <c r="AE7" s="1159"/>
      <c r="AF7" s="1321">
        <v>16</v>
      </c>
      <c r="AG7" s="1159"/>
      <c r="AH7" s="1159">
        <f>SUM('C. 20-21 Prov&amp;Priv 22+'!$R7:$AG7)</f>
        <v>16</v>
      </c>
      <c r="AI7" s="1159" t="str">
        <f>INDEX(TableAFNSchools[North/South of 53rd Parallel &amp; Fly-in = North],MATCH('C. 20-21 Prov&amp;Priv 22+'!$A7,TableAFNSchools[Band No '#],0))</f>
        <v>North</v>
      </c>
      <c r="AJ7" s="1323" t="s">
        <v>974</v>
      </c>
      <c r="AK7" s="1159" t="s">
        <v>441</v>
      </c>
    </row>
    <row r="8" spans="1:37">
      <c r="A8" s="1506" t="s">
        <v>72</v>
      </c>
      <c r="B8" s="1506"/>
      <c r="C8" s="1506"/>
      <c r="D8" s="1506"/>
      <c r="E8" s="1506"/>
      <c r="F8" s="1506"/>
      <c r="G8" s="1506"/>
      <c r="H8" s="1530">
        <f>SUBTOTAL(109,'C. 20-21 Prov&amp;Priv 22+'!$H$7:$H$7)</f>
        <v>0</v>
      </c>
      <c r="I8" s="1506">
        <f>SUBTOTAL(109,'C. 20-21 Prov&amp;Priv 22+'!$I$7:$I$7)</f>
        <v>0</v>
      </c>
      <c r="J8" s="1506">
        <f>SUBTOTAL(109,'C. 20-21 Prov&amp;Priv 22+'!$J$7:$J$7)</f>
        <v>0</v>
      </c>
      <c r="K8" s="1506">
        <f>SUBTOTAL(109,'C. 20-21 Prov&amp;Priv 22+'!$K$7:$K$7)</f>
        <v>0</v>
      </c>
      <c r="L8" s="1506">
        <f>SUBTOTAL(109,'C. 20-21 Prov&amp;Priv 22+'!$L$7:$L$7)</f>
        <v>0</v>
      </c>
      <c r="M8" s="1506">
        <f>SUBTOTAL(109,'C. 20-21 Prov&amp;Priv 22+'!$M$7:$M$7)</f>
        <v>0</v>
      </c>
      <c r="N8" s="1506">
        <f>SUBTOTAL(109,'C. 20-21 Prov&amp;Priv 22+'!$N$7:$N$7)</f>
        <v>0</v>
      </c>
      <c r="O8" s="1506">
        <f>SUBTOTAL(109,'C. 20-21 Prov&amp;Priv 22+'!$O$7:$O$7)</f>
        <v>16</v>
      </c>
      <c r="P8" s="1506">
        <f>SUBTOTAL(109,'C. 20-21 Prov&amp;Priv 22+'!$P$7:$P$7)</f>
        <v>0</v>
      </c>
      <c r="Q8" s="1506">
        <f>SUBTOTAL(109,'C. 20-21 Prov&amp;Priv 22+'!$Q$7:$Q$7)</f>
        <v>16</v>
      </c>
      <c r="R8" s="1506">
        <f>SUBTOTAL(109,'C. 20-21 Prov&amp;Priv 22+'!$R$7:$R$7)</f>
        <v>0</v>
      </c>
      <c r="S8" s="1506">
        <f>SUBTOTAL(109,'C. 20-21 Prov&amp;Priv 22+'!$S$7:$S$7)</f>
        <v>0</v>
      </c>
      <c r="T8" s="1506">
        <f>SUBTOTAL(109,'C. 20-21 Prov&amp;Priv 22+'!$T$7:$T$7)</f>
        <v>0</v>
      </c>
      <c r="U8" s="1506">
        <f>SUBTOTAL(109,'C. 20-21 Prov&amp;Priv 22+'!$U$7:$U$7)</f>
        <v>0</v>
      </c>
      <c r="V8" s="1506">
        <f>SUBTOTAL(109,'C. 20-21 Prov&amp;Priv 22+'!$V$7:$V$7)</f>
        <v>0</v>
      </c>
      <c r="W8" s="1506">
        <f>SUBTOTAL(109,'C. 20-21 Prov&amp;Priv 22+'!$W$7:$W$7)</f>
        <v>0</v>
      </c>
      <c r="X8" s="1506">
        <f>SUBTOTAL(109,'C. 20-21 Prov&amp;Priv 22+'!$X$7:$X$7)</f>
        <v>0</v>
      </c>
      <c r="Y8" s="1506">
        <f>SUBTOTAL(109,'C. 20-21 Prov&amp;Priv 22+'!$Y$7:$Y$7)</f>
        <v>0</v>
      </c>
      <c r="Z8" s="1506">
        <f>SUBTOTAL(109,'C. 20-21 Prov&amp;Priv 22+'!$Z$7:$Z$7)</f>
        <v>0</v>
      </c>
      <c r="AA8" s="1506">
        <f>SUBTOTAL(109,'C. 20-21 Prov&amp;Priv 22+'!$AA$7:$AA$7)</f>
        <v>0</v>
      </c>
      <c r="AB8" s="1506">
        <f>SUBTOTAL(109,'C. 20-21 Prov&amp;Priv 22+'!$AB$7:$AB$7)</f>
        <v>0</v>
      </c>
      <c r="AC8" s="1506">
        <f>SUBTOTAL(109,'C. 20-21 Prov&amp;Priv 22+'!$AC$7:$AC$7)</f>
        <v>0</v>
      </c>
      <c r="AD8" s="1506">
        <f>SUBTOTAL(109,'C. 20-21 Prov&amp;Priv 22+'!$AD$7:$AD$7)</f>
        <v>0</v>
      </c>
      <c r="AE8" s="1506">
        <f>SUBTOTAL(109,'C. 20-21 Prov&amp;Priv 22+'!$AE$7:$AE$7)</f>
        <v>0</v>
      </c>
      <c r="AF8" s="1506">
        <f>SUBTOTAL(109,'C. 20-21 Prov&amp;Priv 22+'!$AF$7:$AF$7)</f>
        <v>16</v>
      </c>
      <c r="AG8" s="1506">
        <f>SUBTOTAL(109,'C. 20-21 Prov&amp;Priv 22+'!$AG$7:$AG$7)</f>
        <v>0</v>
      </c>
      <c r="AH8" s="1506">
        <f>SUBTOTAL(109,'C. 20-21 Prov&amp;Priv 22+'!$AH$7:$AH$7)</f>
        <v>16</v>
      </c>
      <c r="AI8" s="1506"/>
      <c r="AJ8" s="1506"/>
      <c r="AK8" s="1506"/>
    </row>
    <row r="9" spans="1:37">
      <c r="H9" s="1"/>
      <c r="N9" s="121"/>
      <c r="Q9" s="121"/>
    </row>
    <row r="10" spans="1:37">
      <c r="A10" s="425" t="s">
        <v>1540</v>
      </c>
      <c r="H10" s="1"/>
      <c r="N10" s="121"/>
      <c r="Q10" s="121"/>
    </row>
    <row r="11" spans="1:37">
      <c r="A11" s="425"/>
      <c r="B11" s="425"/>
      <c r="C11" s="425"/>
      <c r="D11" s="425"/>
      <c r="E11" s="425"/>
      <c r="F11" s="425" t="s">
        <v>1537</v>
      </c>
      <c r="G11" s="425" t="s">
        <v>1537</v>
      </c>
      <c r="H11" s="425" t="s">
        <v>1537</v>
      </c>
      <c r="I11" s="425" t="s">
        <v>1537</v>
      </c>
      <c r="J11" s="425" t="s">
        <v>1537</v>
      </c>
      <c r="K11" s="425" t="s">
        <v>1537</v>
      </c>
      <c r="L11" s="425" t="s">
        <v>1537</v>
      </c>
      <c r="M11" s="425" t="s">
        <v>1537</v>
      </c>
      <c r="N11" s="425" t="s">
        <v>1537</v>
      </c>
      <c r="O11" s="425" t="s">
        <v>1537</v>
      </c>
      <c r="P11" s="425" t="s">
        <v>1537</v>
      </c>
      <c r="Q11" s="425" t="s">
        <v>1537</v>
      </c>
      <c r="R11" s="425" t="s">
        <v>1537</v>
      </c>
      <c r="S11" s="425" t="s">
        <v>1537</v>
      </c>
      <c r="T11" s="425" t="s">
        <v>1537</v>
      </c>
      <c r="U11" s="425" t="s">
        <v>1537</v>
      </c>
      <c r="V11" s="425" t="s">
        <v>1537</v>
      </c>
      <c r="W11" s="425" t="s">
        <v>1537</v>
      </c>
      <c r="X11" s="425" t="s">
        <v>1537</v>
      </c>
      <c r="Y11" s="425" t="s">
        <v>1537</v>
      </c>
      <c r="Z11" s="425" t="s">
        <v>1537</v>
      </c>
      <c r="AA11" s="425" t="s">
        <v>1537</v>
      </c>
      <c r="AB11" s="425" t="s">
        <v>1537</v>
      </c>
      <c r="AC11" s="425" t="s">
        <v>1537</v>
      </c>
      <c r="AD11" s="425" t="s">
        <v>1537</v>
      </c>
      <c r="AE11" s="425" t="s">
        <v>1537</v>
      </c>
      <c r="AF11" s="425" t="s">
        <v>1537</v>
      </c>
      <c r="AG11" s="425" t="s">
        <v>1537</v>
      </c>
      <c r="AH11" s="425" t="s">
        <v>1537</v>
      </c>
      <c r="AI11" s="425" t="s">
        <v>1537</v>
      </c>
      <c r="AJ11" s="425" t="s">
        <v>1537</v>
      </c>
      <c r="AK11" s="425" t="s">
        <v>1537</v>
      </c>
    </row>
    <row r="12" spans="1:37" ht="45">
      <c r="A12" s="1324" t="s">
        <v>739</v>
      </c>
      <c r="B12" s="1324" t="s">
        <v>481</v>
      </c>
      <c r="C12" s="1324" t="s">
        <v>375</v>
      </c>
      <c r="D12" s="1324" t="s">
        <v>331</v>
      </c>
      <c r="E12" s="1324" t="s">
        <v>338</v>
      </c>
      <c r="F12" s="1324" t="s">
        <v>1276</v>
      </c>
      <c r="G12" s="1324" t="s">
        <v>1277</v>
      </c>
      <c r="H12" s="1324" t="s">
        <v>1320</v>
      </c>
      <c r="I12" s="1324" t="s">
        <v>1326</v>
      </c>
      <c r="J12" s="1324" t="s">
        <v>1327</v>
      </c>
      <c r="K12" s="1324" t="s">
        <v>1328</v>
      </c>
      <c r="L12" s="1324" t="s">
        <v>1329</v>
      </c>
      <c r="M12" s="1324" t="s">
        <v>1330</v>
      </c>
      <c r="N12" s="1324" t="s">
        <v>1331</v>
      </c>
      <c r="O12" s="1324" t="s">
        <v>1332</v>
      </c>
      <c r="P12" s="1324" t="s">
        <v>1333</v>
      </c>
      <c r="Q12" s="1324" t="s">
        <v>1538</v>
      </c>
      <c r="R12" s="1324" t="s">
        <v>1278</v>
      </c>
      <c r="S12" s="1324" t="s">
        <v>1279</v>
      </c>
      <c r="T12" s="1324" t="s">
        <v>1335</v>
      </c>
      <c r="U12" s="1324" t="s">
        <v>1336</v>
      </c>
      <c r="V12" s="1324" t="s">
        <v>1337</v>
      </c>
      <c r="W12" s="1324" t="s">
        <v>1338</v>
      </c>
      <c r="X12" s="1324" t="s">
        <v>1339</v>
      </c>
      <c r="Y12" s="1324" t="s">
        <v>1340</v>
      </c>
      <c r="Z12" s="1324" t="s">
        <v>1341</v>
      </c>
      <c r="AA12" s="1324" t="s">
        <v>1342</v>
      </c>
      <c r="AB12" s="1324" t="s">
        <v>1343</v>
      </c>
      <c r="AC12" s="1324" t="s">
        <v>1344</v>
      </c>
      <c r="AD12" s="1324" t="s">
        <v>1345</v>
      </c>
      <c r="AE12" s="1324" t="s">
        <v>1346</v>
      </c>
      <c r="AF12" s="1324" t="s">
        <v>1347</v>
      </c>
      <c r="AG12" s="1324" t="s">
        <v>1348</v>
      </c>
      <c r="AH12" s="1324" t="s">
        <v>1539</v>
      </c>
      <c r="AI12" s="1324" t="s">
        <v>1350</v>
      </c>
      <c r="AJ12" s="1324" t="s">
        <v>832</v>
      </c>
      <c r="AK12" s="1324" t="s">
        <v>1351</v>
      </c>
    </row>
    <row r="13" spans="1:37">
      <c r="A13" s="425">
        <v>267</v>
      </c>
      <c r="B13" s="425" t="s">
        <v>392</v>
      </c>
      <c r="C13" s="425">
        <v>8193</v>
      </c>
      <c r="D13" s="425" t="s">
        <v>1472</v>
      </c>
      <c r="E13" s="425" t="s">
        <v>1027</v>
      </c>
      <c r="F13" s="425">
        <v>0</v>
      </c>
      <c r="G13" s="425">
        <v>0</v>
      </c>
      <c r="H13" s="425">
        <v>0</v>
      </c>
      <c r="I13" s="425">
        <v>0</v>
      </c>
      <c r="J13" s="425">
        <v>0</v>
      </c>
      <c r="K13" s="425">
        <v>0</v>
      </c>
      <c r="L13" s="425">
        <v>0</v>
      </c>
      <c r="M13" s="425">
        <v>0</v>
      </c>
      <c r="N13" s="425">
        <v>0</v>
      </c>
      <c r="O13" s="610">
        <v>23</v>
      </c>
      <c r="P13" s="425">
        <v>0</v>
      </c>
      <c r="Q13" s="446">
        <f>SUM(CProvPriv22Plus47[[#This Row],[K4]:[Ungradable Second FTE]])</f>
        <v>23</v>
      </c>
      <c r="R13" s="425">
        <v>0</v>
      </c>
      <c r="S13" s="425">
        <v>0</v>
      </c>
      <c r="T13" s="425">
        <v>0</v>
      </c>
      <c r="U13" s="425">
        <v>0</v>
      </c>
      <c r="V13" s="425">
        <v>0</v>
      </c>
      <c r="W13" s="425">
        <v>0</v>
      </c>
      <c r="X13" s="425">
        <v>0</v>
      </c>
      <c r="Y13" s="425">
        <v>0</v>
      </c>
      <c r="Z13" s="425">
        <v>0</v>
      </c>
      <c r="AA13" s="425">
        <v>0</v>
      </c>
      <c r="AB13" s="425">
        <v>0</v>
      </c>
      <c r="AC13" s="425">
        <v>0</v>
      </c>
      <c r="AD13" s="425">
        <v>0</v>
      </c>
      <c r="AE13" s="425">
        <v>0</v>
      </c>
      <c r="AF13" s="425">
        <v>23</v>
      </c>
      <c r="AG13" s="425">
        <v>0</v>
      </c>
      <c r="AH13" s="425">
        <f>SUM(CProvPriv22Plus47[[#This Row],[K4 H]:[Ungradable Second H]])</f>
        <v>23</v>
      </c>
      <c r="AI13" s="425" t="s">
        <v>473</v>
      </c>
      <c r="AJ13" s="425" t="s">
        <v>1397</v>
      </c>
      <c r="AK13" s="425" t="s">
        <v>441</v>
      </c>
    </row>
    <row r="14" spans="1:37">
      <c r="A14" s="425">
        <v>271</v>
      </c>
      <c r="B14" s="425" t="s">
        <v>396</v>
      </c>
      <c r="C14" s="425">
        <v>1045</v>
      </c>
      <c r="D14" s="425" t="s">
        <v>1476</v>
      </c>
      <c r="E14" s="425" t="s">
        <v>1013</v>
      </c>
      <c r="F14" s="425">
        <v>0</v>
      </c>
      <c r="G14" s="425">
        <v>0</v>
      </c>
      <c r="H14" s="425">
        <v>0</v>
      </c>
      <c r="I14" s="425">
        <v>0</v>
      </c>
      <c r="J14" s="425">
        <v>0</v>
      </c>
      <c r="K14" s="425">
        <v>0</v>
      </c>
      <c r="L14" s="425">
        <v>0</v>
      </c>
      <c r="M14" s="425">
        <v>0</v>
      </c>
      <c r="N14" s="425">
        <v>0</v>
      </c>
      <c r="O14" s="425">
        <v>5</v>
      </c>
      <c r="P14" s="425">
        <v>0</v>
      </c>
      <c r="Q14" s="430">
        <f>SUM(CProvPriv22Plus47[[#This Row],[K4]:[Ungradable Second FTE]])</f>
        <v>5</v>
      </c>
      <c r="R14" s="425">
        <v>0</v>
      </c>
      <c r="S14" s="425">
        <v>0</v>
      </c>
      <c r="T14" s="425">
        <v>0</v>
      </c>
      <c r="U14" s="425">
        <v>0</v>
      </c>
      <c r="V14" s="425">
        <v>0</v>
      </c>
      <c r="W14" s="425">
        <v>0</v>
      </c>
      <c r="X14" s="425">
        <v>0</v>
      </c>
      <c r="Y14" s="425">
        <v>0</v>
      </c>
      <c r="Z14" s="425">
        <v>0</v>
      </c>
      <c r="AA14" s="425">
        <v>0</v>
      </c>
      <c r="AB14" s="425">
        <v>0</v>
      </c>
      <c r="AC14" s="425">
        <v>0</v>
      </c>
      <c r="AD14" s="425">
        <v>0</v>
      </c>
      <c r="AE14" s="425">
        <v>0</v>
      </c>
      <c r="AF14" s="425">
        <v>5</v>
      </c>
      <c r="AG14" s="425">
        <v>0</v>
      </c>
      <c r="AH14" s="425">
        <f>SUM(CProvPriv22Plus47[[#This Row],[K4 H]:[Ungradable Second H]])</f>
        <v>5</v>
      </c>
      <c r="AI14" s="425" t="s">
        <v>473</v>
      </c>
      <c r="AJ14" s="425" t="s">
        <v>1477</v>
      </c>
      <c r="AK14" s="425" t="s">
        <v>442</v>
      </c>
    </row>
    <row r="15" spans="1:37">
      <c r="A15" s="425">
        <v>272</v>
      </c>
      <c r="B15" s="425" t="s">
        <v>734</v>
      </c>
      <c r="C15" s="425">
        <v>8230</v>
      </c>
      <c r="D15" s="425" t="s">
        <v>1029</v>
      </c>
      <c r="E15" s="425" t="s">
        <v>1013</v>
      </c>
      <c r="F15" s="425">
        <v>0</v>
      </c>
      <c r="G15" s="425">
        <v>0</v>
      </c>
      <c r="H15" s="425">
        <v>0</v>
      </c>
      <c r="I15" s="425">
        <v>0</v>
      </c>
      <c r="J15" s="425">
        <v>0</v>
      </c>
      <c r="K15" s="425">
        <v>0</v>
      </c>
      <c r="L15" s="425">
        <v>0</v>
      </c>
      <c r="M15" s="425">
        <v>0</v>
      </c>
      <c r="N15" s="425">
        <v>0</v>
      </c>
      <c r="O15" s="425">
        <v>1</v>
      </c>
      <c r="P15" s="425">
        <v>0</v>
      </c>
      <c r="Q15" s="430">
        <f>SUM(CProvPriv22Plus47[[#This Row],[K4]:[Ungradable Second FTE]])</f>
        <v>1</v>
      </c>
      <c r="R15" s="425">
        <v>0</v>
      </c>
      <c r="S15" s="425">
        <v>0</v>
      </c>
      <c r="T15" s="425">
        <v>0</v>
      </c>
      <c r="U15" s="425">
        <v>0</v>
      </c>
      <c r="V15" s="425">
        <v>0</v>
      </c>
      <c r="W15" s="425">
        <v>0</v>
      </c>
      <c r="X15" s="425">
        <v>0</v>
      </c>
      <c r="Y15" s="425">
        <v>0</v>
      </c>
      <c r="Z15" s="425">
        <v>0</v>
      </c>
      <c r="AA15" s="425">
        <v>0</v>
      </c>
      <c r="AB15" s="425">
        <v>0</v>
      </c>
      <c r="AC15" s="425">
        <v>0</v>
      </c>
      <c r="AD15" s="425">
        <v>0</v>
      </c>
      <c r="AE15" s="425">
        <v>0</v>
      </c>
      <c r="AF15" s="425">
        <v>1</v>
      </c>
      <c r="AG15" s="425">
        <v>0</v>
      </c>
      <c r="AH15" s="425">
        <f>SUM(CProvPriv22Plus47[[#This Row],[K4 H]:[Ungradable Second H]])</f>
        <v>1</v>
      </c>
      <c r="AI15" s="425" t="s">
        <v>473</v>
      </c>
      <c r="AJ15" s="425" t="s">
        <v>1405</v>
      </c>
      <c r="AK15" s="425" t="s">
        <v>442</v>
      </c>
    </row>
    <row r="16" spans="1:37">
      <c r="A16" s="425">
        <v>272</v>
      </c>
      <c r="B16" s="425" t="s">
        <v>734</v>
      </c>
      <c r="C16" s="425">
        <v>9632</v>
      </c>
      <c r="D16" s="425" t="s">
        <v>1488</v>
      </c>
      <c r="E16" s="425" t="s">
        <v>1027</v>
      </c>
      <c r="F16" s="425">
        <v>0</v>
      </c>
      <c r="G16" s="425">
        <v>0</v>
      </c>
      <c r="H16" s="425">
        <v>0</v>
      </c>
      <c r="I16" s="425">
        <v>0</v>
      </c>
      <c r="J16" s="425">
        <v>0</v>
      </c>
      <c r="K16" s="425">
        <v>0</v>
      </c>
      <c r="L16" s="425">
        <v>0</v>
      </c>
      <c r="M16" s="425">
        <v>0</v>
      </c>
      <c r="N16" s="430">
        <v>1</v>
      </c>
      <c r="O16" s="425">
        <v>2</v>
      </c>
      <c r="P16" s="425">
        <v>0</v>
      </c>
      <c r="Q16" s="430">
        <f>SUM(CProvPriv22Plus47[[#This Row],[K4]:[Ungradable Second FTE]])</f>
        <v>3</v>
      </c>
      <c r="R16" s="425">
        <v>0</v>
      </c>
      <c r="S16" s="425">
        <v>0</v>
      </c>
      <c r="T16" s="425">
        <v>0</v>
      </c>
      <c r="U16" s="425">
        <v>0</v>
      </c>
      <c r="V16" s="425">
        <v>0</v>
      </c>
      <c r="W16" s="425">
        <v>0</v>
      </c>
      <c r="X16" s="425">
        <v>0</v>
      </c>
      <c r="Y16" s="425">
        <v>0</v>
      </c>
      <c r="Z16" s="425">
        <v>0</v>
      </c>
      <c r="AA16" s="425">
        <v>0</v>
      </c>
      <c r="AB16" s="425">
        <v>0</v>
      </c>
      <c r="AC16" s="425">
        <v>0</v>
      </c>
      <c r="AD16" s="425">
        <v>0</v>
      </c>
      <c r="AE16" s="425">
        <v>1</v>
      </c>
      <c r="AF16" s="425">
        <v>2</v>
      </c>
      <c r="AG16" s="425">
        <v>0</v>
      </c>
      <c r="AH16" s="425">
        <f>SUM(CProvPriv22Plus47[[#This Row],[K4 H]:[Ungradable Second H]])</f>
        <v>3</v>
      </c>
      <c r="AI16" s="425" t="s">
        <v>473</v>
      </c>
      <c r="AJ16" s="425" t="s">
        <v>1397</v>
      </c>
      <c r="AK16" s="425" t="s">
        <v>442</v>
      </c>
    </row>
    <row r="17" spans="1:37">
      <c r="A17" s="425">
        <v>275</v>
      </c>
      <c r="B17" s="425" t="s">
        <v>390</v>
      </c>
      <c r="C17" s="425">
        <v>1048</v>
      </c>
      <c r="D17" s="425" t="s">
        <v>1055</v>
      </c>
      <c r="E17" s="425" t="s">
        <v>1013</v>
      </c>
      <c r="F17" s="425">
        <v>0</v>
      </c>
      <c r="G17" s="425">
        <v>0</v>
      </c>
      <c r="H17" s="425">
        <v>0</v>
      </c>
      <c r="I17" s="425">
        <v>0</v>
      </c>
      <c r="J17" s="425">
        <v>0</v>
      </c>
      <c r="K17" s="425">
        <v>0</v>
      </c>
      <c r="L17" s="425">
        <v>0</v>
      </c>
      <c r="M17" s="425">
        <v>0</v>
      </c>
      <c r="N17" s="430">
        <v>1</v>
      </c>
      <c r="O17" s="425">
        <v>5</v>
      </c>
      <c r="P17" s="425">
        <v>0</v>
      </c>
      <c r="Q17" s="430">
        <f>SUM(CProvPriv22Plus47[[#This Row],[K4]:[Ungradable Second FTE]])</f>
        <v>6</v>
      </c>
      <c r="R17" s="425">
        <v>0</v>
      </c>
      <c r="S17" s="425">
        <v>0</v>
      </c>
      <c r="T17" s="425">
        <v>0</v>
      </c>
      <c r="U17" s="425">
        <v>0</v>
      </c>
      <c r="V17" s="425">
        <v>0</v>
      </c>
      <c r="W17" s="425">
        <v>0</v>
      </c>
      <c r="X17" s="425">
        <v>0</v>
      </c>
      <c r="Y17" s="425">
        <v>0</v>
      </c>
      <c r="Z17" s="425">
        <v>0</v>
      </c>
      <c r="AA17" s="425">
        <v>0</v>
      </c>
      <c r="AB17" s="425">
        <v>0</v>
      </c>
      <c r="AC17" s="425">
        <v>0</v>
      </c>
      <c r="AD17" s="425">
        <v>0</v>
      </c>
      <c r="AE17" s="425">
        <v>1</v>
      </c>
      <c r="AF17" s="425">
        <v>5</v>
      </c>
      <c r="AG17" s="425">
        <v>0</v>
      </c>
      <c r="AH17" s="425">
        <f>SUM(CProvPriv22Plus47[[#This Row],[K4 H]:[Ungradable Second H]])</f>
        <v>6</v>
      </c>
      <c r="AI17" s="425" t="s">
        <v>473</v>
      </c>
      <c r="AJ17" s="425" t="s">
        <v>862</v>
      </c>
      <c r="AK17" s="425" t="s">
        <v>1304</v>
      </c>
    </row>
    <row r="18" spans="1:37">
      <c r="A18" s="425">
        <v>275</v>
      </c>
      <c r="B18" s="425" t="s">
        <v>390</v>
      </c>
      <c r="C18" s="425">
        <v>7868</v>
      </c>
      <c r="D18" s="425" t="s">
        <v>1499</v>
      </c>
      <c r="E18" s="425" t="s">
        <v>1013</v>
      </c>
      <c r="F18" s="425">
        <v>0</v>
      </c>
      <c r="G18" s="425">
        <v>0</v>
      </c>
      <c r="H18" s="425">
        <v>0</v>
      </c>
      <c r="I18" s="425">
        <v>0</v>
      </c>
      <c r="J18" s="425">
        <v>0</v>
      </c>
      <c r="K18" s="425">
        <v>0</v>
      </c>
      <c r="L18" s="425">
        <v>0</v>
      </c>
      <c r="M18" s="425">
        <v>0</v>
      </c>
      <c r="N18" s="425">
        <v>0</v>
      </c>
      <c r="O18" s="425">
        <v>1</v>
      </c>
      <c r="P18" s="425">
        <v>0</v>
      </c>
      <c r="Q18" s="430">
        <f>SUM(CProvPriv22Plus47[[#This Row],[K4]:[Ungradable Second FTE]])</f>
        <v>1</v>
      </c>
      <c r="R18" s="425">
        <v>0</v>
      </c>
      <c r="S18" s="425">
        <v>0</v>
      </c>
      <c r="T18" s="425">
        <v>0</v>
      </c>
      <c r="U18" s="425">
        <v>0</v>
      </c>
      <c r="V18" s="425">
        <v>0</v>
      </c>
      <c r="W18" s="425">
        <v>0</v>
      </c>
      <c r="X18" s="425">
        <v>0</v>
      </c>
      <c r="Y18" s="425">
        <v>0</v>
      </c>
      <c r="Z18" s="425">
        <v>0</v>
      </c>
      <c r="AA18" s="425">
        <v>0</v>
      </c>
      <c r="AB18" s="425">
        <v>0</v>
      </c>
      <c r="AC18" s="425">
        <v>0</v>
      </c>
      <c r="AD18" s="425">
        <v>0</v>
      </c>
      <c r="AE18" s="425">
        <v>0</v>
      </c>
      <c r="AF18" s="425">
        <v>1</v>
      </c>
      <c r="AG18" s="425">
        <v>0</v>
      </c>
      <c r="AH18" s="425">
        <f>SUM(CProvPriv22Plus47[[#This Row],[K4 H]:[Ungradable Second H]])</f>
        <v>1</v>
      </c>
      <c r="AI18" s="425" t="s">
        <v>473</v>
      </c>
      <c r="AJ18" s="425" t="s">
        <v>1477</v>
      </c>
      <c r="AK18" s="425" t="s">
        <v>1304</v>
      </c>
    </row>
    <row r="19" spans="1:37">
      <c r="A19" s="425">
        <v>275</v>
      </c>
      <c r="B19" s="425" t="s">
        <v>390</v>
      </c>
      <c r="C19" s="425">
        <v>8230</v>
      </c>
      <c r="D19" s="425" t="s">
        <v>1029</v>
      </c>
      <c r="E19" s="425" t="s">
        <v>1013</v>
      </c>
      <c r="F19" s="425">
        <v>0</v>
      </c>
      <c r="G19" s="425">
        <v>0</v>
      </c>
      <c r="H19" s="425">
        <v>0</v>
      </c>
      <c r="I19" s="425">
        <v>0</v>
      </c>
      <c r="J19" s="425">
        <v>0</v>
      </c>
      <c r="K19" s="425">
        <v>0</v>
      </c>
      <c r="L19" s="425">
        <v>0</v>
      </c>
      <c r="M19" s="425">
        <v>1</v>
      </c>
      <c r="N19" s="425">
        <v>0</v>
      </c>
      <c r="O19" s="425">
        <v>0</v>
      </c>
      <c r="P19" s="425">
        <v>0</v>
      </c>
      <c r="Q19" s="430">
        <f>SUM(CProvPriv22Plus47[[#This Row],[K4]:[Ungradable Second FTE]])</f>
        <v>1</v>
      </c>
      <c r="R19" s="425">
        <v>0</v>
      </c>
      <c r="S19" s="425">
        <v>0</v>
      </c>
      <c r="T19" s="425">
        <v>0</v>
      </c>
      <c r="U19" s="425">
        <v>0</v>
      </c>
      <c r="V19" s="425">
        <v>0</v>
      </c>
      <c r="W19" s="425">
        <v>0</v>
      </c>
      <c r="X19" s="425">
        <v>0</v>
      </c>
      <c r="Y19" s="425">
        <v>0</v>
      </c>
      <c r="Z19" s="425">
        <v>0</v>
      </c>
      <c r="AA19" s="425">
        <v>0</v>
      </c>
      <c r="AB19" s="425">
        <v>0</v>
      </c>
      <c r="AC19" s="425">
        <v>0</v>
      </c>
      <c r="AD19" s="425">
        <v>1</v>
      </c>
      <c r="AE19" s="425">
        <v>0</v>
      </c>
      <c r="AF19" s="425">
        <v>0</v>
      </c>
      <c r="AG19" s="425">
        <v>0</v>
      </c>
      <c r="AH19" s="425">
        <f>SUM(CProvPriv22Plus47[[#This Row],[K4 H]:[Ungradable Second H]])</f>
        <v>1</v>
      </c>
      <c r="AI19" s="425" t="s">
        <v>473</v>
      </c>
      <c r="AJ19" s="425" t="s">
        <v>1405</v>
      </c>
      <c r="AK19" s="425" t="s">
        <v>1304</v>
      </c>
    </row>
    <row r="20" spans="1:37">
      <c r="A20" s="425">
        <v>275</v>
      </c>
      <c r="B20" s="425" t="s">
        <v>390</v>
      </c>
      <c r="C20" s="425">
        <v>8930</v>
      </c>
      <c r="D20" s="425" t="s">
        <v>1040</v>
      </c>
      <c r="E20" s="425" t="s">
        <v>1013</v>
      </c>
      <c r="F20" s="425">
        <v>0</v>
      </c>
      <c r="G20" s="425">
        <v>0</v>
      </c>
      <c r="H20" s="425">
        <v>0</v>
      </c>
      <c r="I20" s="425">
        <v>0</v>
      </c>
      <c r="J20" s="425">
        <v>0</v>
      </c>
      <c r="K20" s="425">
        <v>0</v>
      </c>
      <c r="L20" s="425">
        <v>0</v>
      </c>
      <c r="M20" s="425">
        <v>0</v>
      </c>
      <c r="N20" s="425">
        <v>0</v>
      </c>
      <c r="O20" s="425">
        <v>7</v>
      </c>
      <c r="P20" s="425">
        <v>0</v>
      </c>
      <c r="Q20" s="430">
        <f>SUM(CProvPriv22Plus47[[#This Row],[K4]:[Ungradable Second FTE]])</f>
        <v>7</v>
      </c>
      <c r="R20" s="425">
        <v>0</v>
      </c>
      <c r="S20" s="425">
        <v>0</v>
      </c>
      <c r="T20" s="425">
        <v>0</v>
      </c>
      <c r="U20" s="425">
        <v>0</v>
      </c>
      <c r="V20" s="425">
        <v>0</v>
      </c>
      <c r="W20" s="425">
        <v>0</v>
      </c>
      <c r="X20" s="425">
        <v>0</v>
      </c>
      <c r="Y20" s="425">
        <v>0</v>
      </c>
      <c r="Z20" s="425">
        <v>0</v>
      </c>
      <c r="AA20" s="425">
        <v>0</v>
      </c>
      <c r="AB20" s="425">
        <v>0</v>
      </c>
      <c r="AC20" s="425">
        <v>0</v>
      </c>
      <c r="AD20" s="425">
        <v>0</v>
      </c>
      <c r="AE20" s="425">
        <v>0</v>
      </c>
      <c r="AF20" s="425">
        <v>7</v>
      </c>
      <c r="AG20" s="425">
        <v>0</v>
      </c>
      <c r="AH20" s="425">
        <f>SUM(CProvPriv22Plus47[[#This Row],[K4 H]:[Ungradable Second H]])</f>
        <v>7</v>
      </c>
      <c r="AI20" s="425" t="s">
        <v>473</v>
      </c>
      <c r="AJ20" s="425" t="s">
        <v>1233</v>
      </c>
      <c r="AK20" s="425" t="s">
        <v>1304</v>
      </c>
    </row>
    <row r="21" spans="1:37">
      <c r="A21" s="425" t="s">
        <v>72</v>
      </c>
      <c r="B21" s="425"/>
      <c r="C21" s="425"/>
      <c r="D21" s="425"/>
      <c r="E21" s="425"/>
      <c r="F21" s="425"/>
      <c r="G21" s="425"/>
      <c r="H21" s="428">
        <f>SUBTOTAL(109,CProvPriv22Plus47[Grade 1])</f>
        <v>0</v>
      </c>
      <c r="I21" s="425">
        <f>SUBTOTAL(109,CProvPriv22Plus47[Grade 7])</f>
        <v>0</v>
      </c>
      <c r="J21" s="425">
        <f>SUBTOTAL(109,CProvPriv22Plus47[Grade 8])</f>
        <v>0</v>
      </c>
      <c r="K21" s="425">
        <f>SUBTOTAL(109,CProvPriv22Plus47[Ungradable Elem FTE])</f>
        <v>0</v>
      </c>
      <c r="L21" s="425">
        <f>SUBTOTAL(109,CProvPriv22Plus47[Grade 9])</f>
        <v>0</v>
      </c>
      <c r="M21" s="425">
        <f>SUBTOTAL(109,CProvPriv22Plus47[Grade 10])</f>
        <v>1</v>
      </c>
      <c r="N21" s="430">
        <f>SUBTOTAL(109,CProvPriv22Plus47[Grade 11])</f>
        <v>2</v>
      </c>
      <c r="O21" s="425">
        <f>SUBTOTAL(109,CProvPriv22Plus47[Grade 12])</f>
        <v>44</v>
      </c>
      <c r="P21" s="425">
        <f>SUBTOTAL(109,CProvPriv22Plus47[Ungradable Second FTE])</f>
        <v>0</v>
      </c>
      <c r="Q21" s="425">
        <f>SUBTOTAL(109,CProvPriv22Plus47[TOTAL 22+ FTE])</f>
        <v>47</v>
      </c>
      <c r="R21" s="425">
        <f>SUBTOTAL(109,CProvPriv22Plus47[K4 H])</f>
        <v>0</v>
      </c>
      <c r="S21" s="425">
        <f>SUBTOTAL(109,CProvPriv22Plus47[K5 H])</f>
        <v>0</v>
      </c>
      <c r="T21" s="425">
        <f>SUBTOTAL(109,CProvPriv22Plus47[Grade 1 H])</f>
        <v>0</v>
      </c>
      <c r="U21" s="425">
        <f>SUBTOTAL(109,CProvPriv22Plus47[Grade 2 H])</f>
        <v>0</v>
      </c>
      <c r="V21" s="425">
        <f>SUBTOTAL(109,CProvPriv22Plus47[Grade 3 H])</f>
        <v>0</v>
      </c>
      <c r="W21" s="425">
        <f>SUBTOTAL(109,CProvPriv22Plus47[Grade 4 H])</f>
        <v>0</v>
      </c>
      <c r="X21" s="425">
        <f>SUBTOTAL(109,CProvPriv22Plus47[Grade 5 H])</f>
        <v>0</v>
      </c>
      <c r="Y21" s="425">
        <f>SUBTOTAL(109,CProvPriv22Plus47[Grade 6 H])</f>
        <v>0</v>
      </c>
      <c r="Z21" s="425">
        <f>SUBTOTAL(109,CProvPriv22Plus47[Grade 7 H])</f>
        <v>0</v>
      </c>
      <c r="AA21" s="425">
        <f>SUBTOTAL(109,CProvPriv22Plus47[Grade 8 H])</f>
        <v>0</v>
      </c>
      <c r="AB21" s="425">
        <f>SUBTOTAL(109,CProvPriv22Plus47[Ungradable Elem H])</f>
        <v>0</v>
      </c>
      <c r="AC21" s="425">
        <f>SUBTOTAL(109,CProvPriv22Plus47[Grade 9 H])</f>
        <v>0</v>
      </c>
      <c r="AD21" s="425">
        <f>SUBTOTAL(109,CProvPriv22Plus47[Grade 10 H])</f>
        <v>1</v>
      </c>
      <c r="AE21" s="425">
        <f>SUBTOTAL(109,CProvPriv22Plus47[Grade 11 H])</f>
        <v>2</v>
      </c>
      <c r="AF21" s="425">
        <f>SUBTOTAL(109,CProvPriv22Plus47[Grade 12 H])</f>
        <v>44</v>
      </c>
      <c r="AG21" s="425">
        <f>SUBTOTAL(109,CProvPriv22Plus47[Ungradable Second H])</f>
        <v>0</v>
      </c>
      <c r="AH21" s="425">
        <f>SUBTOTAL(109,CProvPriv22Plus47[TOTAL 22+ HEADCOUNT])</f>
        <v>47</v>
      </c>
      <c r="AI21" s="425"/>
      <c r="AJ21" s="425"/>
      <c r="AK21" s="425"/>
    </row>
    <row r="34" spans="1:52">
      <c r="D34" t="s">
        <v>1541</v>
      </c>
    </row>
    <row r="36" spans="1:52">
      <c r="H36" s="469" t="s">
        <v>1542</v>
      </c>
    </row>
    <row r="37" spans="1:52" ht="15" thickBot="1">
      <c r="H37" s="470" t="s">
        <v>1543</v>
      </c>
      <c r="I37" s="471"/>
      <c r="J37" s="471"/>
      <c r="K37" s="471"/>
      <c r="L37" s="471"/>
      <c r="M37" s="471"/>
      <c r="N37" s="471"/>
      <c r="O37" s="471"/>
      <c r="P37" s="471"/>
      <c r="Q37" s="471"/>
      <c r="R37" s="471"/>
      <c r="S37" s="471"/>
      <c r="T37" s="471"/>
      <c r="U37" s="471"/>
      <c r="V37" s="471"/>
      <c r="W37" s="471"/>
      <c r="X37" s="471"/>
      <c r="Y37" s="471"/>
      <c r="Z37" s="472" t="s">
        <v>1544</v>
      </c>
      <c r="AA37" s="472"/>
      <c r="AB37" s="472"/>
      <c r="AC37" s="472"/>
      <c r="AD37" s="472"/>
      <c r="AE37" s="472"/>
      <c r="AF37" s="472"/>
      <c r="AG37" s="472"/>
      <c r="AH37" s="472"/>
      <c r="AI37" s="472"/>
      <c r="AJ37" s="472"/>
      <c r="AK37" s="472"/>
      <c r="AL37" s="472"/>
      <c r="AM37" s="472"/>
      <c r="AN37" s="472"/>
      <c r="AO37" s="472"/>
      <c r="AP37" s="472"/>
      <c r="AQ37" s="472"/>
      <c r="AR37" s="472"/>
      <c r="AS37" s="472"/>
      <c r="AT37" s="472"/>
      <c r="AU37" s="472"/>
      <c r="AV37" s="472"/>
    </row>
    <row r="38" spans="1:52" ht="15">
      <c r="A38" s="473"/>
      <c r="B38" s="473"/>
      <c r="C38" s="473"/>
      <c r="D38" s="473"/>
      <c r="E38" s="473"/>
      <c r="F38" s="473"/>
      <c r="G38" s="473"/>
      <c r="H38" s="474" t="s">
        <v>1545</v>
      </c>
      <c r="I38" s="474" t="s">
        <v>1545</v>
      </c>
      <c r="J38" s="474" t="s">
        <v>1545</v>
      </c>
      <c r="K38" s="474" t="s">
        <v>1545</v>
      </c>
      <c r="L38" s="474" t="s">
        <v>1545</v>
      </c>
      <c r="M38" s="475" t="s">
        <v>1545</v>
      </c>
      <c r="N38" s="474" t="s">
        <v>1545</v>
      </c>
      <c r="O38" s="474" t="s">
        <v>1545</v>
      </c>
      <c r="P38" s="474" t="s">
        <v>1545</v>
      </c>
      <c r="Q38" s="474" t="s">
        <v>1545</v>
      </c>
      <c r="R38" s="474" t="s">
        <v>1545</v>
      </c>
      <c r="S38" s="475" t="s">
        <v>1545</v>
      </c>
      <c r="T38" s="476" t="s">
        <v>1546</v>
      </c>
      <c r="U38" s="476" t="s">
        <v>1546</v>
      </c>
      <c r="V38" s="476" t="s">
        <v>1546</v>
      </c>
      <c r="W38" s="476" t="s">
        <v>1546</v>
      </c>
      <c r="X38" s="476" t="s">
        <v>1546</v>
      </c>
      <c r="Y38" s="476" t="s">
        <v>1546</v>
      </c>
      <c r="Z38" s="474" t="s">
        <v>1545</v>
      </c>
      <c r="AA38" s="474" t="s">
        <v>1545</v>
      </c>
      <c r="AB38" s="474" t="s">
        <v>1545</v>
      </c>
      <c r="AC38" s="474" t="s">
        <v>1545</v>
      </c>
      <c r="AD38" s="474" t="s">
        <v>1545</v>
      </c>
      <c r="AE38" s="474" t="s">
        <v>1545</v>
      </c>
      <c r="AF38" s="474" t="s">
        <v>1545</v>
      </c>
      <c r="AG38" s="474" t="s">
        <v>1545</v>
      </c>
      <c r="AH38" s="474" t="s">
        <v>1545</v>
      </c>
      <c r="AI38" s="474" t="s">
        <v>1545</v>
      </c>
      <c r="AJ38" s="475" t="s">
        <v>1545</v>
      </c>
      <c r="AK38" s="474" t="s">
        <v>1545</v>
      </c>
      <c r="AL38" s="474" t="s">
        <v>1545</v>
      </c>
      <c r="AM38" s="474" t="s">
        <v>1545</v>
      </c>
      <c r="AN38" s="474" t="s">
        <v>1545</v>
      </c>
      <c r="AO38" s="474" t="s">
        <v>1545</v>
      </c>
      <c r="AP38" s="475" t="s">
        <v>1545</v>
      </c>
      <c r="AQ38" s="476" t="s">
        <v>1546</v>
      </c>
      <c r="AR38" s="476" t="s">
        <v>1546</v>
      </c>
      <c r="AS38" s="476" t="s">
        <v>1546</v>
      </c>
      <c r="AT38" s="476" t="s">
        <v>1546</v>
      </c>
      <c r="AU38" s="476" t="s">
        <v>1546</v>
      </c>
      <c r="AV38" s="477"/>
    </row>
    <row r="39" spans="1:52" ht="113" thickBot="1">
      <c r="A39" s="478" t="s">
        <v>1003</v>
      </c>
      <c r="B39" s="478" t="s">
        <v>1004</v>
      </c>
      <c r="C39" s="478" t="s">
        <v>373</v>
      </c>
      <c r="D39" s="478" t="s">
        <v>374</v>
      </c>
      <c r="E39" s="478" t="s">
        <v>375</v>
      </c>
      <c r="F39" s="478" t="s">
        <v>331</v>
      </c>
      <c r="G39" s="479" t="s">
        <v>1005</v>
      </c>
      <c r="H39" s="480" t="s">
        <v>1276</v>
      </c>
      <c r="I39" s="480" t="s">
        <v>1547</v>
      </c>
      <c r="J39" s="480" t="s">
        <v>1548</v>
      </c>
      <c r="K39" s="480" t="s">
        <v>1549</v>
      </c>
      <c r="L39" s="480" t="s">
        <v>1550</v>
      </c>
      <c r="M39" s="481" t="s">
        <v>1328</v>
      </c>
      <c r="N39" s="480" t="s">
        <v>1551</v>
      </c>
      <c r="O39" s="480" t="s">
        <v>1552</v>
      </c>
      <c r="P39" s="480" t="s">
        <v>1553</v>
      </c>
      <c r="Q39" s="480" t="s">
        <v>1554</v>
      </c>
      <c r="R39" s="480" t="s">
        <v>1555</v>
      </c>
      <c r="S39" s="481" t="s">
        <v>1556</v>
      </c>
      <c r="T39" s="482" t="s">
        <v>1552</v>
      </c>
      <c r="U39" s="482" t="s">
        <v>1553</v>
      </c>
      <c r="V39" s="482" t="s">
        <v>1554</v>
      </c>
      <c r="W39" s="482" t="s">
        <v>1555</v>
      </c>
      <c r="X39" s="481" t="s">
        <v>1557</v>
      </c>
      <c r="Y39" s="481" t="s">
        <v>1558</v>
      </c>
      <c r="Z39" s="480" t="s">
        <v>1276</v>
      </c>
      <c r="AA39" s="480" t="s">
        <v>1277</v>
      </c>
      <c r="AB39" s="480" t="s">
        <v>1559</v>
      </c>
      <c r="AC39" s="480" t="s">
        <v>1560</v>
      </c>
      <c r="AD39" s="480" t="s">
        <v>1561</v>
      </c>
      <c r="AE39" s="480" t="s">
        <v>1562</v>
      </c>
      <c r="AF39" s="480" t="s">
        <v>1547</v>
      </c>
      <c r="AG39" s="480" t="s">
        <v>1548</v>
      </c>
      <c r="AH39" s="480" t="s">
        <v>1549</v>
      </c>
      <c r="AI39" s="480" t="s">
        <v>1550</v>
      </c>
      <c r="AJ39" s="481" t="s">
        <v>1563</v>
      </c>
      <c r="AK39" s="480" t="s">
        <v>1551</v>
      </c>
      <c r="AL39" s="480" t="s">
        <v>1552</v>
      </c>
      <c r="AM39" s="480" t="s">
        <v>1553</v>
      </c>
      <c r="AN39" s="480" t="s">
        <v>1554</v>
      </c>
      <c r="AO39" s="480" t="s">
        <v>1555</v>
      </c>
      <c r="AP39" s="481" t="s">
        <v>1564</v>
      </c>
      <c r="AQ39" s="482" t="s">
        <v>1552</v>
      </c>
      <c r="AR39" s="482" t="s">
        <v>1553</v>
      </c>
      <c r="AS39" s="482" t="s">
        <v>1554</v>
      </c>
      <c r="AT39" s="482" t="s">
        <v>1555</v>
      </c>
      <c r="AU39" s="481" t="s">
        <v>1565</v>
      </c>
      <c r="AV39" s="483"/>
      <c r="AW39" s="1325" t="s">
        <v>1350</v>
      </c>
      <c r="AX39" s="1325" t="s">
        <v>832</v>
      </c>
      <c r="AY39" s="1325" t="s">
        <v>1351</v>
      </c>
      <c r="AZ39" s="1325" t="s">
        <v>1187</v>
      </c>
    </row>
    <row r="40" spans="1:52">
      <c r="A40" s="484">
        <v>184</v>
      </c>
      <c r="B40" t="s">
        <v>1566</v>
      </c>
      <c r="C40">
        <v>287</v>
      </c>
      <c r="D40" t="s">
        <v>1567</v>
      </c>
      <c r="E40">
        <v>20891</v>
      </c>
      <c r="F40" t="s">
        <v>1502</v>
      </c>
      <c r="G40" t="s">
        <v>1027</v>
      </c>
      <c r="J40">
        <v>1</v>
      </c>
      <c r="S40">
        <v>1</v>
      </c>
      <c r="Y40">
        <v>0</v>
      </c>
      <c r="AG40">
        <v>1</v>
      </c>
      <c r="AP40">
        <v>1</v>
      </c>
      <c r="AU40">
        <v>0</v>
      </c>
      <c r="AW40" s="383" t="s">
        <v>473</v>
      </c>
      <c r="AX40" t="s">
        <v>1397</v>
      </c>
      <c r="AY40" t="s">
        <v>1568</v>
      </c>
      <c r="AZ40" t="s">
        <v>1306</v>
      </c>
    </row>
    <row r="41" spans="1:52">
      <c r="A41" s="484">
        <v>184</v>
      </c>
      <c r="B41" t="s">
        <v>1566</v>
      </c>
      <c r="C41">
        <v>287</v>
      </c>
      <c r="D41" t="s">
        <v>1567</v>
      </c>
      <c r="E41">
        <v>3403</v>
      </c>
      <c r="F41" t="s">
        <v>1503</v>
      </c>
      <c r="G41" t="s">
        <v>1013</v>
      </c>
      <c r="Q41">
        <v>1</v>
      </c>
      <c r="S41">
        <v>1</v>
      </c>
      <c r="Y41">
        <v>0</v>
      </c>
      <c r="AN41">
        <v>1</v>
      </c>
      <c r="AP41">
        <v>1</v>
      </c>
      <c r="AU41">
        <v>0</v>
      </c>
      <c r="AW41" s="383" t="s">
        <v>473</v>
      </c>
      <c r="AX41" t="s">
        <v>856</v>
      </c>
      <c r="AY41" t="s">
        <v>1568</v>
      </c>
      <c r="AZ41" t="s">
        <v>1306</v>
      </c>
    </row>
    <row r="42" spans="1:52">
      <c r="A42">
        <v>260</v>
      </c>
      <c r="B42" t="s">
        <v>1569</v>
      </c>
      <c r="C42">
        <v>260</v>
      </c>
      <c r="D42" t="s">
        <v>1570</v>
      </c>
      <c r="E42">
        <v>1747</v>
      </c>
      <c r="F42" t="s">
        <v>1571</v>
      </c>
      <c r="G42" t="s">
        <v>1013</v>
      </c>
      <c r="P42">
        <v>5</v>
      </c>
      <c r="Q42">
        <v>14</v>
      </c>
      <c r="S42">
        <v>19</v>
      </c>
      <c r="Y42">
        <v>0</v>
      </c>
      <c r="AM42">
        <v>5</v>
      </c>
      <c r="AN42">
        <v>14</v>
      </c>
      <c r="AP42">
        <v>19</v>
      </c>
      <c r="AU42">
        <v>0</v>
      </c>
      <c r="AW42" t="s">
        <v>473</v>
      </c>
      <c r="AX42" t="s">
        <v>864</v>
      </c>
      <c r="AY42" t="s">
        <v>441</v>
      </c>
      <c r="AZ42" t="s">
        <v>1306</v>
      </c>
    </row>
    <row r="43" spans="1:52">
      <c r="A43">
        <v>260</v>
      </c>
      <c r="B43" t="s">
        <v>1569</v>
      </c>
      <c r="C43">
        <v>260</v>
      </c>
      <c r="D43" t="s">
        <v>1570</v>
      </c>
      <c r="E43">
        <v>3395</v>
      </c>
      <c r="F43" t="s">
        <v>1479</v>
      </c>
      <c r="G43" t="s">
        <v>1013</v>
      </c>
      <c r="Q43">
        <v>1</v>
      </c>
      <c r="S43">
        <v>1</v>
      </c>
      <c r="Y43">
        <v>0</v>
      </c>
      <c r="AN43">
        <v>1</v>
      </c>
      <c r="AP43">
        <v>1</v>
      </c>
      <c r="AU43">
        <v>0</v>
      </c>
      <c r="AW43" t="s">
        <v>473</v>
      </c>
      <c r="AX43" t="s">
        <v>1233</v>
      </c>
      <c r="AY43" t="s">
        <v>441</v>
      </c>
      <c r="AZ43" t="s">
        <v>1306</v>
      </c>
    </row>
    <row r="44" spans="1:52">
      <c r="A44">
        <v>260</v>
      </c>
      <c r="B44" t="s">
        <v>1569</v>
      </c>
      <c r="C44">
        <v>260</v>
      </c>
      <c r="D44" t="s">
        <v>1570</v>
      </c>
      <c r="E44">
        <v>5697</v>
      </c>
      <c r="F44" t="s">
        <v>1572</v>
      </c>
      <c r="G44" t="s">
        <v>1013</v>
      </c>
      <c r="O44">
        <v>1</v>
      </c>
      <c r="S44">
        <v>1</v>
      </c>
      <c r="Y44">
        <v>0</v>
      </c>
      <c r="AL44">
        <v>1</v>
      </c>
      <c r="AP44">
        <v>1</v>
      </c>
      <c r="AU44">
        <v>0</v>
      </c>
      <c r="AW44" t="s">
        <v>473</v>
      </c>
      <c r="AX44" s="383" t="s">
        <v>1573</v>
      </c>
      <c r="AY44" t="s">
        <v>441</v>
      </c>
      <c r="AZ44" t="s">
        <v>1306</v>
      </c>
    </row>
    <row r="45" spans="1:52">
      <c r="A45">
        <v>260</v>
      </c>
      <c r="B45" t="s">
        <v>1569</v>
      </c>
      <c r="C45">
        <v>260</v>
      </c>
      <c r="D45" t="s">
        <v>1570</v>
      </c>
      <c r="E45">
        <v>8193</v>
      </c>
      <c r="F45" t="s">
        <v>1472</v>
      </c>
      <c r="G45" t="s">
        <v>1027</v>
      </c>
      <c r="O45">
        <v>1</v>
      </c>
      <c r="S45">
        <v>1</v>
      </c>
      <c r="Y45">
        <v>0</v>
      </c>
      <c r="AL45">
        <v>1</v>
      </c>
      <c r="AP45">
        <v>1</v>
      </c>
      <c r="AU45">
        <v>0</v>
      </c>
      <c r="AW45" t="s">
        <v>473</v>
      </c>
      <c r="AX45" t="s">
        <v>1397</v>
      </c>
      <c r="AY45" t="s">
        <v>441</v>
      </c>
      <c r="AZ45" t="s">
        <v>1306</v>
      </c>
    </row>
    <row r="46" spans="1:52">
      <c r="A46">
        <v>260</v>
      </c>
      <c r="B46" t="s">
        <v>1569</v>
      </c>
      <c r="C46">
        <v>5070</v>
      </c>
      <c r="D46" t="s">
        <v>1377</v>
      </c>
      <c r="E46">
        <v>1145</v>
      </c>
      <c r="F46" t="s">
        <v>1574</v>
      </c>
      <c r="G46" t="s">
        <v>1013</v>
      </c>
      <c r="H46">
        <v>9.5</v>
      </c>
      <c r="I46">
        <v>14</v>
      </c>
      <c r="J46">
        <v>15</v>
      </c>
      <c r="K46">
        <v>19</v>
      </c>
      <c r="L46">
        <v>12</v>
      </c>
      <c r="N46">
        <v>16</v>
      </c>
      <c r="O46">
        <v>8</v>
      </c>
      <c r="P46">
        <v>1</v>
      </c>
      <c r="S46">
        <v>178</v>
      </c>
      <c r="Y46">
        <v>0</v>
      </c>
      <c r="Z46">
        <v>19</v>
      </c>
      <c r="AA46">
        <v>21</v>
      </c>
      <c r="AB46">
        <v>15</v>
      </c>
      <c r="AC46">
        <v>19</v>
      </c>
      <c r="AD46">
        <v>23</v>
      </c>
      <c r="AE46">
        <v>16</v>
      </c>
      <c r="AF46">
        <v>14</v>
      </c>
      <c r="AG46">
        <v>15</v>
      </c>
      <c r="AH46">
        <v>19</v>
      </c>
      <c r="AI46">
        <v>12</v>
      </c>
      <c r="AK46">
        <v>16</v>
      </c>
      <c r="AL46">
        <v>8</v>
      </c>
      <c r="AM46">
        <v>1</v>
      </c>
      <c r="AP46">
        <v>198</v>
      </c>
      <c r="AU46">
        <v>0</v>
      </c>
      <c r="AW46" t="s">
        <v>473</v>
      </c>
      <c r="AX46" t="s">
        <v>1463</v>
      </c>
      <c r="AY46" t="s">
        <v>441</v>
      </c>
      <c r="AZ46" t="s">
        <v>1575</v>
      </c>
    </row>
    <row r="47" spans="1:52">
      <c r="A47">
        <v>260</v>
      </c>
      <c r="B47" t="s">
        <v>1569</v>
      </c>
      <c r="C47">
        <v>9011</v>
      </c>
      <c r="D47" t="s">
        <v>1576</v>
      </c>
      <c r="E47">
        <v>7502</v>
      </c>
      <c r="F47" t="s">
        <v>1026</v>
      </c>
      <c r="G47" t="s">
        <v>1027</v>
      </c>
      <c r="P47">
        <v>1</v>
      </c>
      <c r="S47">
        <v>1</v>
      </c>
      <c r="Y47">
        <v>0</v>
      </c>
      <c r="AM47">
        <v>1</v>
      </c>
      <c r="AP47">
        <v>1</v>
      </c>
      <c r="AU47">
        <v>0</v>
      </c>
      <c r="AW47" t="s">
        <v>473</v>
      </c>
      <c r="AX47" t="s">
        <v>1397</v>
      </c>
      <c r="AY47" t="s">
        <v>441</v>
      </c>
      <c r="AZ47" t="s">
        <v>1306</v>
      </c>
    </row>
    <row r="48" spans="1:52">
      <c r="A48">
        <v>261</v>
      </c>
      <c r="B48" t="s">
        <v>733</v>
      </c>
      <c r="C48">
        <v>3548</v>
      </c>
      <c r="D48" t="s">
        <v>730</v>
      </c>
      <c r="E48">
        <v>1744</v>
      </c>
      <c r="F48" t="s">
        <v>1470</v>
      </c>
      <c r="G48" t="s">
        <v>1013</v>
      </c>
      <c r="K48">
        <v>1</v>
      </c>
      <c r="S48">
        <v>4</v>
      </c>
      <c r="Y48">
        <v>0</v>
      </c>
      <c r="AA48">
        <v>1</v>
      </c>
      <c r="AC48">
        <v>1</v>
      </c>
      <c r="AE48">
        <v>1</v>
      </c>
      <c r="AH48">
        <v>1</v>
      </c>
      <c r="AP48">
        <v>4</v>
      </c>
      <c r="AU48">
        <v>0</v>
      </c>
      <c r="AW48" t="s">
        <v>473</v>
      </c>
      <c r="AX48" t="s">
        <v>1384</v>
      </c>
      <c r="AY48" t="s">
        <v>443</v>
      </c>
      <c r="AZ48" t="s">
        <v>1298</v>
      </c>
    </row>
    <row r="49" spans="1:52">
      <c r="A49">
        <v>261</v>
      </c>
      <c r="B49" t="s">
        <v>733</v>
      </c>
      <c r="C49">
        <v>3548</v>
      </c>
      <c r="D49" t="s">
        <v>730</v>
      </c>
      <c r="E49">
        <v>3310</v>
      </c>
      <c r="F49" t="s">
        <v>1045</v>
      </c>
      <c r="G49" t="s">
        <v>1013</v>
      </c>
      <c r="P49">
        <v>1</v>
      </c>
      <c r="S49">
        <v>1</v>
      </c>
      <c r="Y49">
        <v>0</v>
      </c>
      <c r="AM49">
        <v>1</v>
      </c>
      <c r="AP49">
        <v>1</v>
      </c>
      <c r="AU49">
        <v>0</v>
      </c>
      <c r="AW49" t="s">
        <v>473</v>
      </c>
      <c r="AX49" t="s">
        <v>1233</v>
      </c>
      <c r="AY49" t="s">
        <v>443</v>
      </c>
      <c r="AZ49" t="s">
        <v>1306</v>
      </c>
    </row>
    <row r="50" spans="1:52">
      <c r="A50">
        <v>261</v>
      </c>
      <c r="B50" t="s">
        <v>733</v>
      </c>
      <c r="C50">
        <v>3548</v>
      </c>
      <c r="D50" t="s">
        <v>730</v>
      </c>
      <c r="E50">
        <v>3330</v>
      </c>
      <c r="F50" t="s">
        <v>1012</v>
      </c>
      <c r="G50" t="s">
        <v>1013</v>
      </c>
      <c r="Q50">
        <v>1</v>
      </c>
      <c r="S50">
        <v>1</v>
      </c>
      <c r="Y50">
        <v>0</v>
      </c>
      <c r="AN50">
        <v>1</v>
      </c>
      <c r="AP50">
        <v>1</v>
      </c>
      <c r="AU50">
        <v>0</v>
      </c>
      <c r="AW50" t="s">
        <v>473</v>
      </c>
      <c r="AX50" t="s">
        <v>1405</v>
      </c>
      <c r="AY50" t="s">
        <v>443</v>
      </c>
      <c r="AZ50" t="s">
        <v>1306</v>
      </c>
    </row>
    <row r="51" spans="1:52">
      <c r="A51">
        <v>261</v>
      </c>
      <c r="B51" t="s">
        <v>733</v>
      </c>
      <c r="C51">
        <v>3548</v>
      </c>
      <c r="D51" t="s">
        <v>730</v>
      </c>
      <c r="E51">
        <v>3449</v>
      </c>
      <c r="F51" t="s">
        <v>1015</v>
      </c>
      <c r="G51" t="s">
        <v>1013</v>
      </c>
      <c r="O51">
        <v>2</v>
      </c>
      <c r="P51">
        <v>7</v>
      </c>
      <c r="Q51">
        <v>7</v>
      </c>
      <c r="S51">
        <v>16</v>
      </c>
      <c r="Y51">
        <v>0</v>
      </c>
      <c r="AL51">
        <v>2</v>
      </c>
      <c r="AM51">
        <v>7</v>
      </c>
      <c r="AN51">
        <v>7</v>
      </c>
      <c r="AP51">
        <v>16</v>
      </c>
      <c r="AU51">
        <v>0</v>
      </c>
      <c r="AW51" t="s">
        <v>473</v>
      </c>
      <c r="AX51" t="s">
        <v>1384</v>
      </c>
      <c r="AY51" t="s">
        <v>443</v>
      </c>
      <c r="AZ51" t="s">
        <v>1306</v>
      </c>
    </row>
    <row r="52" spans="1:52">
      <c r="A52">
        <v>261</v>
      </c>
      <c r="B52" t="s">
        <v>733</v>
      </c>
      <c r="C52">
        <v>3548</v>
      </c>
      <c r="D52" t="s">
        <v>730</v>
      </c>
      <c r="E52">
        <v>3483</v>
      </c>
      <c r="F52" t="s">
        <v>1471</v>
      </c>
      <c r="G52" t="s">
        <v>1013</v>
      </c>
      <c r="I52">
        <v>3</v>
      </c>
      <c r="J52">
        <v>3</v>
      </c>
      <c r="K52">
        <v>4</v>
      </c>
      <c r="L52">
        <v>3</v>
      </c>
      <c r="N52">
        <v>1</v>
      </c>
      <c r="S52">
        <v>18</v>
      </c>
      <c r="Y52">
        <v>0</v>
      </c>
      <c r="AB52">
        <v>1</v>
      </c>
      <c r="AC52">
        <v>1</v>
      </c>
      <c r="AD52">
        <v>1</v>
      </c>
      <c r="AE52">
        <v>1</v>
      </c>
      <c r="AF52">
        <v>3</v>
      </c>
      <c r="AG52">
        <v>3</v>
      </c>
      <c r="AH52">
        <v>4</v>
      </c>
      <c r="AI52">
        <v>3</v>
      </c>
      <c r="AK52">
        <v>1</v>
      </c>
      <c r="AP52">
        <v>18</v>
      </c>
      <c r="AU52">
        <v>0</v>
      </c>
      <c r="AW52" t="s">
        <v>473</v>
      </c>
      <c r="AX52" t="s">
        <v>1384</v>
      </c>
      <c r="AY52" t="s">
        <v>443</v>
      </c>
      <c r="AZ52" t="s">
        <v>1306</v>
      </c>
    </row>
    <row r="53" spans="1:52">
      <c r="A53">
        <v>261</v>
      </c>
      <c r="B53" t="s">
        <v>733</v>
      </c>
      <c r="C53">
        <v>3548</v>
      </c>
      <c r="D53" t="s">
        <v>730</v>
      </c>
      <c r="E53">
        <v>8193</v>
      </c>
      <c r="F53" t="s">
        <v>1472</v>
      </c>
      <c r="G53" t="s">
        <v>1027</v>
      </c>
      <c r="Q53">
        <v>1</v>
      </c>
      <c r="S53">
        <v>1</v>
      </c>
      <c r="Y53">
        <v>0</v>
      </c>
      <c r="AN53">
        <v>1</v>
      </c>
      <c r="AP53">
        <v>1</v>
      </c>
      <c r="AU53">
        <v>0</v>
      </c>
      <c r="AW53" t="s">
        <v>473</v>
      </c>
      <c r="AX53" t="s">
        <v>1397</v>
      </c>
      <c r="AY53" t="s">
        <v>443</v>
      </c>
      <c r="AZ53" t="s">
        <v>1306</v>
      </c>
    </row>
    <row r="54" spans="1:52">
      <c r="A54">
        <v>262</v>
      </c>
      <c r="B54" t="s">
        <v>1577</v>
      </c>
      <c r="C54">
        <v>262</v>
      </c>
      <c r="D54" t="s">
        <v>1578</v>
      </c>
      <c r="E54">
        <v>1747</v>
      </c>
      <c r="F54" t="s">
        <v>1571</v>
      </c>
      <c r="G54" t="s">
        <v>1013</v>
      </c>
      <c r="I54">
        <v>1</v>
      </c>
      <c r="J54">
        <v>1</v>
      </c>
      <c r="K54">
        <v>2</v>
      </c>
      <c r="L54">
        <v>3</v>
      </c>
      <c r="N54">
        <v>2</v>
      </c>
      <c r="O54">
        <v>6</v>
      </c>
      <c r="P54">
        <v>6</v>
      </c>
      <c r="Q54">
        <v>6</v>
      </c>
      <c r="S54">
        <v>34</v>
      </c>
      <c r="Y54">
        <v>0</v>
      </c>
      <c r="AC54">
        <v>1</v>
      </c>
      <c r="AD54">
        <v>1</v>
      </c>
      <c r="AE54">
        <v>5</v>
      </c>
      <c r="AF54">
        <v>1</v>
      </c>
      <c r="AG54">
        <v>1</v>
      </c>
      <c r="AH54">
        <v>2</v>
      </c>
      <c r="AI54">
        <v>3</v>
      </c>
      <c r="AK54">
        <v>2</v>
      </c>
      <c r="AL54">
        <v>6</v>
      </c>
      <c r="AM54">
        <v>6</v>
      </c>
      <c r="AN54">
        <v>6</v>
      </c>
      <c r="AP54">
        <v>34</v>
      </c>
      <c r="AU54">
        <v>0</v>
      </c>
      <c r="AW54" t="s">
        <v>473</v>
      </c>
      <c r="AX54" t="s">
        <v>864</v>
      </c>
      <c r="AY54" t="s">
        <v>447</v>
      </c>
      <c r="AZ54" t="s">
        <v>1306</v>
      </c>
    </row>
    <row r="55" spans="1:52">
      <c r="A55">
        <v>262</v>
      </c>
      <c r="B55" t="s">
        <v>1577</v>
      </c>
      <c r="C55">
        <v>262</v>
      </c>
      <c r="D55" t="s">
        <v>1578</v>
      </c>
      <c r="E55">
        <v>3483</v>
      </c>
      <c r="F55" t="s">
        <v>1471</v>
      </c>
      <c r="G55" t="s">
        <v>1013</v>
      </c>
      <c r="K55">
        <v>1</v>
      </c>
      <c r="N55">
        <v>1</v>
      </c>
      <c r="O55">
        <v>1</v>
      </c>
      <c r="S55">
        <v>3</v>
      </c>
      <c r="Y55">
        <v>0</v>
      </c>
      <c r="AH55">
        <v>1</v>
      </c>
      <c r="AK55">
        <v>1</v>
      </c>
      <c r="AL55">
        <v>1</v>
      </c>
      <c r="AP55">
        <v>3</v>
      </c>
      <c r="AU55">
        <v>0</v>
      </c>
      <c r="AW55" t="s">
        <v>473</v>
      </c>
      <c r="AX55" t="s">
        <v>1384</v>
      </c>
      <c r="AY55" t="s">
        <v>447</v>
      </c>
      <c r="AZ55" t="s">
        <v>1306</v>
      </c>
    </row>
    <row r="56" spans="1:52">
      <c r="A56">
        <v>263</v>
      </c>
      <c r="B56" t="s">
        <v>1579</v>
      </c>
      <c r="C56">
        <v>263</v>
      </c>
      <c r="D56" t="s">
        <v>1580</v>
      </c>
      <c r="E56">
        <v>1526</v>
      </c>
      <c r="F56" t="s">
        <v>1581</v>
      </c>
      <c r="G56" t="s">
        <v>1013</v>
      </c>
      <c r="H56">
        <v>2</v>
      </c>
      <c r="I56">
        <v>16</v>
      </c>
      <c r="J56">
        <v>13</v>
      </c>
      <c r="K56">
        <v>11</v>
      </c>
      <c r="L56">
        <v>17</v>
      </c>
      <c r="N56">
        <v>26</v>
      </c>
      <c r="O56">
        <v>14</v>
      </c>
      <c r="P56">
        <v>15</v>
      </c>
      <c r="Q56">
        <v>11</v>
      </c>
      <c r="S56">
        <v>191</v>
      </c>
      <c r="Y56">
        <v>0</v>
      </c>
      <c r="Z56">
        <v>4</v>
      </c>
      <c r="AA56">
        <v>16</v>
      </c>
      <c r="AB56">
        <v>9</v>
      </c>
      <c r="AC56">
        <v>14</v>
      </c>
      <c r="AD56">
        <v>15</v>
      </c>
      <c r="AE56">
        <v>20</v>
      </c>
      <c r="AF56">
        <v>16</v>
      </c>
      <c r="AG56">
        <v>13</v>
      </c>
      <c r="AH56">
        <v>11</v>
      </c>
      <c r="AI56">
        <v>17</v>
      </c>
      <c r="AK56">
        <v>26</v>
      </c>
      <c r="AL56">
        <v>14</v>
      </c>
      <c r="AM56">
        <v>15</v>
      </c>
      <c r="AN56">
        <v>11</v>
      </c>
      <c r="AP56">
        <v>201</v>
      </c>
      <c r="AU56">
        <v>0</v>
      </c>
      <c r="AW56" t="s">
        <v>473</v>
      </c>
      <c r="AX56" t="s">
        <v>1463</v>
      </c>
      <c r="AY56" t="s">
        <v>441</v>
      </c>
      <c r="AZ56" t="s">
        <v>1575</v>
      </c>
    </row>
    <row r="57" spans="1:52">
      <c r="A57">
        <v>263</v>
      </c>
      <c r="B57" t="s">
        <v>1579</v>
      </c>
      <c r="C57">
        <v>9011</v>
      </c>
      <c r="D57" t="s">
        <v>1576</v>
      </c>
      <c r="E57">
        <v>3395</v>
      </c>
      <c r="F57" t="s">
        <v>1479</v>
      </c>
      <c r="G57" t="s">
        <v>1013</v>
      </c>
      <c r="P57">
        <v>1</v>
      </c>
      <c r="S57">
        <v>1</v>
      </c>
      <c r="Y57">
        <v>0</v>
      </c>
      <c r="AM57">
        <v>1</v>
      </c>
      <c r="AP57">
        <v>1</v>
      </c>
      <c r="AU57">
        <v>0</v>
      </c>
      <c r="AW57" t="s">
        <v>473</v>
      </c>
      <c r="AX57" t="s">
        <v>1233</v>
      </c>
      <c r="AY57" t="s">
        <v>441</v>
      </c>
      <c r="AZ57" t="s">
        <v>1306</v>
      </c>
    </row>
    <row r="58" spans="1:52">
      <c r="A58">
        <v>265</v>
      </c>
      <c r="B58" t="s">
        <v>1582</v>
      </c>
      <c r="C58">
        <v>265</v>
      </c>
      <c r="D58" t="s">
        <v>1583</v>
      </c>
      <c r="E58">
        <v>3452</v>
      </c>
      <c r="F58" t="s">
        <v>1584</v>
      </c>
      <c r="G58" t="s">
        <v>1013</v>
      </c>
      <c r="H58">
        <v>0.5</v>
      </c>
      <c r="N58">
        <v>1</v>
      </c>
      <c r="Q58">
        <v>1</v>
      </c>
      <c r="S58">
        <v>5.5</v>
      </c>
      <c r="Y58">
        <v>0</v>
      </c>
      <c r="Z58">
        <v>1</v>
      </c>
      <c r="AB58">
        <v>1</v>
      </c>
      <c r="AC58">
        <v>1</v>
      </c>
      <c r="AD58">
        <v>1</v>
      </c>
      <c r="AK58">
        <v>1</v>
      </c>
      <c r="AN58">
        <v>1</v>
      </c>
      <c r="AP58">
        <v>6</v>
      </c>
      <c r="AU58">
        <v>0</v>
      </c>
      <c r="AW58" t="s">
        <v>473</v>
      </c>
      <c r="AX58" t="s">
        <v>1490</v>
      </c>
      <c r="AY58" t="s">
        <v>441</v>
      </c>
      <c r="AZ58" t="s">
        <v>1306</v>
      </c>
    </row>
    <row r="59" spans="1:52">
      <c r="A59">
        <v>265</v>
      </c>
      <c r="B59" t="s">
        <v>1582</v>
      </c>
      <c r="C59">
        <v>265</v>
      </c>
      <c r="D59" t="s">
        <v>1583</v>
      </c>
      <c r="E59">
        <v>6402</v>
      </c>
      <c r="F59" t="s">
        <v>1585</v>
      </c>
      <c r="G59" t="s">
        <v>1027</v>
      </c>
      <c r="K59">
        <v>1</v>
      </c>
      <c r="S59">
        <v>1.5</v>
      </c>
      <c r="Y59">
        <v>0</v>
      </c>
      <c r="AA59">
        <v>1</v>
      </c>
      <c r="AH59">
        <v>1</v>
      </c>
      <c r="AP59">
        <v>2</v>
      </c>
      <c r="AU59">
        <v>0</v>
      </c>
      <c r="AW59" s="383" t="s">
        <v>473</v>
      </c>
      <c r="AX59" t="s">
        <v>1397</v>
      </c>
      <c r="AY59" t="s">
        <v>441</v>
      </c>
      <c r="AZ59" t="s">
        <v>1575</v>
      </c>
    </row>
    <row r="60" spans="1:52">
      <c r="A60">
        <v>265</v>
      </c>
      <c r="B60" t="s">
        <v>1582</v>
      </c>
      <c r="C60">
        <v>265</v>
      </c>
      <c r="D60" t="s">
        <v>1583</v>
      </c>
      <c r="E60">
        <v>8227</v>
      </c>
      <c r="F60" t="s">
        <v>1586</v>
      </c>
      <c r="G60" t="s">
        <v>1013</v>
      </c>
      <c r="K60">
        <v>1</v>
      </c>
      <c r="P60">
        <v>1</v>
      </c>
      <c r="S60">
        <v>2</v>
      </c>
      <c r="Y60">
        <v>0</v>
      </c>
      <c r="AH60">
        <v>1</v>
      </c>
      <c r="AM60">
        <v>1</v>
      </c>
      <c r="AP60">
        <v>2</v>
      </c>
      <c r="AU60">
        <v>0</v>
      </c>
      <c r="AW60" t="s">
        <v>473</v>
      </c>
      <c r="AX60" t="s">
        <v>1397</v>
      </c>
      <c r="AY60" t="s">
        <v>441</v>
      </c>
      <c r="AZ60" t="s">
        <v>1306</v>
      </c>
    </row>
    <row r="61" spans="1:52">
      <c r="A61">
        <v>266</v>
      </c>
      <c r="B61" t="s">
        <v>1587</v>
      </c>
      <c r="C61">
        <v>266</v>
      </c>
      <c r="D61" t="s">
        <v>1588</v>
      </c>
      <c r="E61">
        <v>1048</v>
      </c>
      <c r="F61" t="s">
        <v>1055</v>
      </c>
      <c r="G61" t="s">
        <v>1013</v>
      </c>
      <c r="Q61">
        <v>1</v>
      </c>
      <c r="S61">
        <v>1</v>
      </c>
      <c r="Y61">
        <v>0</v>
      </c>
      <c r="AN61">
        <v>1</v>
      </c>
      <c r="AP61">
        <v>1</v>
      </c>
      <c r="AU61">
        <v>0</v>
      </c>
      <c r="AW61" t="s">
        <v>474</v>
      </c>
      <c r="AX61" t="s">
        <v>862</v>
      </c>
      <c r="AY61" t="s">
        <v>441</v>
      </c>
      <c r="AZ61" t="s">
        <v>1306</v>
      </c>
    </row>
    <row r="62" spans="1:52">
      <c r="A62">
        <v>266</v>
      </c>
      <c r="B62" t="s">
        <v>1587</v>
      </c>
      <c r="C62">
        <v>266</v>
      </c>
      <c r="D62" t="s">
        <v>1588</v>
      </c>
      <c r="E62">
        <v>1526</v>
      </c>
      <c r="F62" t="s">
        <v>1581</v>
      </c>
      <c r="G62" t="s">
        <v>1013</v>
      </c>
      <c r="O62">
        <v>1</v>
      </c>
      <c r="S62">
        <v>1</v>
      </c>
      <c r="Y62">
        <v>0</v>
      </c>
      <c r="AL62">
        <v>1</v>
      </c>
      <c r="AP62">
        <v>1</v>
      </c>
      <c r="AU62">
        <v>0</v>
      </c>
      <c r="AW62" t="s">
        <v>474</v>
      </c>
      <c r="AX62" t="s">
        <v>1463</v>
      </c>
      <c r="AY62" t="s">
        <v>441</v>
      </c>
      <c r="AZ62" t="s">
        <v>1306</v>
      </c>
    </row>
    <row r="63" spans="1:52">
      <c r="A63">
        <v>266</v>
      </c>
      <c r="B63" t="s">
        <v>1587</v>
      </c>
      <c r="C63">
        <v>266</v>
      </c>
      <c r="D63" t="s">
        <v>1588</v>
      </c>
      <c r="E63">
        <v>1758</v>
      </c>
      <c r="F63" t="s">
        <v>1020</v>
      </c>
      <c r="G63" t="s">
        <v>1013</v>
      </c>
      <c r="O63">
        <v>6</v>
      </c>
      <c r="P63">
        <v>8</v>
      </c>
      <c r="S63">
        <v>14</v>
      </c>
      <c r="Y63">
        <v>0</v>
      </c>
      <c r="AL63">
        <v>6</v>
      </c>
      <c r="AM63">
        <v>8</v>
      </c>
      <c r="AP63">
        <v>14</v>
      </c>
      <c r="AU63">
        <v>0</v>
      </c>
      <c r="AW63" t="s">
        <v>474</v>
      </c>
      <c r="AX63" t="s">
        <v>1463</v>
      </c>
      <c r="AY63" t="s">
        <v>441</v>
      </c>
      <c r="AZ63" t="s">
        <v>1306</v>
      </c>
    </row>
    <row r="64" spans="1:52">
      <c r="A64">
        <v>266</v>
      </c>
      <c r="B64" t="s">
        <v>1587</v>
      </c>
      <c r="C64">
        <v>266</v>
      </c>
      <c r="D64" t="s">
        <v>1588</v>
      </c>
      <c r="E64">
        <v>3282</v>
      </c>
      <c r="F64" t="s">
        <v>1022</v>
      </c>
      <c r="G64" t="s">
        <v>1013</v>
      </c>
      <c r="P64">
        <v>2</v>
      </c>
      <c r="Q64">
        <v>1</v>
      </c>
      <c r="S64">
        <v>3</v>
      </c>
      <c r="Y64">
        <v>0</v>
      </c>
      <c r="AM64">
        <v>2</v>
      </c>
      <c r="AN64">
        <v>1</v>
      </c>
      <c r="AP64">
        <v>3</v>
      </c>
      <c r="AU64">
        <v>0</v>
      </c>
      <c r="AW64" t="s">
        <v>474</v>
      </c>
      <c r="AX64" t="s">
        <v>1233</v>
      </c>
      <c r="AY64" t="s">
        <v>441</v>
      </c>
      <c r="AZ64" t="s">
        <v>1306</v>
      </c>
    </row>
    <row r="65" spans="1:52">
      <c r="A65">
        <v>266</v>
      </c>
      <c r="B65" t="s">
        <v>1587</v>
      </c>
      <c r="C65">
        <v>266</v>
      </c>
      <c r="D65" t="s">
        <v>1588</v>
      </c>
      <c r="E65">
        <v>3300</v>
      </c>
      <c r="F65" t="s">
        <v>1589</v>
      </c>
      <c r="G65" t="s">
        <v>1013</v>
      </c>
      <c r="O65">
        <v>1</v>
      </c>
      <c r="Q65">
        <v>1</v>
      </c>
      <c r="S65">
        <v>2</v>
      </c>
      <c r="Y65">
        <v>0</v>
      </c>
      <c r="AL65">
        <v>1</v>
      </c>
      <c r="AN65">
        <v>1</v>
      </c>
      <c r="AP65">
        <v>2</v>
      </c>
      <c r="AU65">
        <v>0</v>
      </c>
      <c r="AW65" t="s">
        <v>474</v>
      </c>
      <c r="AX65" t="s">
        <v>1233</v>
      </c>
      <c r="AY65" t="s">
        <v>441</v>
      </c>
      <c r="AZ65" t="s">
        <v>1306</v>
      </c>
    </row>
    <row r="66" spans="1:52">
      <c r="A66">
        <v>266</v>
      </c>
      <c r="B66" t="s">
        <v>1587</v>
      </c>
      <c r="C66">
        <v>266</v>
      </c>
      <c r="D66" t="s">
        <v>1588</v>
      </c>
      <c r="E66">
        <v>3304</v>
      </c>
      <c r="F66" t="s">
        <v>1494</v>
      </c>
      <c r="G66" t="s">
        <v>1013</v>
      </c>
      <c r="O66">
        <v>1</v>
      </c>
      <c r="S66">
        <v>1</v>
      </c>
      <c r="Y66">
        <v>0</v>
      </c>
      <c r="AL66">
        <v>1</v>
      </c>
      <c r="AP66">
        <v>1</v>
      </c>
      <c r="AU66">
        <v>0</v>
      </c>
      <c r="AW66" t="s">
        <v>474</v>
      </c>
      <c r="AX66" t="s">
        <v>852</v>
      </c>
      <c r="AY66" t="s">
        <v>441</v>
      </c>
      <c r="AZ66" t="s">
        <v>1306</v>
      </c>
    </row>
    <row r="67" spans="1:52">
      <c r="A67">
        <v>266</v>
      </c>
      <c r="B67" t="s">
        <v>1587</v>
      </c>
      <c r="C67">
        <v>266</v>
      </c>
      <c r="D67" t="s">
        <v>1588</v>
      </c>
      <c r="E67">
        <v>3305</v>
      </c>
      <c r="F67" t="s">
        <v>1024</v>
      </c>
      <c r="G67" t="s">
        <v>1013</v>
      </c>
      <c r="O67">
        <v>1</v>
      </c>
      <c r="P67">
        <v>1</v>
      </c>
      <c r="Q67">
        <v>1</v>
      </c>
      <c r="S67">
        <v>3</v>
      </c>
      <c r="Y67">
        <v>0</v>
      </c>
      <c r="AL67">
        <v>1</v>
      </c>
      <c r="AM67">
        <v>1</v>
      </c>
      <c r="AN67">
        <v>1</v>
      </c>
      <c r="AP67">
        <v>3</v>
      </c>
      <c r="AU67">
        <v>0</v>
      </c>
      <c r="AW67" t="s">
        <v>474</v>
      </c>
      <c r="AX67" t="s">
        <v>1233</v>
      </c>
      <c r="AY67" t="s">
        <v>441</v>
      </c>
      <c r="AZ67" t="s">
        <v>1306</v>
      </c>
    </row>
    <row r="68" spans="1:52">
      <c r="A68">
        <v>266</v>
      </c>
      <c r="B68" t="s">
        <v>1587</v>
      </c>
      <c r="C68">
        <v>266</v>
      </c>
      <c r="D68" t="s">
        <v>1588</v>
      </c>
      <c r="E68">
        <v>3310</v>
      </c>
      <c r="F68" t="s">
        <v>1045</v>
      </c>
      <c r="G68" t="s">
        <v>1013</v>
      </c>
      <c r="O68">
        <v>1</v>
      </c>
      <c r="P68">
        <v>1</v>
      </c>
      <c r="S68">
        <v>2</v>
      </c>
      <c r="Y68">
        <v>0</v>
      </c>
      <c r="AL68">
        <v>1</v>
      </c>
      <c r="AM68">
        <v>1</v>
      </c>
      <c r="AP68">
        <v>2</v>
      </c>
      <c r="AU68">
        <v>0</v>
      </c>
      <c r="AW68" t="s">
        <v>474</v>
      </c>
      <c r="AX68" t="s">
        <v>1233</v>
      </c>
      <c r="AY68" t="s">
        <v>441</v>
      </c>
      <c r="AZ68" t="s">
        <v>1306</v>
      </c>
    </row>
    <row r="69" spans="1:52">
      <c r="A69">
        <v>266</v>
      </c>
      <c r="B69" t="s">
        <v>1587</v>
      </c>
      <c r="C69">
        <v>266</v>
      </c>
      <c r="D69" t="s">
        <v>1588</v>
      </c>
      <c r="E69">
        <v>3342</v>
      </c>
      <c r="F69" t="s">
        <v>1057</v>
      </c>
      <c r="G69" t="s">
        <v>1013</v>
      </c>
      <c r="O69">
        <v>2</v>
      </c>
      <c r="Q69">
        <v>1</v>
      </c>
      <c r="S69">
        <v>3</v>
      </c>
      <c r="Y69">
        <v>0</v>
      </c>
      <c r="AL69">
        <v>2</v>
      </c>
      <c r="AN69">
        <v>1</v>
      </c>
      <c r="AP69">
        <v>3</v>
      </c>
      <c r="AU69">
        <v>0</v>
      </c>
      <c r="AW69" t="s">
        <v>474</v>
      </c>
      <c r="AX69" t="s">
        <v>1388</v>
      </c>
      <c r="AY69" t="s">
        <v>441</v>
      </c>
      <c r="AZ69" t="s">
        <v>1306</v>
      </c>
    </row>
    <row r="70" spans="1:52">
      <c r="A70">
        <v>266</v>
      </c>
      <c r="B70" t="s">
        <v>1587</v>
      </c>
      <c r="C70">
        <v>266</v>
      </c>
      <c r="D70" t="s">
        <v>1588</v>
      </c>
      <c r="E70">
        <v>3343</v>
      </c>
      <c r="F70" t="s">
        <v>1473</v>
      </c>
      <c r="G70" t="s">
        <v>1013</v>
      </c>
      <c r="O70">
        <v>2</v>
      </c>
      <c r="S70">
        <v>2</v>
      </c>
      <c r="Y70">
        <v>0</v>
      </c>
      <c r="AL70">
        <v>2</v>
      </c>
      <c r="AP70">
        <v>2</v>
      </c>
      <c r="AU70">
        <v>0</v>
      </c>
      <c r="AW70" t="s">
        <v>474</v>
      </c>
      <c r="AX70" t="s">
        <v>1388</v>
      </c>
      <c r="AY70" t="s">
        <v>441</v>
      </c>
      <c r="AZ70" t="s">
        <v>1306</v>
      </c>
    </row>
    <row r="71" spans="1:52">
      <c r="A71">
        <v>266</v>
      </c>
      <c r="B71" t="s">
        <v>1587</v>
      </c>
      <c r="C71">
        <v>266</v>
      </c>
      <c r="D71" t="s">
        <v>1588</v>
      </c>
      <c r="E71">
        <v>3372</v>
      </c>
      <c r="F71" t="s">
        <v>976</v>
      </c>
      <c r="G71" t="s">
        <v>1013</v>
      </c>
      <c r="O71">
        <v>1</v>
      </c>
      <c r="Q71">
        <v>1</v>
      </c>
      <c r="S71">
        <v>2</v>
      </c>
      <c r="Y71">
        <v>0</v>
      </c>
      <c r="AL71">
        <v>1</v>
      </c>
      <c r="AN71">
        <v>1</v>
      </c>
      <c r="AP71">
        <v>2</v>
      </c>
      <c r="AU71">
        <v>0</v>
      </c>
      <c r="AW71" t="s">
        <v>474</v>
      </c>
      <c r="AX71" t="s">
        <v>1405</v>
      </c>
      <c r="AY71" t="s">
        <v>441</v>
      </c>
      <c r="AZ71" t="s">
        <v>1306</v>
      </c>
    </row>
    <row r="72" spans="1:52">
      <c r="A72">
        <v>266</v>
      </c>
      <c r="B72" t="s">
        <v>1587</v>
      </c>
      <c r="C72">
        <v>266</v>
      </c>
      <c r="D72" t="s">
        <v>1588</v>
      </c>
      <c r="E72">
        <v>3374</v>
      </c>
      <c r="F72" t="s">
        <v>1487</v>
      </c>
      <c r="G72" t="s">
        <v>1013</v>
      </c>
      <c r="O72">
        <v>2</v>
      </c>
      <c r="S72">
        <v>2</v>
      </c>
      <c r="Y72">
        <v>0</v>
      </c>
      <c r="AL72">
        <v>2</v>
      </c>
      <c r="AP72">
        <v>2</v>
      </c>
      <c r="AU72">
        <v>0</v>
      </c>
      <c r="AW72" t="s">
        <v>474</v>
      </c>
      <c r="AX72" t="s">
        <v>1405</v>
      </c>
      <c r="AY72" t="s">
        <v>441</v>
      </c>
      <c r="AZ72" t="s">
        <v>1306</v>
      </c>
    </row>
    <row r="73" spans="1:52">
      <c r="A73">
        <v>266</v>
      </c>
      <c r="B73" t="s">
        <v>1587</v>
      </c>
      <c r="C73">
        <v>266</v>
      </c>
      <c r="D73" t="s">
        <v>1588</v>
      </c>
      <c r="E73">
        <v>3379</v>
      </c>
      <c r="F73" t="s">
        <v>1051</v>
      </c>
      <c r="G73" t="s">
        <v>1013</v>
      </c>
      <c r="O73">
        <v>1</v>
      </c>
      <c r="S73">
        <v>1</v>
      </c>
      <c r="Y73">
        <v>0</v>
      </c>
      <c r="AL73">
        <v>1</v>
      </c>
      <c r="AP73">
        <v>1</v>
      </c>
      <c r="AU73">
        <v>0</v>
      </c>
      <c r="AW73" t="s">
        <v>474</v>
      </c>
      <c r="AX73" t="s">
        <v>1233</v>
      </c>
      <c r="AY73" t="s">
        <v>441</v>
      </c>
      <c r="AZ73" t="s">
        <v>1306</v>
      </c>
    </row>
    <row r="74" spans="1:52">
      <c r="A74">
        <v>266</v>
      </c>
      <c r="B74" t="s">
        <v>1587</v>
      </c>
      <c r="C74">
        <v>266</v>
      </c>
      <c r="D74" t="s">
        <v>1588</v>
      </c>
      <c r="E74">
        <v>3388</v>
      </c>
      <c r="F74" t="s">
        <v>1590</v>
      </c>
      <c r="G74" t="s">
        <v>1013</v>
      </c>
      <c r="O74">
        <v>1</v>
      </c>
      <c r="Q74">
        <v>1</v>
      </c>
      <c r="S74">
        <v>2</v>
      </c>
      <c r="Y74">
        <v>0</v>
      </c>
      <c r="AL74">
        <v>1</v>
      </c>
      <c r="AN74">
        <v>1</v>
      </c>
      <c r="AP74">
        <v>2</v>
      </c>
      <c r="AU74">
        <v>0</v>
      </c>
      <c r="AW74" t="s">
        <v>474</v>
      </c>
      <c r="AX74" t="s">
        <v>1591</v>
      </c>
      <c r="AY74" t="s">
        <v>441</v>
      </c>
      <c r="AZ74" t="s">
        <v>1306</v>
      </c>
    </row>
    <row r="75" spans="1:52">
      <c r="A75">
        <v>266</v>
      </c>
      <c r="B75" t="s">
        <v>1587</v>
      </c>
      <c r="C75">
        <v>266</v>
      </c>
      <c r="D75" t="s">
        <v>1588</v>
      </c>
      <c r="E75">
        <v>3395</v>
      </c>
      <c r="F75" t="s">
        <v>1479</v>
      </c>
      <c r="G75" t="s">
        <v>1013</v>
      </c>
      <c r="P75">
        <v>1</v>
      </c>
      <c r="Q75">
        <v>5</v>
      </c>
      <c r="S75">
        <v>6</v>
      </c>
      <c r="Y75">
        <v>0</v>
      </c>
      <c r="AM75">
        <v>1</v>
      </c>
      <c r="AN75">
        <v>5</v>
      </c>
      <c r="AP75">
        <v>6</v>
      </c>
      <c r="AU75">
        <v>0</v>
      </c>
      <c r="AW75" t="s">
        <v>474</v>
      </c>
      <c r="AX75" t="s">
        <v>1233</v>
      </c>
      <c r="AY75" t="s">
        <v>441</v>
      </c>
      <c r="AZ75" t="s">
        <v>1306</v>
      </c>
    </row>
    <row r="76" spans="1:52">
      <c r="A76">
        <v>266</v>
      </c>
      <c r="B76" t="s">
        <v>1587</v>
      </c>
      <c r="C76">
        <v>266</v>
      </c>
      <c r="D76" t="s">
        <v>1588</v>
      </c>
      <c r="E76">
        <v>3449</v>
      </c>
      <c r="F76" t="s">
        <v>1015</v>
      </c>
      <c r="G76" t="s">
        <v>1013</v>
      </c>
      <c r="P76">
        <v>1</v>
      </c>
      <c r="Q76">
        <v>1</v>
      </c>
      <c r="S76">
        <v>2</v>
      </c>
      <c r="Y76">
        <v>0</v>
      </c>
      <c r="AM76">
        <v>1</v>
      </c>
      <c r="AN76">
        <v>1</v>
      </c>
      <c r="AP76">
        <v>2</v>
      </c>
      <c r="AU76">
        <v>0</v>
      </c>
      <c r="AW76" t="s">
        <v>474</v>
      </c>
      <c r="AX76" t="s">
        <v>1384</v>
      </c>
      <c r="AY76" t="s">
        <v>441</v>
      </c>
      <c r="AZ76" t="s">
        <v>1306</v>
      </c>
    </row>
    <row r="77" spans="1:52">
      <c r="A77">
        <v>266</v>
      </c>
      <c r="B77" t="s">
        <v>1587</v>
      </c>
      <c r="C77">
        <v>266</v>
      </c>
      <c r="D77" t="s">
        <v>1588</v>
      </c>
      <c r="E77">
        <v>3460</v>
      </c>
      <c r="F77" t="s">
        <v>1497</v>
      </c>
      <c r="G77" t="s">
        <v>1013</v>
      </c>
      <c r="O77">
        <v>1</v>
      </c>
      <c r="Q77">
        <v>1</v>
      </c>
      <c r="S77">
        <v>2</v>
      </c>
      <c r="Y77">
        <v>0</v>
      </c>
      <c r="AL77">
        <v>1</v>
      </c>
      <c r="AN77">
        <v>1</v>
      </c>
      <c r="AP77">
        <v>2</v>
      </c>
      <c r="AU77">
        <v>0</v>
      </c>
      <c r="AW77" t="s">
        <v>474</v>
      </c>
      <c r="AX77" t="s">
        <v>862</v>
      </c>
      <c r="AY77" t="s">
        <v>441</v>
      </c>
      <c r="AZ77" t="s">
        <v>1306</v>
      </c>
    </row>
    <row r="78" spans="1:52">
      <c r="A78">
        <v>266</v>
      </c>
      <c r="B78" t="s">
        <v>1587</v>
      </c>
      <c r="C78">
        <v>266</v>
      </c>
      <c r="D78" t="s">
        <v>1588</v>
      </c>
      <c r="E78">
        <v>3491</v>
      </c>
      <c r="F78" t="s">
        <v>1474</v>
      </c>
      <c r="G78" t="s">
        <v>1013</v>
      </c>
      <c r="O78">
        <v>3</v>
      </c>
      <c r="P78">
        <v>6</v>
      </c>
      <c r="Q78">
        <v>3</v>
      </c>
      <c r="S78">
        <v>12</v>
      </c>
      <c r="Y78">
        <v>0</v>
      </c>
      <c r="AL78">
        <v>3</v>
      </c>
      <c r="AM78">
        <v>6</v>
      </c>
      <c r="AN78">
        <v>3</v>
      </c>
      <c r="AP78">
        <v>12</v>
      </c>
      <c r="AU78">
        <v>0</v>
      </c>
      <c r="AW78" t="s">
        <v>474</v>
      </c>
      <c r="AX78" t="s">
        <v>846</v>
      </c>
      <c r="AY78" t="s">
        <v>441</v>
      </c>
      <c r="AZ78" t="s">
        <v>1306</v>
      </c>
    </row>
    <row r="79" spans="1:52">
      <c r="A79">
        <v>266</v>
      </c>
      <c r="B79" t="s">
        <v>1587</v>
      </c>
      <c r="C79">
        <v>266</v>
      </c>
      <c r="D79" t="s">
        <v>1588</v>
      </c>
      <c r="E79">
        <v>3536</v>
      </c>
      <c r="F79" t="s">
        <v>1592</v>
      </c>
      <c r="G79" t="s">
        <v>1013</v>
      </c>
      <c r="Q79">
        <v>1</v>
      </c>
      <c r="S79">
        <v>1</v>
      </c>
      <c r="Y79">
        <v>0</v>
      </c>
      <c r="AN79">
        <v>1</v>
      </c>
      <c r="AP79">
        <v>1</v>
      </c>
      <c r="AU79">
        <v>0</v>
      </c>
      <c r="AW79" t="s">
        <v>474</v>
      </c>
      <c r="AX79" t="s">
        <v>1463</v>
      </c>
      <c r="AY79" t="s">
        <v>441</v>
      </c>
      <c r="AZ79" t="s">
        <v>1306</v>
      </c>
    </row>
    <row r="80" spans="1:52">
      <c r="A80">
        <v>266</v>
      </c>
      <c r="B80" t="s">
        <v>1587</v>
      </c>
      <c r="C80">
        <v>266</v>
      </c>
      <c r="D80" t="s">
        <v>1588</v>
      </c>
      <c r="E80">
        <v>50174</v>
      </c>
      <c r="F80" t="s">
        <v>1593</v>
      </c>
      <c r="G80" t="s">
        <v>1013</v>
      </c>
      <c r="P80">
        <v>1</v>
      </c>
      <c r="S80">
        <v>1</v>
      </c>
      <c r="Y80">
        <v>0</v>
      </c>
      <c r="AM80">
        <v>1</v>
      </c>
      <c r="AP80">
        <v>1</v>
      </c>
      <c r="AU80">
        <v>0</v>
      </c>
      <c r="AW80" t="s">
        <v>474</v>
      </c>
      <c r="AX80" s="485" t="s">
        <v>1594</v>
      </c>
      <c r="AY80" t="s">
        <v>441</v>
      </c>
      <c r="AZ80" t="s">
        <v>1306</v>
      </c>
    </row>
    <row r="81" spans="1:52">
      <c r="A81">
        <v>266</v>
      </c>
      <c r="B81" t="s">
        <v>1587</v>
      </c>
      <c r="C81">
        <v>266</v>
      </c>
      <c r="D81" t="s">
        <v>1588</v>
      </c>
      <c r="E81">
        <v>5725</v>
      </c>
      <c r="F81" t="s">
        <v>1038</v>
      </c>
      <c r="G81" t="s">
        <v>1013</v>
      </c>
      <c r="O81">
        <v>10</v>
      </c>
      <c r="P81">
        <v>6</v>
      </c>
      <c r="Q81">
        <v>6</v>
      </c>
      <c r="S81">
        <v>22</v>
      </c>
      <c r="Y81">
        <v>0</v>
      </c>
      <c r="AL81">
        <v>10</v>
      </c>
      <c r="AM81">
        <v>6</v>
      </c>
      <c r="AN81">
        <v>6</v>
      </c>
      <c r="AP81">
        <v>22</v>
      </c>
      <c r="AU81">
        <v>0</v>
      </c>
      <c r="AW81" t="s">
        <v>474</v>
      </c>
      <c r="AX81" t="s">
        <v>862</v>
      </c>
      <c r="AY81" t="s">
        <v>441</v>
      </c>
      <c r="AZ81" t="s">
        <v>1306</v>
      </c>
    </row>
    <row r="82" spans="1:52">
      <c r="A82">
        <v>266</v>
      </c>
      <c r="B82" t="s">
        <v>1587</v>
      </c>
      <c r="C82">
        <v>266</v>
      </c>
      <c r="D82" t="s">
        <v>1588</v>
      </c>
      <c r="E82">
        <v>8193</v>
      </c>
      <c r="F82" t="s">
        <v>1472</v>
      </c>
      <c r="G82" t="s">
        <v>1027</v>
      </c>
      <c r="O82">
        <v>1</v>
      </c>
      <c r="P82">
        <v>2</v>
      </c>
      <c r="Q82">
        <v>1</v>
      </c>
      <c r="S82">
        <v>4</v>
      </c>
      <c r="Y82">
        <v>0</v>
      </c>
      <c r="AL82">
        <v>1</v>
      </c>
      <c r="AM82">
        <v>2</v>
      </c>
      <c r="AN82">
        <v>1</v>
      </c>
      <c r="AP82">
        <v>4</v>
      </c>
      <c r="AU82">
        <v>0</v>
      </c>
      <c r="AW82" t="s">
        <v>474</v>
      </c>
      <c r="AX82" t="s">
        <v>1397</v>
      </c>
      <c r="AY82" t="s">
        <v>441</v>
      </c>
      <c r="AZ82" t="s">
        <v>1306</v>
      </c>
    </row>
    <row r="83" spans="1:52">
      <c r="A83">
        <v>266</v>
      </c>
      <c r="B83" t="s">
        <v>1587</v>
      </c>
      <c r="C83">
        <v>5070</v>
      </c>
      <c r="D83" t="s">
        <v>1377</v>
      </c>
      <c r="E83">
        <v>1145</v>
      </c>
      <c r="F83" t="s">
        <v>1574</v>
      </c>
      <c r="G83" t="s">
        <v>1013</v>
      </c>
      <c r="S83">
        <v>1</v>
      </c>
      <c r="Y83">
        <v>0</v>
      </c>
      <c r="AC83">
        <v>1</v>
      </c>
      <c r="AP83">
        <v>1</v>
      </c>
      <c r="AU83">
        <v>0</v>
      </c>
      <c r="AW83" t="s">
        <v>474</v>
      </c>
      <c r="AX83" t="s">
        <v>1463</v>
      </c>
      <c r="AY83" t="s">
        <v>441</v>
      </c>
      <c r="AZ83" t="s">
        <v>1306</v>
      </c>
    </row>
    <row r="84" spans="1:52">
      <c r="A84">
        <v>266</v>
      </c>
      <c r="B84" t="s">
        <v>1587</v>
      </c>
      <c r="C84">
        <v>5070</v>
      </c>
      <c r="D84" t="s">
        <v>1377</v>
      </c>
      <c r="E84">
        <v>1511</v>
      </c>
      <c r="F84" t="s">
        <v>1595</v>
      </c>
      <c r="G84" t="s">
        <v>1013</v>
      </c>
      <c r="H84">
        <v>14.5</v>
      </c>
      <c r="I84">
        <v>30</v>
      </c>
      <c r="J84">
        <v>29</v>
      </c>
      <c r="K84">
        <v>22</v>
      </c>
      <c r="L84">
        <v>22</v>
      </c>
      <c r="N84">
        <v>23</v>
      </c>
      <c r="P84">
        <v>3</v>
      </c>
      <c r="Q84">
        <v>0.5</v>
      </c>
      <c r="S84">
        <v>290</v>
      </c>
      <c r="Y84">
        <v>0</v>
      </c>
      <c r="Z84">
        <v>29</v>
      </c>
      <c r="AA84">
        <v>32</v>
      </c>
      <c r="AB84">
        <v>35</v>
      </c>
      <c r="AC84">
        <v>32</v>
      </c>
      <c r="AD84">
        <v>32</v>
      </c>
      <c r="AE84">
        <v>31</v>
      </c>
      <c r="AF84">
        <v>30</v>
      </c>
      <c r="AG84">
        <v>29</v>
      </c>
      <c r="AH84">
        <v>22</v>
      </c>
      <c r="AI84">
        <v>22</v>
      </c>
      <c r="AK84">
        <v>23</v>
      </c>
      <c r="AM84">
        <v>3</v>
      </c>
      <c r="AN84">
        <v>1</v>
      </c>
      <c r="AP84">
        <v>321</v>
      </c>
      <c r="AU84">
        <v>0</v>
      </c>
      <c r="AW84" t="s">
        <v>474</v>
      </c>
      <c r="AX84" t="s">
        <v>1463</v>
      </c>
      <c r="AY84" t="s">
        <v>441</v>
      </c>
      <c r="AZ84" t="s">
        <v>1575</v>
      </c>
    </row>
    <row r="85" spans="1:52">
      <c r="A85">
        <v>266</v>
      </c>
      <c r="B85" t="s">
        <v>1587</v>
      </c>
      <c r="C85">
        <v>9011</v>
      </c>
      <c r="D85" t="s">
        <v>1576</v>
      </c>
      <c r="E85">
        <v>7502</v>
      </c>
      <c r="F85" t="s">
        <v>1026</v>
      </c>
      <c r="G85" t="s">
        <v>1027</v>
      </c>
      <c r="O85">
        <v>2</v>
      </c>
      <c r="P85">
        <v>1</v>
      </c>
      <c r="Q85">
        <v>4</v>
      </c>
      <c r="S85">
        <v>7</v>
      </c>
      <c r="Y85">
        <v>0</v>
      </c>
      <c r="AL85">
        <v>2</v>
      </c>
      <c r="AM85">
        <v>1</v>
      </c>
      <c r="AN85">
        <v>4</v>
      </c>
      <c r="AP85">
        <v>7</v>
      </c>
      <c r="AU85">
        <v>0</v>
      </c>
      <c r="AW85" t="s">
        <v>474</v>
      </c>
      <c r="AX85" t="s">
        <v>1397</v>
      </c>
      <c r="AY85" t="s">
        <v>441</v>
      </c>
      <c r="AZ85" t="s">
        <v>1306</v>
      </c>
    </row>
    <row r="86" spans="1:52">
      <c r="A86">
        <v>267</v>
      </c>
      <c r="B86" t="s">
        <v>392</v>
      </c>
      <c r="C86">
        <v>3548</v>
      </c>
      <c r="D86" t="s">
        <v>730</v>
      </c>
      <c r="E86">
        <v>1306</v>
      </c>
      <c r="F86" t="s">
        <v>1018</v>
      </c>
      <c r="G86" t="s">
        <v>1013</v>
      </c>
      <c r="O86">
        <v>2</v>
      </c>
      <c r="P86">
        <v>2</v>
      </c>
      <c r="S86">
        <v>4</v>
      </c>
      <c r="Y86">
        <v>0</v>
      </c>
      <c r="AL86">
        <v>2</v>
      </c>
      <c r="AM86">
        <v>2</v>
      </c>
      <c r="AP86">
        <v>4</v>
      </c>
      <c r="AU86">
        <v>0</v>
      </c>
      <c r="AW86" t="s">
        <v>473</v>
      </c>
      <c r="AX86" s="485" t="s">
        <v>866</v>
      </c>
      <c r="AY86" t="s">
        <v>441</v>
      </c>
      <c r="AZ86" t="s">
        <v>1306</v>
      </c>
    </row>
    <row r="87" spans="1:52">
      <c r="A87">
        <v>267</v>
      </c>
      <c r="B87" t="s">
        <v>392</v>
      </c>
      <c r="C87">
        <v>3548</v>
      </c>
      <c r="D87" t="s">
        <v>730</v>
      </c>
      <c r="E87">
        <v>1758</v>
      </c>
      <c r="F87" t="s">
        <v>1020</v>
      </c>
      <c r="G87" t="s">
        <v>1013</v>
      </c>
      <c r="O87">
        <v>4</v>
      </c>
      <c r="P87">
        <v>3</v>
      </c>
      <c r="Q87">
        <v>1</v>
      </c>
      <c r="S87">
        <v>8</v>
      </c>
      <c r="Y87">
        <v>0</v>
      </c>
      <c r="AL87">
        <v>4</v>
      </c>
      <c r="AM87">
        <v>3</v>
      </c>
      <c r="AN87">
        <v>1</v>
      </c>
      <c r="AP87">
        <v>8</v>
      </c>
      <c r="AU87">
        <v>0</v>
      </c>
      <c r="AW87" t="s">
        <v>473</v>
      </c>
      <c r="AX87" t="s">
        <v>1463</v>
      </c>
      <c r="AY87" t="s">
        <v>441</v>
      </c>
      <c r="AZ87" t="s">
        <v>1306</v>
      </c>
    </row>
    <row r="88" spans="1:52">
      <c r="A88">
        <v>267</v>
      </c>
      <c r="B88" t="s">
        <v>392</v>
      </c>
      <c r="C88">
        <v>3548</v>
      </c>
      <c r="D88" t="s">
        <v>730</v>
      </c>
      <c r="E88">
        <v>3282</v>
      </c>
      <c r="F88" t="s">
        <v>1022</v>
      </c>
      <c r="G88" t="s">
        <v>1013</v>
      </c>
      <c r="O88">
        <v>3</v>
      </c>
      <c r="Q88">
        <v>2</v>
      </c>
      <c r="S88">
        <v>5</v>
      </c>
      <c r="Y88">
        <v>0</v>
      </c>
      <c r="AL88">
        <v>3</v>
      </c>
      <c r="AN88">
        <v>2</v>
      </c>
      <c r="AP88">
        <v>5</v>
      </c>
      <c r="AU88">
        <v>0</v>
      </c>
      <c r="AW88" t="s">
        <v>473</v>
      </c>
      <c r="AX88" t="s">
        <v>1233</v>
      </c>
      <c r="AY88" t="s">
        <v>441</v>
      </c>
      <c r="AZ88" t="s">
        <v>1306</v>
      </c>
    </row>
    <row r="89" spans="1:52">
      <c r="A89">
        <v>267</v>
      </c>
      <c r="B89" t="s">
        <v>392</v>
      </c>
      <c r="C89">
        <v>3548</v>
      </c>
      <c r="D89" t="s">
        <v>730</v>
      </c>
      <c r="E89">
        <v>3305</v>
      </c>
      <c r="F89" t="s">
        <v>1024</v>
      </c>
      <c r="G89" t="s">
        <v>1013</v>
      </c>
      <c r="P89">
        <v>2</v>
      </c>
      <c r="S89">
        <v>2</v>
      </c>
      <c r="Y89">
        <v>0</v>
      </c>
      <c r="AM89">
        <v>2</v>
      </c>
      <c r="AP89">
        <v>2</v>
      </c>
      <c r="AU89">
        <v>0</v>
      </c>
      <c r="AW89" t="s">
        <v>473</v>
      </c>
      <c r="AX89" t="s">
        <v>1233</v>
      </c>
      <c r="AY89" t="s">
        <v>441</v>
      </c>
      <c r="AZ89" t="s">
        <v>1306</v>
      </c>
    </row>
    <row r="90" spans="1:52">
      <c r="A90">
        <v>267</v>
      </c>
      <c r="B90" t="s">
        <v>392</v>
      </c>
      <c r="C90">
        <v>3548</v>
      </c>
      <c r="D90" t="s">
        <v>730</v>
      </c>
      <c r="E90">
        <v>3343</v>
      </c>
      <c r="F90" t="s">
        <v>1473</v>
      </c>
      <c r="G90" t="s">
        <v>1013</v>
      </c>
      <c r="P90">
        <v>1</v>
      </c>
      <c r="S90">
        <v>1</v>
      </c>
      <c r="Y90">
        <v>0</v>
      </c>
      <c r="AM90">
        <v>1</v>
      </c>
      <c r="AP90">
        <v>1</v>
      </c>
      <c r="AU90">
        <v>0</v>
      </c>
      <c r="AW90" t="s">
        <v>473</v>
      </c>
      <c r="AX90" t="s">
        <v>1388</v>
      </c>
      <c r="AY90" t="s">
        <v>441</v>
      </c>
      <c r="AZ90" t="s">
        <v>1306</v>
      </c>
    </row>
    <row r="91" spans="1:52">
      <c r="A91">
        <v>267</v>
      </c>
      <c r="B91" t="s">
        <v>392</v>
      </c>
      <c r="C91">
        <v>3548</v>
      </c>
      <c r="D91" t="s">
        <v>730</v>
      </c>
      <c r="E91">
        <v>3491</v>
      </c>
      <c r="F91" t="s">
        <v>1474</v>
      </c>
      <c r="G91" t="s">
        <v>1013</v>
      </c>
      <c r="Q91">
        <v>1</v>
      </c>
      <c r="S91">
        <v>1</v>
      </c>
      <c r="Y91">
        <v>0</v>
      </c>
      <c r="AN91">
        <v>1</v>
      </c>
      <c r="AP91">
        <v>1</v>
      </c>
      <c r="AU91">
        <v>0</v>
      </c>
      <c r="AW91" t="s">
        <v>473</v>
      </c>
      <c r="AX91" t="s">
        <v>846</v>
      </c>
      <c r="AY91" t="s">
        <v>441</v>
      </c>
      <c r="AZ91" t="s">
        <v>1306</v>
      </c>
    </row>
    <row r="92" spans="1:52">
      <c r="A92">
        <v>267</v>
      </c>
      <c r="B92" t="s">
        <v>392</v>
      </c>
      <c r="C92">
        <v>3548</v>
      </c>
      <c r="D92" t="s">
        <v>730</v>
      </c>
      <c r="E92">
        <v>6912</v>
      </c>
      <c r="F92" t="s">
        <v>1475</v>
      </c>
      <c r="G92" t="s">
        <v>1013</v>
      </c>
      <c r="P92">
        <v>1</v>
      </c>
      <c r="S92">
        <v>1</v>
      </c>
      <c r="Y92">
        <v>0</v>
      </c>
      <c r="AM92">
        <v>1</v>
      </c>
      <c r="AP92">
        <v>1</v>
      </c>
      <c r="AU92">
        <v>0</v>
      </c>
      <c r="AW92" t="s">
        <v>473</v>
      </c>
      <c r="AX92" t="s">
        <v>1397</v>
      </c>
      <c r="AY92" t="s">
        <v>441</v>
      </c>
      <c r="AZ92" t="s">
        <v>1306</v>
      </c>
    </row>
    <row r="93" spans="1:52">
      <c r="A93">
        <v>267</v>
      </c>
      <c r="B93" t="s">
        <v>392</v>
      </c>
      <c r="C93">
        <v>3548</v>
      </c>
      <c r="D93" t="s">
        <v>730</v>
      </c>
      <c r="E93">
        <v>7502</v>
      </c>
      <c r="F93" t="s">
        <v>1026</v>
      </c>
      <c r="G93" t="s">
        <v>1027</v>
      </c>
      <c r="O93">
        <v>4</v>
      </c>
      <c r="P93">
        <v>3</v>
      </c>
      <c r="S93">
        <v>7</v>
      </c>
      <c r="Y93">
        <v>0</v>
      </c>
      <c r="AL93">
        <v>4</v>
      </c>
      <c r="AM93">
        <v>3</v>
      </c>
      <c r="AP93">
        <v>7</v>
      </c>
      <c r="AU93">
        <v>0</v>
      </c>
      <c r="AW93" t="s">
        <v>473</v>
      </c>
      <c r="AX93" t="s">
        <v>1397</v>
      </c>
      <c r="AY93" t="s">
        <v>441</v>
      </c>
      <c r="AZ93" t="s">
        <v>1306</v>
      </c>
    </row>
    <row r="94" spans="1:52">
      <c r="A94">
        <v>267</v>
      </c>
      <c r="B94" t="s">
        <v>392</v>
      </c>
      <c r="C94">
        <v>3548</v>
      </c>
      <c r="D94" t="s">
        <v>730</v>
      </c>
      <c r="E94">
        <v>8193</v>
      </c>
      <c r="F94" t="s">
        <v>1472</v>
      </c>
      <c r="G94" t="s">
        <v>1027</v>
      </c>
      <c r="Q94">
        <v>4</v>
      </c>
      <c r="S94">
        <v>4</v>
      </c>
      <c r="V94">
        <v>23</v>
      </c>
      <c r="Y94">
        <v>23</v>
      </c>
      <c r="AN94">
        <v>4</v>
      </c>
      <c r="AP94">
        <v>4</v>
      </c>
      <c r="AS94">
        <v>23</v>
      </c>
      <c r="AU94">
        <v>23</v>
      </c>
      <c r="AW94" t="s">
        <v>473</v>
      </c>
      <c r="AX94" t="s">
        <v>1397</v>
      </c>
      <c r="AY94" t="s">
        <v>441</v>
      </c>
      <c r="AZ94" t="s">
        <v>1306</v>
      </c>
    </row>
    <row r="95" spans="1:52">
      <c r="A95">
        <v>267</v>
      </c>
      <c r="B95" t="s">
        <v>392</v>
      </c>
      <c r="C95">
        <v>3548</v>
      </c>
      <c r="D95" t="s">
        <v>730</v>
      </c>
      <c r="E95">
        <v>8230</v>
      </c>
      <c r="F95" t="s">
        <v>1029</v>
      </c>
      <c r="G95" t="s">
        <v>1013</v>
      </c>
      <c r="P95">
        <v>1</v>
      </c>
      <c r="Q95">
        <v>1</v>
      </c>
      <c r="S95">
        <v>2</v>
      </c>
      <c r="Y95">
        <v>0</v>
      </c>
      <c r="AM95">
        <v>1</v>
      </c>
      <c r="AN95">
        <v>1</v>
      </c>
      <c r="AP95">
        <v>2</v>
      </c>
      <c r="AU95">
        <v>0</v>
      </c>
      <c r="AW95" t="s">
        <v>473</v>
      </c>
      <c r="AX95" t="s">
        <v>1405</v>
      </c>
      <c r="AY95" t="s">
        <v>441</v>
      </c>
      <c r="AZ95" t="s">
        <v>1306</v>
      </c>
    </row>
    <row r="96" spans="1:52">
      <c r="A96">
        <v>268</v>
      </c>
      <c r="B96" t="s">
        <v>1596</v>
      </c>
      <c r="C96">
        <v>268</v>
      </c>
      <c r="D96" t="s">
        <v>1597</v>
      </c>
      <c r="E96">
        <v>1045</v>
      </c>
      <c r="F96" t="s">
        <v>1476</v>
      </c>
      <c r="G96" t="s">
        <v>1013</v>
      </c>
      <c r="O96">
        <v>1</v>
      </c>
      <c r="S96">
        <v>1</v>
      </c>
      <c r="Y96">
        <v>0</v>
      </c>
      <c r="AL96">
        <v>1</v>
      </c>
      <c r="AP96">
        <v>1</v>
      </c>
      <c r="AU96">
        <v>0</v>
      </c>
      <c r="AW96" t="s">
        <v>473</v>
      </c>
      <c r="AX96" s="485" t="s">
        <v>1598</v>
      </c>
      <c r="AY96" t="s">
        <v>441</v>
      </c>
      <c r="AZ96" t="s">
        <v>1306</v>
      </c>
    </row>
    <row r="97" spans="1:52">
      <c r="A97">
        <v>268</v>
      </c>
      <c r="B97" t="s">
        <v>1596</v>
      </c>
      <c r="C97">
        <v>268</v>
      </c>
      <c r="D97" t="s">
        <v>1597</v>
      </c>
      <c r="E97">
        <v>3282</v>
      </c>
      <c r="F97" t="s">
        <v>1022</v>
      </c>
      <c r="G97" t="s">
        <v>1013</v>
      </c>
      <c r="Q97">
        <v>1</v>
      </c>
      <c r="S97">
        <v>1</v>
      </c>
      <c r="Y97">
        <v>0</v>
      </c>
      <c r="AN97">
        <v>1</v>
      </c>
      <c r="AP97">
        <v>1</v>
      </c>
      <c r="AU97">
        <v>0</v>
      </c>
      <c r="AW97" t="s">
        <v>473</v>
      </c>
      <c r="AX97" t="s">
        <v>1233</v>
      </c>
      <c r="AY97" t="s">
        <v>441</v>
      </c>
      <c r="AZ97" t="s">
        <v>1306</v>
      </c>
    </row>
    <row r="98" spans="1:52">
      <c r="A98">
        <v>268</v>
      </c>
      <c r="B98" t="s">
        <v>1596</v>
      </c>
      <c r="C98">
        <v>268</v>
      </c>
      <c r="D98" t="s">
        <v>1597</v>
      </c>
      <c r="E98">
        <v>3310</v>
      </c>
      <c r="F98" t="s">
        <v>1045</v>
      </c>
      <c r="G98" t="s">
        <v>1013</v>
      </c>
      <c r="Q98">
        <v>1</v>
      </c>
      <c r="S98">
        <v>1</v>
      </c>
      <c r="Y98">
        <v>0</v>
      </c>
      <c r="AN98">
        <v>1</v>
      </c>
      <c r="AP98">
        <v>1</v>
      </c>
      <c r="AU98">
        <v>0</v>
      </c>
      <c r="AW98" t="s">
        <v>473</v>
      </c>
      <c r="AX98" t="s">
        <v>1233</v>
      </c>
      <c r="AY98" t="s">
        <v>441</v>
      </c>
      <c r="AZ98" t="s">
        <v>1306</v>
      </c>
    </row>
    <row r="99" spans="1:52">
      <c r="A99">
        <v>268</v>
      </c>
      <c r="B99" t="s">
        <v>1596</v>
      </c>
      <c r="C99">
        <v>268</v>
      </c>
      <c r="D99" t="s">
        <v>1597</v>
      </c>
      <c r="E99">
        <v>3313</v>
      </c>
      <c r="F99" t="s">
        <v>1495</v>
      </c>
      <c r="G99" t="s">
        <v>1013</v>
      </c>
      <c r="P99">
        <v>1</v>
      </c>
      <c r="S99">
        <v>1</v>
      </c>
      <c r="Y99">
        <v>0</v>
      </c>
      <c r="AM99">
        <v>1</v>
      </c>
      <c r="AP99">
        <v>1</v>
      </c>
      <c r="AU99">
        <v>0</v>
      </c>
      <c r="AW99" t="s">
        <v>473</v>
      </c>
      <c r="AX99" t="s">
        <v>868</v>
      </c>
      <c r="AY99" t="s">
        <v>441</v>
      </c>
      <c r="AZ99" t="s">
        <v>1306</v>
      </c>
    </row>
    <row r="100" spans="1:52">
      <c r="A100">
        <v>268</v>
      </c>
      <c r="B100" t="s">
        <v>1596</v>
      </c>
      <c r="C100">
        <v>268</v>
      </c>
      <c r="D100" t="s">
        <v>1597</v>
      </c>
      <c r="E100">
        <v>3321</v>
      </c>
      <c r="F100" t="s">
        <v>1047</v>
      </c>
      <c r="G100" t="s">
        <v>1013</v>
      </c>
      <c r="Q100">
        <v>2</v>
      </c>
      <c r="S100">
        <v>2</v>
      </c>
      <c r="U100">
        <v>1</v>
      </c>
      <c r="Y100">
        <v>1</v>
      </c>
      <c r="AN100">
        <v>2</v>
      </c>
      <c r="AP100">
        <v>2</v>
      </c>
      <c r="AR100">
        <v>1</v>
      </c>
      <c r="AU100">
        <v>1</v>
      </c>
      <c r="AW100" t="s">
        <v>473</v>
      </c>
      <c r="AX100" t="s">
        <v>1233</v>
      </c>
      <c r="AY100" t="s">
        <v>441</v>
      </c>
      <c r="AZ100" t="s">
        <v>1306</v>
      </c>
    </row>
    <row r="101" spans="1:52">
      <c r="A101">
        <v>268</v>
      </c>
      <c r="B101" t="s">
        <v>1596</v>
      </c>
      <c r="C101">
        <v>268</v>
      </c>
      <c r="D101" t="s">
        <v>1597</v>
      </c>
      <c r="E101">
        <v>3395</v>
      </c>
      <c r="F101" t="s">
        <v>1479</v>
      </c>
      <c r="G101" t="s">
        <v>1013</v>
      </c>
      <c r="P101">
        <v>1</v>
      </c>
      <c r="Q101">
        <v>1</v>
      </c>
      <c r="S101">
        <v>2</v>
      </c>
      <c r="Y101">
        <v>0</v>
      </c>
      <c r="AM101">
        <v>1</v>
      </c>
      <c r="AN101">
        <v>1</v>
      </c>
      <c r="AP101">
        <v>2</v>
      </c>
      <c r="AU101">
        <v>0</v>
      </c>
      <c r="AW101" t="s">
        <v>473</v>
      </c>
      <c r="AX101" t="s">
        <v>1233</v>
      </c>
      <c r="AY101" t="s">
        <v>441</v>
      </c>
      <c r="AZ101" t="s">
        <v>1306</v>
      </c>
    </row>
    <row r="102" spans="1:52">
      <c r="A102">
        <v>268</v>
      </c>
      <c r="B102" t="s">
        <v>1596</v>
      </c>
      <c r="C102">
        <v>268</v>
      </c>
      <c r="D102" t="s">
        <v>1597</v>
      </c>
      <c r="E102">
        <v>5725</v>
      </c>
      <c r="F102" t="s">
        <v>1038</v>
      </c>
      <c r="G102" t="s">
        <v>1013</v>
      </c>
      <c r="O102">
        <v>1</v>
      </c>
      <c r="P102">
        <v>1</v>
      </c>
      <c r="Q102">
        <v>1</v>
      </c>
      <c r="S102">
        <v>3</v>
      </c>
      <c r="Y102">
        <v>0</v>
      </c>
      <c r="AL102">
        <v>1</v>
      </c>
      <c r="AM102">
        <v>1</v>
      </c>
      <c r="AN102">
        <v>1</v>
      </c>
      <c r="AP102">
        <v>3</v>
      </c>
      <c r="AU102">
        <v>0</v>
      </c>
      <c r="AW102" t="s">
        <v>473</v>
      </c>
      <c r="AX102" t="s">
        <v>862</v>
      </c>
      <c r="AY102" t="s">
        <v>441</v>
      </c>
      <c r="AZ102" t="s">
        <v>1306</v>
      </c>
    </row>
    <row r="103" spans="1:52">
      <c r="A103">
        <v>268</v>
      </c>
      <c r="B103" t="s">
        <v>1596</v>
      </c>
      <c r="C103">
        <v>268</v>
      </c>
      <c r="D103" t="s">
        <v>1597</v>
      </c>
      <c r="E103">
        <v>8930</v>
      </c>
      <c r="F103" t="s">
        <v>1040</v>
      </c>
      <c r="G103" t="s">
        <v>1013</v>
      </c>
      <c r="S103">
        <v>0</v>
      </c>
      <c r="V103">
        <v>1</v>
      </c>
      <c r="Y103">
        <v>1</v>
      </c>
      <c r="AP103">
        <v>0</v>
      </c>
      <c r="AS103">
        <v>1</v>
      </c>
      <c r="AU103">
        <v>1</v>
      </c>
      <c r="AW103" t="s">
        <v>473</v>
      </c>
      <c r="AX103" t="s">
        <v>1233</v>
      </c>
      <c r="AY103" t="s">
        <v>441</v>
      </c>
      <c r="AZ103" t="s">
        <v>1306</v>
      </c>
    </row>
    <row r="104" spans="1:52">
      <c r="A104">
        <v>270</v>
      </c>
      <c r="B104" t="s">
        <v>637</v>
      </c>
      <c r="C104">
        <v>9011</v>
      </c>
      <c r="D104" t="s">
        <v>1576</v>
      </c>
      <c r="E104">
        <v>1758</v>
      </c>
      <c r="F104" t="s">
        <v>1020</v>
      </c>
      <c r="G104" t="s">
        <v>1013</v>
      </c>
      <c r="O104">
        <v>4</v>
      </c>
      <c r="P104">
        <v>2</v>
      </c>
      <c r="S104">
        <v>6</v>
      </c>
      <c r="Y104">
        <v>0</v>
      </c>
      <c r="AL104">
        <v>4</v>
      </c>
      <c r="AM104">
        <v>2</v>
      </c>
      <c r="AP104">
        <v>6</v>
      </c>
      <c r="AU104">
        <v>0</v>
      </c>
      <c r="AW104" t="s">
        <v>474</v>
      </c>
      <c r="AX104" t="s">
        <v>1463</v>
      </c>
      <c r="AY104" t="s">
        <v>441</v>
      </c>
      <c r="AZ104" t="s">
        <v>1306</v>
      </c>
    </row>
    <row r="105" spans="1:52">
      <c r="A105">
        <v>270</v>
      </c>
      <c r="B105" t="s">
        <v>637</v>
      </c>
      <c r="C105">
        <v>9011</v>
      </c>
      <c r="D105" t="s">
        <v>1576</v>
      </c>
      <c r="E105">
        <v>3305</v>
      </c>
      <c r="F105" t="s">
        <v>1024</v>
      </c>
      <c r="G105" t="s">
        <v>1013</v>
      </c>
      <c r="Q105">
        <v>1</v>
      </c>
      <c r="S105">
        <v>1</v>
      </c>
      <c r="Y105">
        <v>0</v>
      </c>
      <c r="AN105">
        <v>1</v>
      </c>
      <c r="AP105">
        <v>1</v>
      </c>
      <c r="AU105">
        <v>0</v>
      </c>
      <c r="AW105" t="s">
        <v>474</v>
      </c>
      <c r="AX105" t="s">
        <v>1233</v>
      </c>
      <c r="AY105" t="s">
        <v>441</v>
      </c>
      <c r="AZ105" t="s">
        <v>1306</v>
      </c>
    </row>
    <row r="106" spans="1:52">
      <c r="A106">
        <v>270</v>
      </c>
      <c r="B106" t="s">
        <v>637</v>
      </c>
      <c r="C106">
        <v>9011</v>
      </c>
      <c r="D106" t="s">
        <v>1576</v>
      </c>
      <c r="E106">
        <v>3372</v>
      </c>
      <c r="F106" t="s">
        <v>976</v>
      </c>
      <c r="G106" t="s">
        <v>1013</v>
      </c>
      <c r="P106">
        <v>1</v>
      </c>
      <c r="S106">
        <v>1</v>
      </c>
      <c r="Y106">
        <v>0</v>
      </c>
      <c r="AM106">
        <v>1</v>
      </c>
      <c r="AP106">
        <v>1</v>
      </c>
      <c r="AU106">
        <v>0</v>
      </c>
      <c r="AW106" t="s">
        <v>474</v>
      </c>
      <c r="AX106" t="s">
        <v>1405</v>
      </c>
      <c r="AY106" t="s">
        <v>441</v>
      </c>
      <c r="AZ106" t="s">
        <v>1306</v>
      </c>
    </row>
    <row r="107" spans="1:52">
      <c r="A107">
        <v>270</v>
      </c>
      <c r="B107" t="s">
        <v>637</v>
      </c>
      <c r="C107">
        <v>9011</v>
      </c>
      <c r="D107" t="s">
        <v>1576</v>
      </c>
      <c r="E107">
        <v>3395</v>
      </c>
      <c r="F107" t="s">
        <v>1479</v>
      </c>
      <c r="G107" t="s">
        <v>1013</v>
      </c>
      <c r="O107">
        <v>1</v>
      </c>
      <c r="P107">
        <v>4</v>
      </c>
      <c r="Q107">
        <v>1</v>
      </c>
      <c r="S107">
        <v>6</v>
      </c>
      <c r="Y107">
        <v>0</v>
      </c>
      <c r="AL107">
        <v>1</v>
      </c>
      <c r="AM107">
        <v>4</v>
      </c>
      <c r="AN107">
        <v>1</v>
      </c>
      <c r="AP107">
        <v>6</v>
      </c>
      <c r="AU107">
        <v>0</v>
      </c>
      <c r="AW107" t="s">
        <v>474</v>
      </c>
      <c r="AX107" t="s">
        <v>1233</v>
      </c>
      <c r="AY107" t="s">
        <v>441</v>
      </c>
      <c r="AZ107" t="s">
        <v>1306</v>
      </c>
    </row>
    <row r="108" spans="1:52">
      <c r="A108">
        <v>270</v>
      </c>
      <c r="B108" t="s">
        <v>637</v>
      </c>
      <c r="C108">
        <v>9011</v>
      </c>
      <c r="D108" t="s">
        <v>1576</v>
      </c>
      <c r="E108">
        <v>3401</v>
      </c>
      <c r="F108" t="s">
        <v>1034</v>
      </c>
      <c r="G108" t="s">
        <v>1013</v>
      </c>
      <c r="Q108">
        <v>4</v>
      </c>
      <c r="S108">
        <v>4</v>
      </c>
      <c r="V108">
        <v>2</v>
      </c>
      <c r="Y108">
        <v>2</v>
      </c>
      <c r="AN108">
        <v>4</v>
      </c>
      <c r="AP108">
        <v>4</v>
      </c>
      <c r="AS108">
        <v>2</v>
      </c>
      <c r="AU108">
        <v>2</v>
      </c>
      <c r="AW108" t="s">
        <v>474</v>
      </c>
      <c r="AX108" t="s">
        <v>856</v>
      </c>
      <c r="AY108" t="s">
        <v>441</v>
      </c>
      <c r="AZ108" t="s">
        <v>1306</v>
      </c>
    </row>
    <row r="109" spans="1:52">
      <c r="A109">
        <v>270</v>
      </c>
      <c r="B109" t="s">
        <v>637</v>
      </c>
      <c r="C109">
        <v>9011</v>
      </c>
      <c r="D109" t="s">
        <v>1576</v>
      </c>
      <c r="E109">
        <v>3449</v>
      </c>
      <c r="F109" t="s">
        <v>1015</v>
      </c>
      <c r="G109" t="s">
        <v>1013</v>
      </c>
      <c r="O109">
        <v>1</v>
      </c>
      <c r="S109">
        <v>1</v>
      </c>
      <c r="Y109">
        <v>0</v>
      </c>
      <c r="AL109">
        <v>1</v>
      </c>
      <c r="AP109">
        <v>1</v>
      </c>
      <c r="AU109">
        <v>0</v>
      </c>
      <c r="AW109" t="s">
        <v>474</v>
      </c>
      <c r="AX109" t="s">
        <v>1384</v>
      </c>
      <c r="AY109" t="s">
        <v>441</v>
      </c>
      <c r="AZ109" t="s">
        <v>1306</v>
      </c>
    </row>
    <row r="110" spans="1:52">
      <c r="A110">
        <v>270</v>
      </c>
      <c r="B110" t="s">
        <v>637</v>
      </c>
      <c r="C110">
        <v>9011</v>
      </c>
      <c r="D110" t="s">
        <v>1576</v>
      </c>
      <c r="E110">
        <v>7017</v>
      </c>
      <c r="F110" t="s">
        <v>1599</v>
      </c>
      <c r="G110" t="s">
        <v>1027</v>
      </c>
      <c r="O110">
        <v>1</v>
      </c>
      <c r="S110">
        <v>1</v>
      </c>
      <c r="Y110">
        <v>0</v>
      </c>
      <c r="AL110">
        <v>1</v>
      </c>
      <c r="AP110">
        <v>1</v>
      </c>
      <c r="AU110">
        <v>0</v>
      </c>
      <c r="AW110" t="s">
        <v>474</v>
      </c>
      <c r="AX110" t="s">
        <v>1397</v>
      </c>
      <c r="AY110" t="s">
        <v>441</v>
      </c>
      <c r="AZ110" t="s">
        <v>1306</v>
      </c>
    </row>
    <row r="111" spans="1:52">
      <c r="A111">
        <v>270</v>
      </c>
      <c r="B111" t="s">
        <v>637</v>
      </c>
      <c r="C111">
        <v>9011</v>
      </c>
      <c r="D111" t="s">
        <v>1576</v>
      </c>
      <c r="E111">
        <v>7502</v>
      </c>
      <c r="F111" t="s">
        <v>1026</v>
      </c>
      <c r="G111" t="s">
        <v>1027</v>
      </c>
      <c r="O111">
        <v>1</v>
      </c>
      <c r="P111">
        <v>3</v>
      </c>
      <c r="Q111">
        <v>3</v>
      </c>
      <c r="S111">
        <v>7</v>
      </c>
      <c r="Y111">
        <v>0</v>
      </c>
      <c r="AL111">
        <v>1</v>
      </c>
      <c r="AM111">
        <v>3</v>
      </c>
      <c r="AN111">
        <v>3</v>
      </c>
      <c r="AP111">
        <v>7</v>
      </c>
      <c r="AU111">
        <v>0</v>
      </c>
      <c r="AW111" t="s">
        <v>474</v>
      </c>
      <c r="AX111" t="s">
        <v>1397</v>
      </c>
      <c r="AY111" t="s">
        <v>441</v>
      </c>
      <c r="AZ111" t="s">
        <v>1306</v>
      </c>
    </row>
    <row r="112" spans="1:52">
      <c r="A112">
        <v>270</v>
      </c>
      <c r="B112" t="s">
        <v>637</v>
      </c>
      <c r="C112">
        <v>9011</v>
      </c>
      <c r="D112" t="s">
        <v>1576</v>
      </c>
      <c r="E112">
        <v>8930</v>
      </c>
      <c r="F112" t="s">
        <v>1040</v>
      </c>
      <c r="G112" t="s">
        <v>1013</v>
      </c>
      <c r="P112">
        <v>1</v>
      </c>
      <c r="S112">
        <v>1</v>
      </c>
      <c r="Y112">
        <v>0</v>
      </c>
      <c r="AM112">
        <v>1</v>
      </c>
      <c r="AP112">
        <v>1</v>
      </c>
      <c r="AU112">
        <v>0</v>
      </c>
      <c r="AW112" t="s">
        <v>474</v>
      </c>
      <c r="AX112" t="s">
        <v>1233</v>
      </c>
      <c r="AY112" t="s">
        <v>441</v>
      </c>
      <c r="AZ112" t="s">
        <v>1306</v>
      </c>
    </row>
    <row r="113" spans="1:52">
      <c r="A113">
        <v>271</v>
      </c>
      <c r="B113" t="s">
        <v>396</v>
      </c>
      <c r="C113">
        <v>3548</v>
      </c>
      <c r="D113" t="s">
        <v>730</v>
      </c>
      <c r="E113">
        <v>1045</v>
      </c>
      <c r="F113" t="s">
        <v>1476</v>
      </c>
      <c r="G113" t="s">
        <v>1013</v>
      </c>
      <c r="S113">
        <v>0</v>
      </c>
      <c r="V113">
        <v>5</v>
      </c>
      <c r="Y113">
        <v>5</v>
      </c>
      <c r="AP113">
        <v>0</v>
      </c>
      <c r="AS113">
        <v>5</v>
      </c>
      <c r="AU113">
        <v>5</v>
      </c>
      <c r="AW113" t="s">
        <v>473</v>
      </c>
      <c r="AX113" t="s">
        <v>1477</v>
      </c>
      <c r="AY113" t="s">
        <v>442</v>
      </c>
      <c r="AZ113" t="s">
        <v>1306</v>
      </c>
    </row>
    <row r="114" spans="1:52">
      <c r="A114">
        <v>271</v>
      </c>
      <c r="B114" t="s">
        <v>396</v>
      </c>
      <c r="C114">
        <v>3548</v>
      </c>
      <c r="D114" t="s">
        <v>730</v>
      </c>
      <c r="E114">
        <v>2198</v>
      </c>
      <c r="F114" t="s">
        <v>1032</v>
      </c>
      <c r="G114" t="s">
        <v>1013</v>
      </c>
      <c r="O114">
        <v>1</v>
      </c>
      <c r="S114">
        <v>1</v>
      </c>
      <c r="Y114">
        <v>0</v>
      </c>
      <c r="AL114">
        <v>1</v>
      </c>
      <c r="AP114">
        <v>1</v>
      </c>
      <c r="AU114">
        <v>0</v>
      </c>
      <c r="AW114" t="s">
        <v>473</v>
      </c>
      <c r="AX114" t="s">
        <v>1405</v>
      </c>
      <c r="AY114" t="s">
        <v>442</v>
      </c>
      <c r="AZ114" t="s">
        <v>1306</v>
      </c>
    </row>
    <row r="115" spans="1:52">
      <c r="A115">
        <v>271</v>
      </c>
      <c r="B115" t="s">
        <v>396</v>
      </c>
      <c r="C115">
        <v>3548</v>
      </c>
      <c r="D115" t="s">
        <v>730</v>
      </c>
      <c r="E115">
        <v>3321</v>
      </c>
      <c r="F115" t="s">
        <v>1047</v>
      </c>
      <c r="G115" t="s">
        <v>1013</v>
      </c>
      <c r="N115">
        <v>1</v>
      </c>
      <c r="O115">
        <v>2</v>
      </c>
      <c r="S115">
        <v>3</v>
      </c>
      <c r="Y115">
        <v>0</v>
      </c>
      <c r="AK115">
        <v>1</v>
      </c>
      <c r="AL115">
        <v>2</v>
      </c>
      <c r="AP115">
        <v>3</v>
      </c>
      <c r="AU115">
        <v>0</v>
      </c>
      <c r="AW115" t="s">
        <v>473</v>
      </c>
      <c r="AX115" t="s">
        <v>1233</v>
      </c>
      <c r="AY115" t="s">
        <v>442</v>
      </c>
      <c r="AZ115" t="s">
        <v>1306</v>
      </c>
    </row>
    <row r="116" spans="1:52">
      <c r="A116">
        <v>271</v>
      </c>
      <c r="B116" t="s">
        <v>396</v>
      </c>
      <c r="C116">
        <v>3548</v>
      </c>
      <c r="D116" t="s">
        <v>730</v>
      </c>
      <c r="E116">
        <v>3349</v>
      </c>
      <c r="F116" t="s">
        <v>1478</v>
      </c>
      <c r="G116" t="s">
        <v>1013</v>
      </c>
      <c r="O116">
        <v>1</v>
      </c>
      <c r="S116">
        <v>1</v>
      </c>
      <c r="Y116">
        <v>0</v>
      </c>
      <c r="AL116">
        <v>1</v>
      </c>
      <c r="AP116">
        <v>1</v>
      </c>
      <c r="AU116">
        <v>0</v>
      </c>
      <c r="AW116" t="s">
        <v>473</v>
      </c>
      <c r="AX116" t="s">
        <v>1388</v>
      </c>
      <c r="AY116" t="s">
        <v>442</v>
      </c>
      <c r="AZ116" t="s">
        <v>1306</v>
      </c>
    </row>
    <row r="117" spans="1:52">
      <c r="A117">
        <v>271</v>
      </c>
      <c r="B117" t="s">
        <v>396</v>
      </c>
      <c r="C117">
        <v>3548</v>
      </c>
      <c r="D117" t="s">
        <v>730</v>
      </c>
      <c r="E117">
        <v>3379</v>
      </c>
      <c r="F117" t="s">
        <v>1051</v>
      </c>
      <c r="G117" t="s">
        <v>1013</v>
      </c>
      <c r="N117">
        <v>1</v>
      </c>
      <c r="P117">
        <v>1</v>
      </c>
      <c r="S117">
        <v>2</v>
      </c>
      <c r="Y117">
        <v>0</v>
      </c>
      <c r="AK117">
        <v>1</v>
      </c>
      <c r="AM117">
        <v>1</v>
      </c>
      <c r="AP117">
        <v>2</v>
      </c>
      <c r="AU117">
        <v>0</v>
      </c>
      <c r="AW117" t="s">
        <v>473</v>
      </c>
      <c r="AX117" t="s">
        <v>1233</v>
      </c>
      <c r="AY117" t="s">
        <v>442</v>
      </c>
      <c r="AZ117" t="s">
        <v>1306</v>
      </c>
    </row>
    <row r="118" spans="1:52">
      <c r="A118">
        <v>271</v>
      </c>
      <c r="B118" t="s">
        <v>396</v>
      </c>
      <c r="C118">
        <v>3548</v>
      </c>
      <c r="D118" t="s">
        <v>730</v>
      </c>
      <c r="E118">
        <v>3395</v>
      </c>
      <c r="F118" t="s">
        <v>1479</v>
      </c>
      <c r="G118" t="s">
        <v>1013</v>
      </c>
      <c r="O118">
        <v>1</v>
      </c>
      <c r="S118">
        <v>1</v>
      </c>
      <c r="Y118">
        <v>0</v>
      </c>
      <c r="AL118">
        <v>1</v>
      </c>
      <c r="AP118">
        <v>1</v>
      </c>
      <c r="AU118">
        <v>0</v>
      </c>
      <c r="AW118" t="s">
        <v>473</v>
      </c>
      <c r="AX118" t="s">
        <v>1233</v>
      </c>
      <c r="AY118" t="s">
        <v>442</v>
      </c>
      <c r="AZ118" t="s">
        <v>1306</v>
      </c>
    </row>
    <row r="119" spans="1:52">
      <c r="A119">
        <v>271</v>
      </c>
      <c r="B119" t="s">
        <v>396</v>
      </c>
      <c r="C119">
        <v>3548</v>
      </c>
      <c r="D119" t="s">
        <v>730</v>
      </c>
      <c r="E119">
        <v>3401</v>
      </c>
      <c r="F119" t="s">
        <v>1034</v>
      </c>
      <c r="G119" t="s">
        <v>1013</v>
      </c>
      <c r="Q119">
        <v>1</v>
      </c>
      <c r="S119">
        <v>1</v>
      </c>
      <c r="Y119">
        <v>0</v>
      </c>
      <c r="AN119">
        <v>1</v>
      </c>
      <c r="AP119">
        <v>1</v>
      </c>
      <c r="AU119">
        <v>0</v>
      </c>
      <c r="AW119" t="s">
        <v>473</v>
      </c>
      <c r="AX119" t="s">
        <v>856</v>
      </c>
      <c r="AY119" t="s">
        <v>442</v>
      </c>
      <c r="AZ119" t="s">
        <v>1306</v>
      </c>
    </row>
    <row r="120" spans="1:52">
      <c r="A120">
        <v>271</v>
      </c>
      <c r="B120" t="s">
        <v>396</v>
      </c>
      <c r="C120">
        <v>3548</v>
      </c>
      <c r="D120" t="s">
        <v>730</v>
      </c>
      <c r="E120">
        <v>3411</v>
      </c>
      <c r="F120" t="s">
        <v>1036</v>
      </c>
      <c r="G120" t="s">
        <v>1013</v>
      </c>
      <c r="O120">
        <v>1</v>
      </c>
      <c r="Q120">
        <v>1</v>
      </c>
      <c r="S120">
        <v>2</v>
      </c>
      <c r="Y120">
        <v>0</v>
      </c>
      <c r="AL120">
        <v>1</v>
      </c>
      <c r="AN120">
        <v>1</v>
      </c>
      <c r="AP120">
        <v>2</v>
      </c>
      <c r="AU120">
        <v>0</v>
      </c>
      <c r="AW120" t="s">
        <v>473</v>
      </c>
      <c r="AX120" t="s">
        <v>1233</v>
      </c>
      <c r="AY120" t="s">
        <v>442</v>
      </c>
      <c r="AZ120" t="s">
        <v>1306</v>
      </c>
    </row>
    <row r="121" spans="1:52">
      <c r="A121">
        <v>271</v>
      </c>
      <c r="B121" t="s">
        <v>396</v>
      </c>
      <c r="C121">
        <v>3548</v>
      </c>
      <c r="D121" t="s">
        <v>730</v>
      </c>
      <c r="E121">
        <v>38065</v>
      </c>
      <c r="F121" t="s">
        <v>1480</v>
      </c>
      <c r="G121" t="s">
        <v>1013</v>
      </c>
      <c r="J121">
        <v>1</v>
      </c>
      <c r="S121">
        <v>2</v>
      </c>
      <c r="Y121">
        <v>0</v>
      </c>
      <c r="AA121">
        <v>1</v>
      </c>
      <c r="AG121">
        <v>1</v>
      </c>
      <c r="AP121">
        <v>2</v>
      </c>
      <c r="AU121">
        <v>0</v>
      </c>
      <c r="AW121" t="s">
        <v>473</v>
      </c>
      <c r="AX121" t="s">
        <v>851</v>
      </c>
      <c r="AY121" t="s">
        <v>442</v>
      </c>
      <c r="AZ121" t="s">
        <v>1298</v>
      </c>
    </row>
    <row r="122" spans="1:52">
      <c r="A122">
        <v>271</v>
      </c>
      <c r="B122" t="s">
        <v>396</v>
      </c>
      <c r="C122">
        <v>3548</v>
      </c>
      <c r="D122" t="s">
        <v>730</v>
      </c>
      <c r="E122">
        <v>5725</v>
      </c>
      <c r="F122" t="s">
        <v>1038</v>
      </c>
      <c r="G122" t="s">
        <v>1013</v>
      </c>
      <c r="Q122">
        <v>1</v>
      </c>
      <c r="S122">
        <v>1</v>
      </c>
      <c r="Y122">
        <v>0</v>
      </c>
      <c r="AN122">
        <v>1</v>
      </c>
      <c r="AP122">
        <v>1</v>
      </c>
      <c r="AU122">
        <v>0</v>
      </c>
      <c r="AW122" t="s">
        <v>473</v>
      </c>
      <c r="AX122" t="s">
        <v>862</v>
      </c>
      <c r="AY122" t="s">
        <v>442</v>
      </c>
      <c r="AZ122" t="s">
        <v>1306</v>
      </c>
    </row>
    <row r="123" spans="1:52">
      <c r="A123">
        <v>271</v>
      </c>
      <c r="B123" t="s">
        <v>396</v>
      </c>
      <c r="C123">
        <v>3548</v>
      </c>
      <c r="D123" t="s">
        <v>730</v>
      </c>
      <c r="E123">
        <v>7045</v>
      </c>
      <c r="F123" t="s">
        <v>1481</v>
      </c>
      <c r="G123" t="s">
        <v>1013</v>
      </c>
      <c r="P123">
        <v>1</v>
      </c>
      <c r="S123">
        <v>1</v>
      </c>
      <c r="Y123">
        <v>0</v>
      </c>
      <c r="AM123">
        <v>1</v>
      </c>
      <c r="AP123">
        <v>1</v>
      </c>
      <c r="AU123">
        <v>0</v>
      </c>
      <c r="AW123" t="s">
        <v>473</v>
      </c>
      <c r="AX123" t="s">
        <v>1233</v>
      </c>
      <c r="AY123" t="s">
        <v>442</v>
      </c>
      <c r="AZ123" t="s">
        <v>1306</v>
      </c>
    </row>
    <row r="124" spans="1:52">
      <c r="A124">
        <v>271</v>
      </c>
      <c r="B124" t="s">
        <v>396</v>
      </c>
      <c r="C124">
        <v>3548</v>
      </c>
      <c r="D124" t="s">
        <v>730</v>
      </c>
      <c r="E124">
        <v>7203</v>
      </c>
      <c r="F124" t="s">
        <v>1482</v>
      </c>
      <c r="G124" t="s">
        <v>1013</v>
      </c>
      <c r="N124">
        <v>18</v>
      </c>
      <c r="O124">
        <v>13</v>
      </c>
      <c r="P124">
        <v>14</v>
      </c>
      <c r="Q124">
        <v>12</v>
      </c>
      <c r="S124">
        <v>57</v>
      </c>
      <c r="Y124">
        <v>0</v>
      </c>
      <c r="AK124">
        <v>18</v>
      </c>
      <c r="AL124">
        <v>13</v>
      </c>
      <c r="AM124">
        <v>14</v>
      </c>
      <c r="AN124">
        <v>12</v>
      </c>
      <c r="AP124">
        <v>57</v>
      </c>
      <c r="AU124">
        <v>0</v>
      </c>
      <c r="AW124" t="s">
        <v>473</v>
      </c>
      <c r="AX124" t="s">
        <v>851</v>
      </c>
      <c r="AY124" t="s">
        <v>442</v>
      </c>
      <c r="AZ124" t="s">
        <v>1306</v>
      </c>
    </row>
    <row r="125" spans="1:52">
      <c r="A125">
        <v>271</v>
      </c>
      <c r="B125" t="s">
        <v>396</v>
      </c>
      <c r="C125">
        <v>3548</v>
      </c>
      <c r="D125" t="s">
        <v>730</v>
      </c>
      <c r="E125">
        <v>7592</v>
      </c>
      <c r="F125" t="s">
        <v>1483</v>
      </c>
      <c r="G125" t="s">
        <v>1013</v>
      </c>
      <c r="N125">
        <v>1</v>
      </c>
      <c r="Q125">
        <v>1</v>
      </c>
      <c r="S125">
        <v>2</v>
      </c>
      <c r="Y125">
        <v>0</v>
      </c>
      <c r="AK125">
        <v>1</v>
      </c>
      <c r="AN125">
        <v>1</v>
      </c>
      <c r="AP125">
        <v>2</v>
      </c>
      <c r="AU125">
        <v>0</v>
      </c>
      <c r="AW125" t="s">
        <v>473</v>
      </c>
      <c r="AX125" s="485" t="s">
        <v>1484</v>
      </c>
      <c r="AY125" t="s">
        <v>442</v>
      </c>
      <c r="AZ125" t="s">
        <v>1306</v>
      </c>
    </row>
    <row r="126" spans="1:52">
      <c r="A126">
        <v>271</v>
      </c>
      <c r="B126" t="s">
        <v>396</v>
      </c>
      <c r="C126">
        <v>3548</v>
      </c>
      <c r="D126" t="s">
        <v>730</v>
      </c>
      <c r="E126">
        <v>8193</v>
      </c>
      <c r="F126" t="s">
        <v>1472</v>
      </c>
      <c r="G126" t="s">
        <v>1027</v>
      </c>
      <c r="P126">
        <v>1</v>
      </c>
      <c r="S126">
        <v>1</v>
      </c>
      <c r="Y126">
        <v>0</v>
      </c>
      <c r="AM126">
        <v>1</v>
      </c>
      <c r="AP126">
        <v>1</v>
      </c>
      <c r="AU126">
        <v>0</v>
      </c>
      <c r="AW126" t="s">
        <v>473</v>
      </c>
      <c r="AX126" t="s">
        <v>1397</v>
      </c>
      <c r="AY126" t="s">
        <v>442</v>
      </c>
      <c r="AZ126" t="s">
        <v>1306</v>
      </c>
    </row>
    <row r="127" spans="1:52">
      <c r="A127">
        <v>271</v>
      </c>
      <c r="B127" t="s">
        <v>396</v>
      </c>
      <c r="C127">
        <v>3548</v>
      </c>
      <c r="D127" t="s">
        <v>730</v>
      </c>
      <c r="E127">
        <v>8930</v>
      </c>
      <c r="F127" t="s">
        <v>1040</v>
      </c>
      <c r="G127" t="s">
        <v>1013</v>
      </c>
      <c r="Q127">
        <v>3</v>
      </c>
      <c r="S127">
        <v>3</v>
      </c>
      <c r="Y127">
        <v>0</v>
      </c>
      <c r="AN127">
        <v>3</v>
      </c>
      <c r="AP127">
        <v>3</v>
      </c>
      <c r="AU127">
        <v>0</v>
      </c>
      <c r="AW127" t="s">
        <v>473</v>
      </c>
      <c r="AX127" t="s">
        <v>1233</v>
      </c>
      <c r="AY127" t="s">
        <v>442</v>
      </c>
      <c r="AZ127" t="s">
        <v>1306</v>
      </c>
    </row>
    <row r="128" spans="1:52">
      <c r="A128">
        <v>272</v>
      </c>
      <c r="B128" t="s">
        <v>734</v>
      </c>
      <c r="C128">
        <v>3548</v>
      </c>
      <c r="D128" t="s">
        <v>730</v>
      </c>
      <c r="E128">
        <v>1283</v>
      </c>
      <c r="F128" t="s">
        <v>1043</v>
      </c>
      <c r="G128" t="s">
        <v>1013</v>
      </c>
      <c r="Q128">
        <v>1</v>
      </c>
      <c r="S128">
        <v>1</v>
      </c>
      <c r="Y128">
        <v>0</v>
      </c>
      <c r="AN128">
        <v>1</v>
      </c>
      <c r="AP128">
        <v>1</v>
      </c>
      <c r="AU128">
        <v>0</v>
      </c>
      <c r="AW128" t="s">
        <v>473</v>
      </c>
      <c r="AX128" t="s">
        <v>862</v>
      </c>
      <c r="AY128" t="s">
        <v>442</v>
      </c>
      <c r="AZ128" t="s">
        <v>1306</v>
      </c>
    </row>
    <row r="129" spans="1:52">
      <c r="A129">
        <v>272</v>
      </c>
      <c r="B129" t="s">
        <v>734</v>
      </c>
      <c r="C129">
        <v>3548</v>
      </c>
      <c r="D129" t="s">
        <v>730</v>
      </c>
      <c r="E129">
        <v>3282</v>
      </c>
      <c r="F129" t="s">
        <v>1022</v>
      </c>
      <c r="G129" t="s">
        <v>1013</v>
      </c>
      <c r="O129">
        <v>1</v>
      </c>
      <c r="S129">
        <v>1</v>
      </c>
      <c r="Y129">
        <v>0</v>
      </c>
      <c r="AL129">
        <v>1</v>
      </c>
      <c r="AP129">
        <v>1</v>
      </c>
      <c r="AU129">
        <v>0</v>
      </c>
      <c r="AW129" t="s">
        <v>473</v>
      </c>
      <c r="AX129" t="s">
        <v>1233</v>
      </c>
      <c r="AY129" t="s">
        <v>442</v>
      </c>
      <c r="AZ129" t="s">
        <v>1306</v>
      </c>
    </row>
    <row r="130" spans="1:52">
      <c r="A130">
        <v>272</v>
      </c>
      <c r="B130" t="s">
        <v>734</v>
      </c>
      <c r="C130">
        <v>3548</v>
      </c>
      <c r="D130" t="s">
        <v>730</v>
      </c>
      <c r="E130">
        <v>3285</v>
      </c>
      <c r="F130" t="s">
        <v>1485</v>
      </c>
      <c r="G130" t="s">
        <v>1013</v>
      </c>
      <c r="O130">
        <v>2</v>
      </c>
      <c r="P130">
        <v>3</v>
      </c>
      <c r="Q130">
        <v>3</v>
      </c>
      <c r="S130">
        <v>8</v>
      </c>
      <c r="Y130">
        <v>0</v>
      </c>
      <c r="AL130">
        <v>2</v>
      </c>
      <c r="AM130">
        <v>3</v>
      </c>
      <c r="AN130">
        <v>3</v>
      </c>
      <c r="AP130">
        <v>8</v>
      </c>
      <c r="AU130">
        <v>0</v>
      </c>
      <c r="AW130" t="s">
        <v>473</v>
      </c>
      <c r="AX130" t="s">
        <v>851</v>
      </c>
      <c r="AY130" t="s">
        <v>442</v>
      </c>
      <c r="AZ130" t="s">
        <v>1306</v>
      </c>
    </row>
    <row r="131" spans="1:52">
      <c r="A131">
        <v>272</v>
      </c>
      <c r="B131" t="s">
        <v>734</v>
      </c>
      <c r="C131">
        <v>3548</v>
      </c>
      <c r="D131" t="s">
        <v>730</v>
      </c>
      <c r="E131">
        <v>3310</v>
      </c>
      <c r="F131" t="s">
        <v>1045</v>
      </c>
      <c r="G131" t="s">
        <v>1013</v>
      </c>
      <c r="O131">
        <v>1</v>
      </c>
      <c r="Q131">
        <v>1</v>
      </c>
      <c r="S131">
        <v>2</v>
      </c>
      <c r="Y131">
        <v>0</v>
      </c>
      <c r="AL131">
        <v>1</v>
      </c>
      <c r="AN131">
        <v>1</v>
      </c>
      <c r="AP131">
        <v>2</v>
      </c>
      <c r="AU131">
        <v>0</v>
      </c>
      <c r="AW131" t="s">
        <v>473</v>
      </c>
      <c r="AX131" t="s">
        <v>1233</v>
      </c>
      <c r="AY131" t="s">
        <v>442</v>
      </c>
      <c r="AZ131" t="s">
        <v>1306</v>
      </c>
    </row>
    <row r="132" spans="1:52">
      <c r="A132">
        <v>272</v>
      </c>
      <c r="B132" t="s">
        <v>734</v>
      </c>
      <c r="C132">
        <v>3548</v>
      </c>
      <c r="D132" t="s">
        <v>730</v>
      </c>
      <c r="E132">
        <v>3321</v>
      </c>
      <c r="F132" t="s">
        <v>1047</v>
      </c>
      <c r="G132" t="s">
        <v>1013</v>
      </c>
      <c r="P132">
        <v>1</v>
      </c>
      <c r="S132">
        <v>1</v>
      </c>
      <c r="Y132">
        <v>0</v>
      </c>
      <c r="AM132">
        <v>1</v>
      </c>
      <c r="AP132">
        <v>1</v>
      </c>
      <c r="AU132">
        <v>0</v>
      </c>
      <c r="AW132" t="s">
        <v>473</v>
      </c>
      <c r="AX132" t="s">
        <v>1233</v>
      </c>
      <c r="AY132" t="s">
        <v>442</v>
      </c>
      <c r="AZ132" t="s">
        <v>1306</v>
      </c>
    </row>
    <row r="133" spans="1:52">
      <c r="A133">
        <v>272</v>
      </c>
      <c r="B133" t="s">
        <v>734</v>
      </c>
      <c r="C133">
        <v>3548</v>
      </c>
      <c r="D133" t="s">
        <v>730</v>
      </c>
      <c r="E133">
        <v>3351</v>
      </c>
      <c r="F133" t="s">
        <v>1486</v>
      </c>
      <c r="G133" t="s">
        <v>1013</v>
      </c>
      <c r="O133">
        <v>1</v>
      </c>
      <c r="S133">
        <v>1</v>
      </c>
      <c r="Y133">
        <v>0</v>
      </c>
      <c r="AL133">
        <v>1</v>
      </c>
      <c r="AP133">
        <v>1</v>
      </c>
      <c r="AU133">
        <v>0</v>
      </c>
      <c r="AW133" t="s">
        <v>473</v>
      </c>
      <c r="AX133" t="s">
        <v>852</v>
      </c>
      <c r="AY133" t="s">
        <v>442</v>
      </c>
      <c r="AZ133" t="s">
        <v>1306</v>
      </c>
    </row>
    <row r="134" spans="1:52">
      <c r="A134">
        <v>272</v>
      </c>
      <c r="B134" t="s">
        <v>734</v>
      </c>
      <c r="C134">
        <v>3548</v>
      </c>
      <c r="D134" t="s">
        <v>730</v>
      </c>
      <c r="E134">
        <v>3370</v>
      </c>
      <c r="F134" t="s">
        <v>1049</v>
      </c>
      <c r="G134" t="s">
        <v>1013</v>
      </c>
      <c r="P134">
        <v>1</v>
      </c>
      <c r="S134">
        <v>1</v>
      </c>
      <c r="Y134">
        <v>0</v>
      </c>
      <c r="AM134">
        <v>1</v>
      </c>
      <c r="AP134">
        <v>1</v>
      </c>
      <c r="AU134">
        <v>0</v>
      </c>
      <c r="AW134" t="s">
        <v>473</v>
      </c>
      <c r="AX134" t="s">
        <v>1233</v>
      </c>
      <c r="AY134" t="s">
        <v>442</v>
      </c>
      <c r="AZ134" t="s">
        <v>1306</v>
      </c>
    </row>
    <row r="135" spans="1:52">
      <c r="A135">
        <v>272</v>
      </c>
      <c r="B135" t="s">
        <v>734</v>
      </c>
      <c r="C135">
        <v>3548</v>
      </c>
      <c r="D135" t="s">
        <v>730</v>
      </c>
      <c r="E135">
        <v>3374</v>
      </c>
      <c r="F135" t="s">
        <v>1487</v>
      </c>
      <c r="G135" t="s">
        <v>1013</v>
      </c>
      <c r="Q135">
        <v>1</v>
      </c>
      <c r="S135">
        <v>1</v>
      </c>
      <c r="Y135">
        <v>0</v>
      </c>
      <c r="AN135">
        <v>1</v>
      </c>
      <c r="AP135">
        <v>1</v>
      </c>
      <c r="AU135">
        <v>0</v>
      </c>
      <c r="AW135" t="s">
        <v>473</v>
      </c>
      <c r="AX135" t="s">
        <v>1405</v>
      </c>
      <c r="AY135" t="s">
        <v>442</v>
      </c>
      <c r="AZ135" t="s">
        <v>1306</v>
      </c>
    </row>
    <row r="136" spans="1:52">
      <c r="A136">
        <v>272</v>
      </c>
      <c r="B136" t="s">
        <v>734</v>
      </c>
      <c r="C136">
        <v>3548</v>
      </c>
      <c r="D136" t="s">
        <v>730</v>
      </c>
      <c r="E136">
        <v>3379</v>
      </c>
      <c r="F136" t="s">
        <v>1051</v>
      </c>
      <c r="G136" t="s">
        <v>1013</v>
      </c>
      <c r="Q136">
        <v>1</v>
      </c>
      <c r="S136">
        <v>1</v>
      </c>
      <c r="Y136">
        <v>0</v>
      </c>
      <c r="AN136">
        <v>1</v>
      </c>
      <c r="AP136">
        <v>1</v>
      </c>
      <c r="AU136">
        <v>0</v>
      </c>
      <c r="AW136" t="s">
        <v>473</v>
      </c>
      <c r="AX136" t="s">
        <v>1233</v>
      </c>
      <c r="AY136" t="s">
        <v>442</v>
      </c>
      <c r="AZ136" t="s">
        <v>1306</v>
      </c>
    </row>
    <row r="137" spans="1:52">
      <c r="A137">
        <v>272</v>
      </c>
      <c r="B137" t="s">
        <v>734</v>
      </c>
      <c r="C137">
        <v>3548</v>
      </c>
      <c r="D137" t="s">
        <v>730</v>
      </c>
      <c r="E137">
        <v>3449</v>
      </c>
      <c r="F137" t="s">
        <v>1015</v>
      </c>
      <c r="G137" t="s">
        <v>1013</v>
      </c>
      <c r="O137">
        <v>1</v>
      </c>
      <c r="S137">
        <v>1</v>
      </c>
      <c r="Y137">
        <v>0</v>
      </c>
      <c r="AL137">
        <v>1</v>
      </c>
      <c r="AP137">
        <v>1</v>
      </c>
      <c r="AU137">
        <v>0</v>
      </c>
      <c r="AW137" t="s">
        <v>473</v>
      </c>
      <c r="AX137" t="s">
        <v>1384</v>
      </c>
      <c r="AY137" t="s">
        <v>442</v>
      </c>
      <c r="AZ137" t="s">
        <v>1306</v>
      </c>
    </row>
    <row r="138" spans="1:52">
      <c r="A138">
        <v>272</v>
      </c>
      <c r="B138" t="s">
        <v>734</v>
      </c>
      <c r="C138">
        <v>3548</v>
      </c>
      <c r="D138" t="s">
        <v>730</v>
      </c>
      <c r="E138">
        <v>8230</v>
      </c>
      <c r="F138" t="s">
        <v>1029</v>
      </c>
      <c r="G138" t="s">
        <v>1013</v>
      </c>
      <c r="S138">
        <v>0</v>
      </c>
      <c r="V138">
        <v>1</v>
      </c>
      <c r="Y138">
        <v>1</v>
      </c>
      <c r="AP138">
        <v>0</v>
      </c>
      <c r="AS138">
        <v>1</v>
      </c>
      <c r="AU138">
        <v>1</v>
      </c>
      <c r="AW138" t="s">
        <v>473</v>
      </c>
      <c r="AX138" t="s">
        <v>1405</v>
      </c>
      <c r="AY138" t="s">
        <v>442</v>
      </c>
      <c r="AZ138" t="s">
        <v>1306</v>
      </c>
    </row>
    <row r="139" spans="1:52">
      <c r="A139">
        <v>272</v>
      </c>
      <c r="B139" t="s">
        <v>734</v>
      </c>
      <c r="C139">
        <v>3548</v>
      </c>
      <c r="D139" t="s">
        <v>730</v>
      </c>
      <c r="E139">
        <v>9632</v>
      </c>
      <c r="F139" t="s">
        <v>1488</v>
      </c>
      <c r="G139" t="s">
        <v>1027</v>
      </c>
      <c r="S139">
        <v>0</v>
      </c>
      <c r="U139">
        <v>1</v>
      </c>
      <c r="V139">
        <v>2</v>
      </c>
      <c r="Y139">
        <v>3</v>
      </c>
      <c r="AP139">
        <v>0</v>
      </c>
      <c r="AR139">
        <v>1</v>
      </c>
      <c r="AS139">
        <v>2</v>
      </c>
      <c r="AU139">
        <v>3</v>
      </c>
      <c r="AW139" t="s">
        <v>473</v>
      </c>
      <c r="AX139" t="s">
        <v>1397</v>
      </c>
      <c r="AY139" t="s">
        <v>442</v>
      </c>
      <c r="AZ139" t="s">
        <v>1306</v>
      </c>
    </row>
    <row r="140" spans="1:52">
      <c r="A140">
        <v>273</v>
      </c>
      <c r="B140" t="s">
        <v>735</v>
      </c>
      <c r="C140">
        <v>3548</v>
      </c>
      <c r="D140" t="s">
        <v>730</v>
      </c>
      <c r="E140">
        <v>1755</v>
      </c>
      <c r="F140" t="s">
        <v>1489</v>
      </c>
      <c r="G140" t="s">
        <v>1013</v>
      </c>
      <c r="I140">
        <v>2</v>
      </c>
      <c r="J140">
        <v>4</v>
      </c>
      <c r="K140">
        <v>4</v>
      </c>
      <c r="L140">
        <v>4</v>
      </c>
      <c r="N140">
        <v>14</v>
      </c>
      <c r="O140">
        <v>16</v>
      </c>
      <c r="P140">
        <v>13</v>
      </c>
      <c r="Q140">
        <v>13</v>
      </c>
      <c r="S140">
        <v>83</v>
      </c>
      <c r="Y140">
        <v>0</v>
      </c>
      <c r="AA140">
        <v>1</v>
      </c>
      <c r="AB140">
        <v>3</v>
      </c>
      <c r="AC140">
        <v>1</v>
      </c>
      <c r="AD140">
        <v>3</v>
      </c>
      <c r="AE140">
        <v>5</v>
      </c>
      <c r="AF140">
        <v>2</v>
      </c>
      <c r="AG140">
        <v>4</v>
      </c>
      <c r="AH140">
        <v>4</v>
      </c>
      <c r="AI140">
        <v>4</v>
      </c>
      <c r="AK140">
        <v>14</v>
      </c>
      <c r="AL140">
        <v>16</v>
      </c>
      <c r="AM140">
        <v>13</v>
      </c>
      <c r="AN140">
        <v>13</v>
      </c>
      <c r="AP140">
        <v>83</v>
      </c>
      <c r="AU140">
        <v>0</v>
      </c>
      <c r="AW140" t="s">
        <v>473</v>
      </c>
      <c r="AX140" t="s">
        <v>1490</v>
      </c>
      <c r="AY140" t="s">
        <v>438</v>
      </c>
      <c r="AZ140" t="s">
        <v>1298</v>
      </c>
    </row>
    <row r="141" spans="1:52">
      <c r="A141">
        <v>273</v>
      </c>
      <c r="B141" t="s">
        <v>735</v>
      </c>
      <c r="C141">
        <v>3548</v>
      </c>
      <c r="D141" t="s">
        <v>730</v>
      </c>
      <c r="E141">
        <v>21085</v>
      </c>
      <c r="F141" t="s">
        <v>1491</v>
      </c>
      <c r="G141" t="s">
        <v>1013</v>
      </c>
      <c r="J141">
        <v>2</v>
      </c>
      <c r="K141">
        <v>1</v>
      </c>
      <c r="S141">
        <v>3</v>
      </c>
      <c r="Y141">
        <v>0</v>
      </c>
      <c r="AG141">
        <v>2</v>
      </c>
      <c r="AH141">
        <v>1</v>
      </c>
      <c r="AP141">
        <v>3</v>
      </c>
      <c r="AU141">
        <v>0</v>
      </c>
      <c r="AW141" t="s">
        <v>473</v>
      </c>
      <c r="AX141" t="s">
        <v>1388</v>
      </c>
      <c r="AY141" t="s">
        <v>438</v>
      </c>
      <c r="AZ141" t="s">
        <v>1306</v>
      </c>
    </row>
    <row r="142" spans="1:52">
      <c r="A142">
        <v>273</v>
      </c>
      <c r="B142" t="s">
        <v>735</v>
      </c>
      <c r="C142">
        <v>3548</v>
      </c>
      <c r="D142" t="s">
        <v>730</v>
      </c>
      <c r="E142">
        <v>38093</v>
      </c>
      <c r="F142" t="s">
        <v>1420</v>
      </c>
      <c r="G142" t="s">
        <v>1013</v>
      </c>
      <c r="I142">
        <v>1</v>
      </c>
      <c r="S142">
        <v>1</v>
      </c>
      <c r="Y142">
        <v>0</v>
      </c>
      <c r="AF142">
        <v>1</v>
      </c>
      <c r="AP142">
        <v>1</v>
      </c>
      <c r="AU142">
        <v>0</v>
      </c>
      <c r="AW142" t="s">
        <v>473</v>
      </c>
      <c r="AX142" t="s">
        <v>1490</v>
      </c>
      <c r="AY142" t="s">
        <v>438</v>
      </c>
      <c r="AZ142" t="s">
        <v>1306</v>
      </c>
    </row>
    <row r="143" spans="1:52">
      <c r="A143">
        <v>273</v>
      </c>
      <c r="B143" t="s">
        <v>735</v>
      </c>
      <c r="C143">
        <v>9011</v>
      </c>
      <c r="D143" t="s">
        <v>1576</v>
      </c>
      <c r="E143">
        <v>7502</v>
      </c>
      <c r="F143" t="s">
        <v>1026</v>
      </c>
      <c r="G143" t="s">
        <v>1027</v>
      </c>
      <c r="O143">
        <v>1</v>
      </c>
      <c r="P143">
        <v>1</v>
      </c>
      <c r="S143">
        <v>2</v>
      </c>
      <c r="Y143">
        <v>0</v>
      </c>
      <c r="AL143">
        <v>1</v>
      </c>
      <c r="AM143">
        <v>1</v>
      </c>
      <c r="AP143">
        <v>2</v>
      </c>
      <c r="AU143">
        <v>0</v>
      </c>
      <c r="AW143" t="s">
        <v>473</v>
      </c>
      <c r="AX143" t="s">
        <v>1397</v>
      </c>
      <c r="AY143" t="s">
        <v>438</v>
      </c>
      <c r="AZ143" t="s">
        <v>1306</v>
      </c>
    </row>
    <row r="144" spans="1:52">
      <c r="A144">
        <v>274</v>
      </c>
      <c r="B144" t="s">
        <v>1600</v>
      </c>
      <c r="C144">
        <v>274</v>
      </c>
      <c r="D144" t="s">
        <v>1601</v>
      </c>
      <c r="E144">
        <v>1044</v>
      </c>
      <c r="F144" t="s">
        <v>1602</v>
      </c>
      <c r="G144" t="s">
        <v>1013</v>
      </c>
      <c r="R144">
        <v>3</v>
      </c>
      <c r="S144">
        <v>3</v>
      </c>
      <c r="Y144">
        <v>0</v>
      </c>
      <c r="AO144">
        <v>3</v>
      </c>
      <c r="AP144">
        <v>3</v>
      </c>
      <c r="AU144">
        <v>0</v>
      </c>
      <c r="AW144" t="s">
        <v>473</v>
      </c>
      <c r="AX144" t="s">
        <v>1477</v>
      </c>
      <c r="AY144" t="s">
        <v>441</v>
      </c>
      <c r="AZ144" t="s">
        <v>1306</v>
      </c>
    </row>
    <row r="145" spans="1:52">
      <c r="A145">
        <v>274</v>
      </c>
      <c r="B145" t="s">
        <v>1600</v>
      </c>
      <c r="C145">
        <v>274</v>
      </c>
      <c r="D145" t="s">
        <v>1601</v>
      </c>
      <c r="E145">
        <v>1048</v>
      </c>
      <c r="F145" t="s">
        <v>1055</v>
      </c>
      <c r="G145" t="s">
        <v>1013</v>
      </c>
      <c r="Q145">
        <v>2</v>
      </c>
      <c r="S145">
        <v>2</v>
      </c>
      <c r="Y145">
        <v>0</v>
      </c>
      <c r="AN145">
        <v>2</v>
      </c>
      <c r="AP145">
        <v>2</v>
      </c>
      <c r="AU145">
        <v>0</v>
      </c>
      <c r="AW145" t="s">
        <v>473</v>
      </c>
      <c r="AX145" t="s">
        <v>862</v>
      </c>
      <c r="AY145" t="s">
        <v>441</v>
      </c>
      <c r="AZ145" t="s">
        <v>1306</v>
      </c>
    </row>
    <row r="146" spans="1:52">
      <c r="A146">
        <v>274</v>
      </c>
      <c r="B146" t="s">
        <v>1600</v>
      </c>
      <c r="C146">
        <v>274</v>
      </c>
      <c r="D146" t="s">
        <v>1601</v>
      </c>
      <c r="E146">
        <v>20791</v>
      </c>
      <c r="F146" t="s">
        <v>1603</v>
      </c>
      <c r="G146" t="s">
        <v>1013</v>
      </c>
      <c r="S146">
        <v>2</v>
      </c>
      <c r="Y146">
        <v>0</v>
      </c>
      <c r="AB146">
        <v>1</v>
      </c>
      <c r="AC146">
        <v>1</v>
      </c>
      <c r="AP146">
        <v>2</v>
      </c>
      <c r="AU146">
        <v>0</v>
      </c>
      <c r="AW146" t="s">
        <v>473</v>
      </c>
      <c r="AX146" t="s">
        <v>1405</v>
      </c>
      <c r="AY146" t="s">
        <v>441</v>
      </c>
      <c r="AZ146" t="s">
        <v>1306</v>
      </c>
    </row>
    <row r="147" spans="1:52">
      <c r="A147">
        <v>274</v>
      </c>
      <c r="B147" t="s">
        <v>1600</v>
      </c>
      <c r="C147">
        <v>274</v>
      </c>
      <c r="D147" t="s">
        <v>1601</v>
      </c>
      <c r="E147">
        <v>21114</v>
      </c>
      <c r="F147" t="s">
        <v>1604</v>
      </c>
      <c r="G147" t="s">
        <v>1013</v>
      </c>
      <c r="S147">
        <v>1</v>
      </c>
      <c r="Y147">
        <v>0</v>
      </c>
      <c r="AE147">
        <v>1</v>
      </c>
      <c r="AP147">
        <v>1</v>
      </c>
      <c r="AU147">
        <v>0</v>
      </c>
      <c r="AW147" t="s">
        <v>473</v>
      </c>
      <c r="AX147" t="s">
        <v>1233</v>
      </c>
      <c r="AY147" t="s">
        <v>441</v>
      </c>
      <c r="AZ147" t="s">
        <v>1306</v>
      </c>
    </row>
    <row r="148" spans="1:52">
      <c r="A148">
        <v>274</v>
      </c>
      <c r="B148" t="s">
        <v>1600</v>
      </c>
      <c r="C148">
        <v>274</v>
      </c>
      <c r="D148" t="s">
        <v>1601</v>
      </c>
      <c r="E148">
        <v>2254</v>
      </c>
      <c r="F148" t="s">
        <v>1605</v>
      </c>
      <c r="G148" t="s">
        <v>1013</v>
      </c>
      <c r="K148">
        <v>1</v>
      </c>
      <c r="S148">
        <v>1</v>
      </c>
      <c r="Y148">
        <v>0</v>
      </c>
      <c r="AH148">
        <v>1</v>
      </c>
      <c r="AP148">
        <v>1</v>
      </c>
      <c r="AU148">
        <v>0</v>
      </c>
      <c r="AW148" t="s">
        <v>473</v>
      </c>
      <c r="AX148" t="s">
        <v>1233</v>
      </c>
      <c r="AY148" t="s">
        <v>441</v>
      </c>
      <c r="AZ148" t="s">
        <v>1306</v>
      </c>
    </row>
    <row r="149" spans="1:52">
      <c r="A149">
        <v>274</v>
      </c>
      <c r="B149" t="s">
        <v>1600</v>
      </c>
      <c r="C149">
        <v>274</v>
      </c>
      <c r="D149" t="s">
        <v>1601</v>
      </c>
      <c r="E149">
        <v>2257</v>
      </c>
      <c r="F149" t="s">
        <v>1606</v>
      </c>
      <c r="G149" t="s">
        <v>1013</v>
      </c>
      <c r="S149">
        <v>1</v>
      </c>
      <c r="Y149">
        <v>0</v>
      </c>
      <c r="AC149">
        <v>1</v>
      </c>
      <c r="AP149">
        <v>1</v>
      </c>
      <c r="AU149">
        <v>0</v>
      </c>
      <c r="AW149" t="s">
        <v>473</v>
      </c>
      <c r="AX149" t="s">
        <v>853</v>
      </c>
      <c r="AY149" t="s">
        <v>441</v>
      </c>
      <c r="AZ149" t="s">
        <v>1306</v>
      </c>
    </row>
    <row r="150" spans="1:52">
      <c r="A150">
        <v>274</v>
      </c>
      <c r="B150" t="s">
        <v>1600</v>
      </c>
      <c r="C150">
        <v>274</v>
      </c>
      <c r="D150" t="s">
        <v>1601</v>
      </c>
      <c r="E150">
        <v>3285</v>
      </c>
      <c r="F150" t="s">
        <v>1485</v>
      </c>
      <c r="G150" t="s">
        <v>1013</v>
      </c>
      <c r="O150">
        <v>1</v>
      </c>
      <c r="P150">
        <v>7</v>
      </c>
      <c r="Q150">
        <v>6</v>
      </c>
      <c r="S150">
        <v>14</v>
      </c>
      <c r="Y150">
        <v>0</v>
      </c>
      <c r="AL150">
        <v>1</v>
      </c>
      <c r="AM150">
        <v>7</v>
      </c>
      <c r="AN150">
        <v>6</v>
      </c>
      <c r="AP150">
        <v>14</v>
      </c>
      <c r="AU150">
        <v>0</v>
      </c>
      <c r="AW150" t="s">
        <v>473</v>
      </c>
      <c r="AX150" t="s">
        <v>851</v>
      </c>
      <c r="AY150" t="s">
        <v>441</v>
      </c>
      <c r="AZ150" t="s">
        <v>1306</v>
      </c>
    </row>
    <row r="151" spans="1:52">
      <c r="A151">
        <v>274</v>
      </c>
      <c r="B151" t="s">
        <v>1600</v>
      </c>
      <c r="C151">
        <v>274</v>
      </c>
      <c r="D151" t="s">
        <v>1601</v>
      </c>
      <c r="E151">
        <v>3307</v>
      </c>
      <c r="F151" t="s">
        <v>1607</v>
      </c>
      <c r="G151" t="s">
        <v>1013</v>
      </c>
      <c r="N151">
        <v>1</v>
      </c>
      <c r="O151">
        <v>1</v>
      </c>
      <c r="S151">
        <v>2</v>
      </c>
      <c r="Y151">
        <v>0</v>
      </c>
      <c r="AK151">
        <v>1</v>
      </c>
      <c r="AL151">
        <v>1</v>
      </c>
      <c r="AP151">
        <v>2</v>
      </c>
      <c r="AU151">
        <v>0</v>
      </c>
      <c r="AW151" t="s">
        <v>473</v>
      </c>
      <c r="AX151" t="s">
        <v>853</v>
      </c>
      <c r="AY151" t="s">
        <v>441</v>
      </c>
      <c r="AZ151" t="s">
        <v>1306</v>
      </c>
    </row>
    <row r="152" spans="1:52">
      <c r="A152">
        <v>274</v>
      </c>
      <c r="B152" t="s">
        <v>1600</v>
      </c>
      <c r="C152">
        <v>274</v>
      </c>
      <c r="D152" t="s">
        <v>1601</v>
      </c>
      <c r="E152">
        <v>3310</v>
      </c>
      <c r="F152" t="s">
        <v>1045</v>
      </c>
      <c r="G152" t="s">
        <v>1013</v>
      </c>
      <c r="K152">
        <v>1</v>
      </c>
      <c r="L152">
        <v>1</v>
      </c>
      <c r="S152">
        <v>2</v>
      </c>
      <c r="Y152">
        <v>0</v>
      </c>
      <c r="AH152">
        <v>1</v>
      </c>
      <c r="AI152">
        <v>1</v>
      </c>
      <c r="AP152">
        <v>2</v>
      </c>
      <c r="AU152">
        <v>0</v>
      </c>
      <c r="AW152" t="s">
        <v>473</v>
      </c>
      <c r="AX152" t="s">
        <v>1233</v>
      </c>
      <c r="AY152" t="s">
        <v>441</v>
      </c>
      <c r="AZ152" t="s">
        <v>1306</v>
      </c>
    </row>
    <row r="153" spans="1:52">
      <c r="A153">
        <v>274</v>
      </c>
      <c r="B153" t="s">
        <v>1600</v>
      </c>
      <c r="C153">
        <v>274</v>
      </c>
      <c r="D153" t="s">
        <v>1601</v>
      </c>
      <c r="E153">
        <v>3313</v>
      </c>
      <c r="F153" t="s">
        <v>1495</v>
      </c>
      <c r="G153" t="s">
        <v>1013</v>
      </c>
      <c r="Q153">
        <v>1</v>
      </c>
      <c r="S153">
        <v>1</v>
      </c>
      <c r="Y153">
        <v>0</v>
      </c>
      <c r="AN153">
        <v>1</v>
      </c>
      <c r="AP153">
        <v>1</v>
      </c>
      <c r="AU153">
        <v>0</v>
      </c>
      <c r="AW153" t="s">
        <v>473</v>
      </c>
      <c r="AX153" t="s">
        <v>868</v>
      </c>
      <c r="AY153" t="s">
        <v>441</v>
      </c>
      <c r="AZ153" t="s">
        <v>1306</v>
      </c>
    </row>
    <row r="154" spans="1:52">
      <c r="A154">
        <v>274</v>
      </c>
      <c r="B154" t="s">
        <v>1600</v>
      </c>
      <c r="C154">
        <v>274</v>
      </c>
      <c r="D154" t="s">
        <v>1601</v>
      </c>
      <c r="E154">
        <v>3320</v>
      </c>
      <c r="F154" t="s">
        <v>1608</v>
      </c>
      <c r="G154" t="s">
        <v>1013</v>
      </c>
      <c r="P154">
        <v>1</v>
      </c>
      <c r="S154">
        <v>1</v>
      </c>
      <c r="Y154">
        <v>0</v>
      </c>
      <c r="AM154">
        <v>1</v>
      </c>
      <c r="AP154">
        <v>1</v>
      </c>
      <c r="AU154">
        <v>0</v>
      </c>
      <c r="AW154" t="s">
        <v>473</v>
      </c>
      <c r="AX154" t="s">
        <v>852</v>
      </c>
      <c r="AY154" t="s">
        <v>441</v>
      </c>
      <c r="AZ154" t="s">
        <v>1306</v>
      </c>
    </row>
    <row r="155" spans="1:52">
      <c r="A155">
        <v>274</v>
      </c>
      <c r="B155" t="s">
        <v>1600</v>
      </c>
      <c r="C155">
        <v>274</v>
      </c>
      <c r="D155" t="s">
        <v>1601</v>
      </c>
      <c r="E155">
        <v>3324</v>
      </c>
      <c r="F155" t="s">
        <v>1496</v>
      </c>
      <c r="G155" t="s">
        <v>1013</v>
      </c>
      <c r="H155">
        <v>0.5</v>
      </c>
      <c r="S155">
        <v>3</v>
      </c>
      <c r="Y155">
        <v>0</v>
      </c>
      <c r="Z155">
        <v>1</v>
      </c>
      <c r="AA155">
        <v>1</v>
      </c>
      <c r="AD155">
        <v>1</v>
      </c>
      <c r="AE155">
        <v>1</v>
      </c>
      <c r="AP155">
        <v>4</v>
      </c>
      <c r="AU155">
        <v>0</v>
      </c>
      <c r="AW155" t="s">
        <v>473</v>
      </c>
      <c r="AX155" t="s">
        <v>1463</v>
      </c>
      <c r="AY155" t="s">
        <v>441</v>
      </c>
      <c r="AZ155" t="s">
        <v>1575</v>
      </c>
    </row>
    <row r="156" spans="1:52">
      <c r="A156">
        <v>274</v>
      </c>
      <c r="B156" t="s">
        <v>1600</v>
      </c>
      <c r="C156">
        <v>274</v>
      </c>
      <c r="D156" t="s">
        <v>1601</v>
      </c>
      <c r="E156">
        <v>3362</v>
      </c>
      <c r="F156" t="s">
        <v>1061</v>
      </c>
      <c r="G156" t="s">
        <v>1013</v>
      </c>
      <c r="N156">
        <v>1</v>
      </c>
      <c r="S156">
        <v>1</v>
      </c>
      <c r="Y156">
        <v>0</v>
      </c>
      <c r="AK156">
        <v>1</v>
      </c>
      <c r="AP156">
        <v>1</v>
      </c>
      <c r="AU156">
        <v>0</v>
      </c>
      <c r="AW156" t="s">
        <v>473</v>
      </c>
      <c r="AX156" t="s">
        <v>1233</v>
      </c>
      <c r="AY156" t="s">
        <v>441</v>
      </c>
      <c r="AZ156" t="s">
        <v>1306</v>
      </c>
    </row>
    <row r="157" spans="1:52">
      <c r="A157">
        <v>274</v>
      </c>
      <c r="B157" t="s">
        <v>1600</v>
      </c>
      <c r="C157">
        <v>274</v>
      </c>
      <c r="D157" t="s">
        <v>1601</v>
      </c>
      <c r="E157">
        <v>3370</v>
      </c>
      <c r="F157" t="s">
        <v>1049</v>
      </c>
      <c r="G157" t="s">
        <v>1013</v>
      </c>
      <c r="N157">
        <v>2</v>
      </c>
      <c r="O157">
        <v>1</v>
      </c>
      <c r="P157">
        <v>1</v>
      </c>
      <c r="S157">
        <v>4</v>
      </c>
      <c r="Y157">
        <v>0</v>
      </c>
      <c r="AK157">
        <v>2</v>
      </c>
      <c r="AL157">
        <v>1</v>
      </c>
      <c r="AM157">
        <v>1</v>
      </c>
      <c r="AP157">
        <v>4</v>
      </c>
      <c r="AU157">
        <v>0</v>
      </c>
      <c r="AW157" t="s">
        <v>473</v>
      </c>
      <c r="AX157" t="s">
        <v>1233</v>
      </c>
      <c r="AY157" t="s">
        <v>441</v>
      </c>
      <c r="AZ157" t="s">
        <v>1306</v>
      </c>
    </row>
    <row r="158" spans="1:52">
      <c r="A158">
        <v>274</v>
      </c>
      <c r="B158" t="s">
        <v>1600</v>
      </c>
      <c r="C158">
        <v>274</v>
      </c>
      <c r="D158" t="s">
        <v>1601</v>
      </c>
      <c r="E158">
        <v>3374</v>
      </c>
      <c r="F158" t="s">
        <v>1487</v>
      </c>
      <c r="G158" t="s">
        <v>1013</v>
      </c>
      <c r="P158">
        <v>3</v>
      </c>
      <c r="S158">
        <v>3</v>
      </c>
      <c r="Y158">
        <v>0</v>
      </c>
      <c r="AM158">
        <v>3</v>
      </c>
      <c r="AP158">
        <v>3</v>
      </c>
      <c r="AU158">
        <v>0</v>
      </c>
      <c r="AW158" t="s">
        <v>473</v>
      </c>
      <c r="AX158" t="s">
        <v>1405</v>
      </c>
      <c r="AY158" t="s">
        <v>441</v>
      </c>
      <c r="AZ158" t="s">
        <v>1306</v>
      </c>
    </row>
    <row r="159" spans="1:52">
      <c r="A159">
        <v>274</v>
      </c>
      <c r="B159" t="s">
        <v>1600</v>
      </c>
      <c r="C159">
        <v>274</v>
      </c>
      <c r="D159" t="s">
        <v>1601</v>
      </c>
      <c r="E159">
        <v>3379</v>
      </c>
      <c r="F159" t="s">
        <v>1051</v>
      </c>
      <c r="G159" t="s">
        <v>1013</v>
      </c>
      <c r="K159">
        <v>1</v>
      </c>
      <c r="S159">
        <v>1</v>
      </c>
      <c r="Y159">
        <v>0</v>
      </c>
      <c r="AH159">
        <v>1</v>
      </c>
      <c r="AP159">
        <v>1</v>
      </c>
      <c r="AU159">
        <v>0</v>
      </c>
      <c r="AW159" t="s">
        <v>473</v>
      </c>
      <c r="AX159" t="s">
        <v>1233</v>
      </c>
      <c r="AY159" t="s">
        <v>441</v>
      </c>
      <c r="AZ159" t="s">
        <v>1306</v>
      </c>
    </row>
    <row r="160" spans="1:52">
      <c r="A160">
        <v>274</v>
      </c>
      <c r="B160" t="s">
        <v>1600</v>
      </c>
      <c r="C160">
        <v>274</v>
      </c>
      <c r="D160" t="s">
        <v>1601</v>
      </c>
      <c r="E160">
        <v>3395</v>
      </c>
      <c r="F160" t="s">
        <v>1479</v>
      </c>
      <c r="G160" t="s">
        <v>1013</v>
      </c>
      <c r="N160">
        <v>1</v>
      </c>
      <c r="O160">
        <v>1</v>
      </c>
      <c r="P160">
        <v>1</v>
      </c>
      <c r="S160">
        <v>3</v>
      </c>
      <c r="Y160">
        <v>0</v>
      </c>
      <c r="AK160">
        <v>1</v>
      </c>
      <c r="AL160">
        <v>1</v>
      </c>
      <c r="AM160">
        <v>1</v>
      </c>
      <c r="AP160">
        <v>3</v>
      </c>
      <c r="AU160">
        <v>0</v>
      </c>
      <c r="AW160" t="s">
        <v>473</v>
      </c>
      <c r="AX160" t="s">
        <v>1233</v>
      </c>
      <c r="AY160" t="s">
        <v>441</v>
      </c>
      <c r="AZ160" t="s">
        <v>1306</v>
      </c>
    </row>
    <row r="161" spans="1:52">
      <c r="A161">
        <v>274</v>
      </c>
      <c r="B161" t="s">
        <v>1600</v>
      </c>
      <c r="C161">
        <v>274</v>
      </c>
      <c r="D161" t="s">
        <v>1601</v>
      </c>
      <c r="E161">
        <v>3415</v>
      </c>
      <c r="F161" t="s">
        <v>1609</v>
      </c>
      <c r="G161" t="s">
        <v>1013</v>
      </c>
      <c r="S161">
        <v>1</v>
      </c>
      <c r="Y161">
        <v>0</v>
      </c>
      <c r="AB161">
        <v>1</v>
      </c>
      <c r="AP161">
        <v>1</v>
      </c>
      <c r="AU161">
        <v>0</v>
      </c>
      <c r="AW161" t="s">
        <v>473</v>
      </c>
      <c r="AX161" t="s">
        <v>1233</v>
      </c>
      <c r="AY161" t="s">
        <v>441</v>
      </c>
      <c r="AZ161" t="s">
        <v>1306</v>
      </c>
    </row>
    <row r="162" spans="1:52">
      <c r="A162">
        <v>274</v>
      </c>
      <c r="B162" t="s">
        <v>1600</v>
      </c>
      <c r="C162">
        <v>274</v>
      </c>
      <c r="D162" t="s">
        <v>1601</v>
      </c>
      <c r="E162">
        <v>3479</v>
      </c>
      <c r="F162" t="s">
        <v>1610</v>
      </c>
      <c r="G162" t="s">
        <v>1013</v>
      </c>
      <c r="S162">
        <v>1</v>
      </c>
      <c r="Y162">
        <v>0</v>
      </c>
      <c r="AE162">
        <v>1</v>
      </c>
      <c r="AP162">
        <v>1</v>
      </c>
      <c r="AU162">
        <v>0</v>
      </c>
      <c r="AW162" t="s">
        <v>473</v>
      </c>
      <c r="AX162" t="s">
        <v>1233</v>
      </c>
      <c r="AY162" t="s">
        <v>441</v>
      </c>
      <c r="AZ162" t="s">
        <v>1306</v>
      </c>
    </row>
    <row r="163" spans="1:52">
      <c r="A163">
        <v>274</v>
      </c>
      <c r="B163" t="s">
        <v>1600</v>
      </c>
      <c r="C163">
        <v>274</v>
      </c>
      <c r="D163" t="s">
        <v>1601</v>
      </c>
      <c r="E163">
        <v>3503</v>
      </c>
      <c r="F163" t="s">
        <v>1611</v>
      </c>
      <c r="G163" t="s">
        <v>1013</v>
      </c>
      <c r="S163">
        <v>1</v>
      </c>
      <c r="Y163">
        <v>0</v>
      </c>
      <c r="AE163">
        <v>1</v>
      </c>
      <c r="AP163">
        <v>1</v>
      </c>
      <c r="AU163">
        <v>0</v>
      </c>
      <c r="AW163" t="s">
        <v>473</v>
      </c>
      <c r="AX163" t="s">
        <v>1233</v>
      </c>
      <c r="AY163" t="s">
        <v>441</v>
      </c>
      <c r="AZ163" t="s">
        <v>1306</v>
      </c>
    </row>
    <row r="164" spans="1:52">
      <c r="A164">
        <v>274</v>
      </c>
      <c r="B164" t="s">
        <v>1600</v>
      </c>
      <c r="C164">
        <v>274</v>
      </c>
      <c r="D164" t="s">
        <v>1601</v>
      </c>
      <c r="E164">
        <v>3505</v>
      </c>
      <c r="F164" t="s">
        <v>1612</v>
      </c>
      <c r="G164" t="s">
        <v>1013</v>
      </c>
      <c r="H164">
        <v>0.5</v>
      </c>
      <c r="S164">
        <v>2.5</v>
      </c>
      <c r="Y164">
        <v>0</v>
      </c>
      <c r="Z164">
        <v>1</v>
      </c>
      <c r="AC164">
        <v>1</v>
      </c>
      <c r="AD164">
        <v>1</v>
      </c>
      <c r="AP164">
        <v>3</v>
      </c>
      <c r="AU164">
        <v>0</v>
      </c>
      <c r="AW164" t="s">
        <v>473</v>
      </c>
      <c r="AX164" t="s">
        <v>1233</v>
      </c>
      <c r="AY164" t="s">
        <v>441</v>
      </c>
      <c r="AZ164" t="s">
        <v>1306</v>
      </c>
    </row>
    <row r="165" spans="1:52">
      <c r="A165">
        <v>274</v>
      </c>
      <c r="B165" t="s">
        <v>1600</v>
      </c>
      <c r="C165">
        <v>274</v>
      </c>
      <c r="D165" t="s">
        <v>1601</v>
      </c>
      <c r="E165">
        <v>3511</v>
      </c>
      <c r="F165" t="s">
        <v>1613</v>
      </c>
      <c r="G165" t="s">
        <v>1013</v>
      </c>
      <c r="S165">
        <v>0.5</v>
      </c>
      <c r="Y165">
        <v>0</v>
      </c>
      <c r="AA165">
        <v>1</v>
      </c>
      <c r="AP165">
        <v>1</v>
      </c>
      <c r="AU165">
        <v>0</v>
      </c>
      <c r="AW165" t="s">
        <v>473</v>
      </c>
      <c r="AX165" t="s">
        <v>1233</v>
      </c>
      <c r="AY165" t="s">
        <v>441</v>
      </c>
      <c r="AZ165" t="s">
        <v>1575</v>
      </c>
    </row>
    <row r="166" spans="1:52">
      <c r="A166">
        <v>274</v>
      </c>
      <c r="B166" t="s">
        <v>1600</v>
      </c>
      <c r="C166">
        <v>274</v>
      </c>
      <c r="D166" t="s">
        <v>1601</v>
      </c>
      <c r="E166">
        <v>3522</v>
      </c>
      <c r="F166" t="s">
        <v>1614</v>
      </c>
      <c r="G166" t="s">
        <v>1013</v>
      </c>
      <c r="S166">
        <v>1</v>
      </c>
      <c r="Y166">
        <v>0</v>
      </c>
      <c r="AC166">
        <v>1</v>
      </c>
      <c r="AP166">
        <v>1</v>
      </c>
      <c r="AU166">
        <v>0</v>
      </c>
      <c r="AW166" t="s">
        <v>473</v>
      </c>
      <c r="AX166" t="s">
        <v>1388</v>
      </c>
      <c r="AY166" t="s">
        <v>441</v>
      </c>
      <c r="AZ166" t="s">
        <v>1306</v>
      </c>
    </row>
    <row r="167" spans="1:52">
      <c r="A167">
        <v>274</v>
      </c>
      <c r="B167" t="s">
        <v>1600</v>
      </c>
      <c r="C167">
        <v>274</v>
      </c>
      <c r="D167" t="s">
        <v>1601</v>
      </c>
      <c r="E167">
        <v>3541</v>
      </c>
      <c r="F167" t="s">
        <v>1615</v>
      </c>
      <c r="G167" t="s">
        <v>1013</v>
      </c>
      <c r="K167">
        <v>1</v>
      </c>
      <c r="S167">
        <v>2</v>
      </c>
      <c r="Y167">
        <v>0</v>
      </c>
      <c r="AB167">
        <v>1</v>
      </c>
      <c r="AH167">
        <v>1</v>
      </c>
      <c r="AP167">
        <v>2</v>
      </c>
      <c r="AU167">
        <v>0</v>
      </c>
      <c r="AW167" t="s">
        <v>473</v>
      </c>
      <c r="AX167" t="s">
        <v>852</v>
      </c>
      <c r="AY167" t="s">
        <v>441</v>
      </c>
      <c r="AZ167" t="s">
        <v>1306</v>
      </c>
    </row>
    <row r="168" spans="1:52">
      <c r="A168">
        <v>274</v>
      </c>
      <c r="B168" t="s">
        <v>1600</v>
      </c>
      <c r="C168">
        <v>274</v>
      </c>
      <c r="D168" t="s">
        <v>1601</v>
      </c>
      <c r="E168">
        <v>38062</v>
      </c>
      <c r="F168" t="s">
        <v>1616</v>
      </c>
      <c r="G168" t="s">
        <v>1013</v>
      </c>
      <c r="S168">
        <v>2</v>
      </c>
      <c r="Y168">
        <v>0</v>
      </c>
      <c r="AB168">
        <v>1</v>
      </c>
      <c r="AE168">
        <v>1</v>
      </c>
      <c r="AP168">
        <v>2</v>
      </c>
      <c r="AU168">
        <v>0</v>
      </c>
      <c r="AW168" t="s">
        <v>473</v>
      </c>
      <c r="AX168" t="s">
        <v>1405</v>
      </c>
      <c r="AY168" t="s">
        <v>441</v>
      </c>
      <c r="AZ168" t="s">
        <v>1306</v>
      </c>
    </row>
    <row r="169" spans="1:52">
      <c r="A169">
        <v>274</v>
      </c>
      <c r="B169" t="s">
        <v>1600</v>
      </c>
      <c r="C169">
        <v>274</v>
      </c>
      <c r="D169" t="s">
        <v>1601</v>
      </c>
      <c r="E169">
        <v>38064</v>
      </c>
      <c r="F169" t="s">
        <v>1617</v>
      </c>
      <c r="G169" t="s">
        <v>1013</v>
      </c>
      <c r="S169">
        <v>1.5</v>
      </c>
      <c r="Y169">
        <v>0</v>
      </c>
      <c r="AA169">
        <v>1</v>
      </c>
      <c r="AC169">
        <v>1</v>
      </c>
      <c r="AP169">
        <v>2</v>
      </c>
      <c r="AU169">
        <v>0</v>
      </c>
      <c r="AW169" t="s">
        <v>473</v>
      </c>
      <c r="AX169" t="s">
        <v>868</v>
      </c>
      <c r="AY169" t="s">
        <v>441</v>
      </c>
      <c r="AZ169" t="s">
        <v>1575</v>
      </c>
    </row>
    <row r="170" spans="1:52">
      <c r="A170">
        <v>274</v>
      </c>
      <c r="B170" t="s">
        <v>1600</v>
      </c>
      <c r="C170">
        <v>274</v>
      </c>
      <c r="D170" t="s">
        <v>1601</v>
      </c>
      <c r="E170">
        <v>50155</v>
      </c>
      <c r="F170" t="s">
        <v>1618</v>
      </c>
      <c r="G170" t="s">
        <v>1013</v>
      </c>
      <c r="J170">
        <v>2</v>
      </c>
      <c r="S170">
        <v>2</v>
      </c>
      <c r="Y170">
        <v>0</v>
      </c>
      <c r="AG170">
        <v>2</v>
      </c>
      <c r="AP170">
        <v>2</v>
      </c>
      <c r="AU170">
        <v>0</v>
      </c>
      <c r="AW170" t="s">
        <v>473</v>
      </c>
      <c r="AX170" t="s">
        <v>1405</v>
      </c>
      <c r="AY170" t="s">
        <v>441</v>
      </c>
      <c r="AZ170" t="s">
        <v>1306</v>
      </c>
    </row>
    <row r="171" spans="1:52">
      <c r="A171">
        <v>274</v>
      </c>
      <c r="B171" t="s">
        <v>1600</v>
      </c>
      <c r="C171">
        <v>274</v>
      </c>
      <c r="D171" t="s">
        <v>1601</v>
      </c>
      <c r="E171">
        <v>50156</v>
      </c>
      <c r="F171" t="s">
        <v>1619</v>
      </c>
      <c r="G171" t="s">
        <v>1013</v>
      </c>
      <c r="S171">
        <v>1</v>
      </c>
      <c r="Y171">
        <v>0</v>
      </c>
      <c r="AD171">
        <v>1</v>
      </c>
      <c r="AP171">
        <v>1</v>
      </c>
      <c r="AU171">
        <v>0</v>
      </c>
      <c r="AW171" t="s">
        <v>473</v>
      </c>
      <c r="AX171" t="s">
        <v>1405</v>
      </c>
      <c r="AY171" t="s">
        <v>441</v>
      </c>
      <c r="AZ171" t="s">
        <v>1306</v>
      </c>
    </row>
    <row r="172" spans="1:52">
      <c r="A172">
        <v>274</v>
      </c>
      <c r="B172" t="s">
        <v>1600</v>
      </c>
      <c r="C172">
        <v>274</v>
      </c>
      <c r="D172" t="s">
        <v>1601</v>
      </c>
      <c r="E172">
        <v>50169</v>
      </c>
      <c r="F172" t="s">
        <v>1620</v>
      </c>
      <c r="G172" t="s">
        <v>1013</v>
      </c>
      <c r="S172">
        <v>1</v>
      </c>
      <c r="Y172">
        <v>0</v>
      </c>
      <c r="AC172">
        <v>1</v>
      </c>
      <c r="AP172">
        <v>1</v>
      </c>
      <c r="AU172">
        <v>0</v>
      </c>
      <c r="AW172" t="s">
        <v>473</v>
      </c>
      <c r="AX172" t="s">
        <v>852</v>
      </c>
      <c r="AY172" t="s">
        <v>441</v>
      </c>
      <c r="AZ172" t="s">
        <v>1306</v>
      </c>
    </row>
    <row r="173" spans="1:52">
      <c r="A173">
        <v>274</v>
      </c>
      <c r="B173" t="s">
        <v>1600</v>
      </c>
      <c r="C173">
        <v>274</v>
      </c>
      <c r="D173" t="s">
        <v>1601</v>
      </c>
      <c r="E173">
        <v>5711</v>
      </c>
      <c r="F173" t="s">
        <v>1621</v>
      </c>
      <c r="G173" t="s">
        <v>1013</v>
      </c>
      <c r="L173">
        <v>1</v>
      </c>
      <c r="S173">
        <v>2</v>
      </c>
      <c r="Y173">
        <v>0</v>
      </c>
      <c r="AE173">
        <v>1</v>
      </c>
      <c r="AI173">
        <v>1</v>
      </c>
      <c r="AP173">
        <v>2</v>
      </c>
      <c r="AU173">
        <v>0</v>
      </c>
      <c r="AW173" t="s">
        <v>473</v>
      </c>
      <c r="AX173" t="s">
        <v>862</v>
      </c>
      <c r="AY173" t="s">
        <v>441</v>
      </c>
      <c r="AZ173" t="s">
        <v>1306</v>
      </c>
    </row>
    <row r="174" spans="1:52">
      <c r="A174">
        <v>274</v>
      </c>
      <c r="B174" t="s">
        <v>1600</v>
      </c>
      <c r="C174">
        <v>274</v>
      </c>
      <c r="D174" t="s">
        <v>1601</v>
      </c>
      <c r="E174">
        <v>5725</v>
      </c>
      <c r="F174" t="s">
        <v>1038</v>
      </c>
      <c r="G174" t="s">
        <v>1013</v>
      </c>
      <c r="P174">
        <v>1</v>
      </c>
      <c r="Q174">
        <v>2</v>
      </c>
      <c r="S174">
        <v>3</v>
      </c>
      <c r="Y174">
        <v>0</v>
      </c>
      <c r="AM174">
        <v>1</v>
      </c>
      <c r="AN174">
        <v>2</v>
      </c>
      <c r="AP174">
        <v>3</v>
      </c>
      <c r="AU174">
        <v>0</v>
      </c>
      <c r="AW174" t="s">
        <v>473</v>
      </c>
      <c r="AX174" t="s">
        <v>862</v>
      </c>
      <c r="AY174" t="s">
        <v>441</v>
      </c>
      <c r="AZ174" t="s">
        <v>1306</v>
      </c>
    </row>
    <row r="175" spans="1:52">
      <c r="A175">
        <v>274</v>
      </c>
      <c r="B175" t="s">
        <v>1600</v>
      </c>
      <c r="C175">
        <v>274</v>
      </c>
      <c r="D175" t="s">
        <v>1601</v>
      </c>
      <c r="E175">
        <v>6781</v>
      </c>
      <c r="F175" t="s">
        <v>1622</v>
      </c>
      <c r="G175" t="s">
        <v>1013</v>
      </c>
      <c r="J175">
        <v>1</v>
      </c>
      <c r="S175">
        <v>4</v>
      </c>
      <c r="Y175">
        <v>0</v>
      </c>
      <c r="AC175">
        <v>1</v>
      </c>
      <c r="AD175">
        <v>1</v>
      </c>
      <c r="AE175">
        <v>1</v>
      </c>
      <c r="AG175">
        <v>1</v>
      </c>
      <c r="AP175">
        <v>4</v>
      </c>
      <c r="AU175">
        <v>0</v>
      </c>
      <c r="AW175" t="s">
        <v>473</v>
      </c>
      <c r="AX175" t="s">
        <v>1233</v>
      </c>
      <c r="AY175" t="s">
        <v>441</v>
      </c>
      <c r="AZ175" t="s">
        <v>1306</v>
      </c>
    </row>
    <row r="176" spans="1:52">
      <c r="A176">
        <v>274</v>
      </c>
      <c r="B176" t="s">
        <v>1600</v>
      </c>
      <c r="C176">
        <v>274</v>
      </c>
      <c r="D176" t="s">
        <v>1601</v>
      </c>
      <c r="E176">
        <v>7753</v>
      </c>
      <c r="F176" t="s">
        <v>1623</v>
      </c>
      <c r="G176" t="s">
        <v>1013</v>
      </c>
      <c r="J176">
        <v>1</v>
      </c>
      <c r="S176">
        <v>1</v>
      </c>
      <c r="Y176">
        <v>0</v>
      </c>
      <c r="AG176">
        <v>1</v>
      </c>
      <c r="AP176">
        <v>1</v>
      </c>
      <c r="AU176">
        <v>0</v>
      </c>
      <c r="AW176" t="s">
        <v>473</v>
      </c>
      <c r="AX176" t="s">
        <v>1405</v>
      </c>
      <c r="AY176" t="s">
        <v>441</v>
      </c>
      <c r="AZ176" t="s">
        <v>1306</v>
      </c>
    </row>
    <row r="177" spans="1:52">
      <c r="A177">
        <v>275</v>
      </c>
      <c r="B177" t="s">
        <v>390</v>
      </c>
      <c r="C177">
        <v>3548</v>
      </c>
      <c r="D177" t="s">
        <v>730</v>
      </c>
      <c r="E177">
        <v>1048</v>
      </c>
      <c r="F177" t="s">
        <v>1055</v>
      </c>
      <c r="G177" t="s">
        <v>1013</v>
      </c>
      <c r="Q177">
        <v>8</v>
      </c>
      <c r="S177">
        <v>8</v>
      </c>
      <c r="U177">
        <v>1</v>
      </c>
      <c r="V177">
        <v>5</v>
      </c>
      <c r="Y177">
        <v>6</v>
      </c>
      <c r="AN177">
        <v>8</v>
      </c>
      <c r="AP177">
        <v>8</v>
      </c>
      <c r="AR177">
        <v>1</v>
      </c>
      <c r="AS177">
        <v>5</v>
      </c>
      <c r="AU177">
        <v>6</v>
      </c>
      <c r="AW177" t="s">
        <v>473</v>
      </c>
      <c r="AX177" t="s">
        <v>862</v>
      </c>
      <c r="AY177" t="s">
        <v>1304</v>
      </c>
      <c r="AZ177" t="s">
        <v>1306</v>
      </c>
    </row>
    <row r="178" spans="1:52">
      <c r="A178">
        <v>275</v>
      </c>
      <c r="B178" t="s">
        <v>390</v>
      </c>
      <c r="C178">
        <v>3548</v>
      </c>
      <c r="D178" t="s">
        <v>730</v>
      </c>
      <c r="E178">
        <v>1761</v>
      </c>
      <c r="F178" t="s">
        <v>1492</v>
      </c>
      <c r="G178" t="s">
        <v>1013</v>
      </c>
      <c r="P178">
        <v>1</v>
      </c>
      <c r="S178">
        <v>1</v>
      </c>
      <c r="Y178">
        <v>0</v>
      </c>
      <c r="AM178">
        <v>1</v>
      </c>
      <c r="AP178">
        <v>1</v>
      </c>
      <c r="AU178">
        <v>0</v>
      </c>
      <c r="AW178" t="s">
        <v>473</v>
      </c>
      <c r="AX178" t="s">
        <v>1428</v>
      </c>
      <c r="AY178" t="s">
        <v>1304</v>
      </c>
      <c r="AZ178" t="s">
        <v>1306</v>
      </c>
    </row>
    <row r="179" spans="1:52">
      <c r="A179">
        <v>275</v>
      </c>
      <c r="B179" t="s">
        <v>390</v>
      </c>
      <c r="C179">
        <v>3548</v>
      </c>
      <c r="D179" t="s">
        <v>730</v>
      </c>
      <c r="E179">
        <v>3282</v>
      </c>
      <c r="F179" t="s">
        <v>1022</v>
      </c>
      <c r="G179" t="s">
        <v>1013</v>
      </c>
      <c r="O179">
        <v>1</v>
      </c>
      <c r="P179">
        <v>3</v>
      </c>
      <c r="Q179">
        <v>5</v>
      </c>
      <c r="S179">
        <v>9</v>
      </c>
      <c r="Y179">
        <v>0</v>
      </c>
      <c r="AL179">
        <v>1</v>
      </c>
      <c r="AM179">
        <v>3</v>
      </c>
      <c r="AN179">
        <v>5</v>
      </c>
      <c r="AP179">
        <v>9</v>
      </c>
      <c r="AU179">
        <v>0</v>
      </c>
      <c r="AW179" t="s">
        <v>473</v>
      </c>
      <c r="AX179" t="s">
        <v>1233</v>
      </c>
      <c r="AY179" t="s">
        <v>1304</v>
      </c>
      <c r="AZ179" t="s">
        <v>1306</v>
      </c>
    </row>
    <row r="180" spans="1:52">
      <c r="A180">
        <v>275</v>
      </c>
      <c r="B180" t="s">
        <v>390</v>
      </c>
      <c r="C180">
        <v>3548</v>
      </c>
      <c r="D180" t="s">
        <v>730</v>
      </c>
      <c r="E180">
        <v>3285</v>
      </c>
      <c r="F180" t="s">
        <v>1485</v>
      </c>
      <c r="G180" t="s">
        <v>1013</v>
      </c>
      <c r="O180">
        <v>1</v>
      </c>
      <c r="P180">
        <v>1</v>
      </c>
      <c r="S180">
        <v>2</v>
      </c>
      <c r="Y180">
        <v>0</v>
      </c>
      <c r="AL180">
        <v>1</v>
      </c>
      <c r="AM180">
        <v>1</v>
      </c>
      <c r="AP180">
        <v>2</v>
      </c>
      <c r="AU180">
        <v>0</v>
      </c>
      <c r="AW180" t="s">
        <v>473</v>
      </c>
      <c r="AX180" t="s">
        <v>851</v>
      </c>
      <c r="AY180" t="s">
        <v>1304</v>
      </c>
      <c r="AZ180" t="s">
        <v>1306</v>
      </c>
    </row>
    <row r="181" spans="1:52">
      <c r="A181">
        <v>275</v>
      </c>
      <c r="B181" t="s">
        <v>390</v>
      </c>
      <c r="C181">
        <v>3548</v>
      </c>
      <c r="D181" t="s">
        <v>730</v>
      </c>
      <c r="E181">
        <v>3303</v>
      </c>
      <c r="F181" t="s">
        <v>1493</v>
      </c>
      <c r="G181" t="s">
        <v>1013</v>
      </c>
      <c r="P181">
        <v>1</v>
      </c>
      <c r="S181">
        <v>1</v>
      </c>
      <c r="Y181">
        <v>0</v>
      </c>
      <c r="AM181">
        <v>1</v>
      </c>
      <c r="AP181">
        <v>1</v>
      </c>
      <c r="AU181">
        <v>0</v>
      </c>
      <c r="AW181" t="s">
        <v>473</v>
      </c>
      <c r="AX181" t="s">
        <v>1433</v>
      </c>
      <c r="AY181" t="s">
        <v>1304</v>
      </c>
      <c r="AZ181" t="s">
        <v>1306</v>
      </c>
    </row>
    <row r="182" spans="1:52">
      <c r="A182">
        <v>275</v>
      </c>
      <c r="B182" t="s">
        <v>390</v>
      </c>
      <c r="C182">
        <v>3548</v>
      </c>
      <c r="D182" t="s">
        <v>730</v>
      </c>
      <c r="E182">
        <v>3304</v>
      </c>
      <c r="F182" t="s">
        <v>1494</v>
      </c>
      <c r="G182" t="s">
        <v>1013</v>
      </c>
      <c r="Q182">
        <v>2</v>
      </c>
      <c r="S182">
        <v>2</v>
      </c>
      <c r="Y182">
        <v>0</v>
      </c>
      <c r="AN182">
        <v>2</v>
      </c>
      <c r="AP182">
        <v>2</v>
      </c>
      <c r="AU182">
        <v>0</v>
      </c>
      <c r="AW182" t="s">
        <v>473</v>
      </c>
      <c r="AX182" t="s">
        <v>852</v>
      </c>
      <c r="AY182" t="s">
        <v>1304</v>
      </c>
      <c r="AZ182" t="s">
        <v>1306</v>
      </c>
    </row>
    <row r="183" spans="1:52">
      <c r="A183">
        <v>275</v>
      </c>
      <c r="B183" t="s">
        <v>390</v>
      </c>
      <c r="C183">
        <v>3548</v>
      </c>
      <c r="D183" t="s">
        <v>730</v>
      </c>
      <c r="E183">
        <v>3305</v>
      </c>
      <c r="F183" t="s">
        <v>1024</v>
      </c>
      <c r="G183" t="s">
        <v>1013</v>
      </c>
      <c r="O183">
        <v>1</v>
      </c>
      <c r="P183">
        <v>1</v>
      </c>
      <c r="Q183">
        <v>1</v>
      </c>
      <c r="S183">
        <v>3</v>
      </c>
      <c r="Y183">
        <v>0</v>
      </c>
      <c r="AL183">
        <v>1</v>
      </c>
      <c r="AM183">
        <v>1</v>
      </c>
      <c r="AN183">
        <v>1</v>
      </c>
      <c r="AP183">
        <v>3</v>
      </c>
      <c r="AU183">
        <v>0</v>
      </c>
      <c r="AW183" t="s">
        <v>473</v>
      </c>
      <c r="AX183" t="s">
        <v>1233</v>
      </c>
      <c r="AY183" t="s">
        <v>1304</v>
      </c>
      <c r="AZ183" t="s">
        <v>1306</v>
      </c>
    </row>
    <row r="184" spans="1:52">
      <c r="A184">
        <v>275</v>
      </c>
      <c r="B184" t="s">
        <v>390</v>
      </c>
      <c r="C184">
        <v>3548</v>
      </c>
      <c r="D184" t="s">
        <v>730</v>
      </c>
      <c r="E184">
        <v>3310</v>
      </c>
      <c r="F184" t="s">
        <v>1045</v>
      </c>
      <c r="G184" t="s">
        <v>1013</v>
      </c>
      <c r="L184">
        <v>1</v>
      </c>
      <c r="N184">
        <v>2</v>
      </c>
      <c r="O184">
        <v>1</v>
      </c>
      <c r="P184">
        <v>3</v>
      </c>
      <c r="S184">
        <v>7</v>
      </c>
      <c r="Y184">
        <v>0</v>
      </c>
      <c r="AI184">
        <v>1</v>
      </c>
      <c r="AK184">
        <v>2</v>
      </c>
      <c r="AL184">
        <v>1</v>
      </c>
      <c r="AM184">
        <v>3</v>
      </c>
      <c r="AP184">
        <v>7</v>
      </c>
      <c r="AU184">
        <v>0</v>
      </c>
      <c r="AW184" t="s">
        <v>473</v>
      </c>
      <c r="AX184" t="s">
        <v>1233</v>
      </c>
      <c r="AY184" t="s">
        <v>1304</v>
      </c>
      <c r="AZ184" t="s">
        <v>1306</v>
      </c>
    </row>
    <row r="185" spans="1:52">
      <c r="A185">
        <v>275</v>
      </c>
      <c r="B185" t="s">
        <v>390</v>
      </c>
      <c r="C185">
        <v>3548</v>
      </c>
      <c r="D185" t="s">
        <v>730</v>
      </c>
      <c r="E185">
        <v>3313</v>
      </c>
      <c r="F185" t="s">
        <v>1495</v>
      </c>
      <c r="G185" t="s">
        <v>1013</v>
      </c>
      <c r="P185">
        <v>1</v>
      </c>
      <c r="S185">
        <v>1</v>
      </c>
      <c r="Y185">
        <v>0</v>
      </c>
      <c r="AM185">
        <v>1</v>
      </c>
      <c r="AP185">
        <v>1</v>
      </c>
      <c r="AU185">
        <v>0</v>
      </c>
      <c r="AW185" t="s">
        <v>473</v>
      </c>
      <c r="AX185" t="s">
        <v>868</v>
      </c>
      <c r="AY185" t="s">
        <v>1304</v>
      </c>
      <c r="AZ185" t="s">
        <v>1306</v>
      </c>
    </row>
    <row r="186" spans="1:52">
      <c r="A186">
        <v>275</v>
      </c>
      <c r="B186" t="s">
        <v>390</v>
      </c>
      <c r="C186">
        <v>3548</v>
      </c>
      <c r="D186" t="s">
        <v>730</v>
      </c>
      <c r="E186">
        <v>3324</v>
      </c>
      <c r="F186" t="s">
        <v>1496</v>
      </c>
      <c r="G186" t="s">
        <v>1013</v>
      </c>
      <c r="H186">
        <v>0.5</v>
      </c>
      <c r="J186">
        <v>1</v>
      </c>
      <c r="S186">
        <v>7.5</v>
      </c>
      <c r="Y186">
        <v>0</v>
      </c>
      <c r="Z186">
        <v>1</v>
      </c>
      <c r="AA186">
        <v>2</v>
      </c>
      <c r="AC186">
        <v>1</v>
      </c>
      <c r="AD186">
        <v>1</v>
      </c>
      <c r="AE186">
        <v>3</v>
      </c>
      <c r="AG186">
        <v>1</v>
      </c>
      <c r="AP186">
        <v>9</v>
      </c>
      <c r="AU186">
        <v>0</v>
      </c>
      <c r="AW186" t="s">
        <v>473</v>
      </c>
      <c r="AX186" t="s">
        <v>1463</v>
      </c>
      <c r="AY186" t="s">
        <v>1304</v>
      </c>
      <c r="AZ186" t="s">
        <v>1575</v>
      </c>
    </row>
    <row r="187" spans="1:52">
      <c r="A187">
        <v>275</v>
      </c>
      <c r="B187" t="s">
        <v>390</v>
      </c>
      <c r="C187">
        <v>3548</v>
      </c>
      <c r="D187" t="s">
        <v>730</v>
      </c>
      <c r="E187">
        <v>3330</v>
      </c>
      <c r="F187" t="s">
        <v>1012</v>
      </c>
      <c r="G187" t="s">
        <v>1013</v>
      </c>
      <c r="O187">
        <v>3</v>
      </c>
      <c r="P187">
        <v>1</v>
      </c>
      <c r="Q187">
        <v>1</v>
      </c>
      <c r="S187">
        <v>5</v>
      </c>
      <c r="Y187">
        <v>0</v>
      </c>
      <c r="AL187">
        <v>3</v>
      </c>
      <c r="AM187">
        <v>1</v>
      </c>
      <c r="AN187">
        <v>1</v>
      </c>
      <c r="AP187">
        <v>5</v>
      </c>
      <c r="AU187">
        <v>0</v>
      </c>
      <c r="AW187" t="s">
        <v>473</v>
      </c>
      <c r="AX187" t="s">
        <v>1405</v>
      </c>
      <c r="AY187" t="s">
        <v>1304</v>
      </c>
      <c r="AZ187" t="s">
        <v>1306</v>
      </c>
    </row>
    <row r="188" spans="1:52">
      <c r="A188">
        <v>275</v>
      </c>
      <c r="B188" t="s">
        <v>390</v>
      </c>
      <c r="C188">
        <v>3548</v>
      </c>
      <c r="D188" t="s">
        <v>730</v>
      </c>
      <c r="E188">
        <v>3342</v>
      </c>
      <c r="F188" t="s">
        <v>1057</v>
      </c>
      <c r="G188" t="s">
        <v>1013</v>
      </c>
      <c r="O188">
        <v>1</v>
      </c>
      <c r="Q188">
        <v>1</v>
      </c>
      <c r="S188">
        <v>2</v>
      </c>
      <c r="Y188">
        <v>0</v>
      </c>
      <c r="AL188">
        <v>1</v>
      </c>
      <c r="AN188">
        <v>1</v>
      </c>
      <c r="AP188">
        <v>2</v>
      </c>
      <c r="AU188">
        <v>0</v>
      </c>
      <c r="AW188" t="s">
        <v>473</v>
      </c>
      <c r="AX188" t="s">
        <v>1388</v>
      </c>
      <c r="AY188" t="s">
        <v>1304</v>
      </c>
      <c r="AZ188" t="s">
        <v>1306</v>
      </c>
    </row>
    <row r="189" spans="1:52">
      <c r="A189">
        <v>275</v>
      </c>
      <c r="B189" t="s">
        <v>390</v>
      </c>
      <c r="C189">
        <v>3548</v>
      </c>
      <c r="D189" t="s">
        <v>730</v>
      </c>
      <c r="E189">
        <v>3343</v>
      </c>
      <c r="F189" t="s">
        <v>1473</v>
      </c>
      <c r="G189" t="s">
        <v>1013</v>
      </c>
      <c r="O189">
        <v>1</v>
      </c>
      <c r="S189">
        <v>1</v>
      </c>
      <c r="Y189">
        <v>0</v>
      </c>
      <c r="AL189">
        <v>1</v>
      </c>
      <c r="AP189">
        <v>1</v>
      </c>
      <c r="AU189">
        <v>0</v>
      </c>
      <c r="AW189" t="s">
        <v>473</v>
      </c>
      <c r="AX189" t="s">
        <v>1388</v>
      </c>
      <c r="AY189" t="s">
        <v>1304</v>
      </c>
      <c r="AZ189" t="s">
        <v>1306</v>
      </c>
    </row>
    <row r="190" spans="1:52">
      <c r="A190">
        <v>275</v>
      </c>
      <c r="B190" t="s">
        <v>390</v>
      </c>
      <c r="C190">
        <v>3548</v>
      </c>
      <c r="D190" t="s">
        <v>730</v>
      </c>
      <c r="E190">
        <v>3350</v>
      </c>
      <c r="F190" t="s">
        <v>1059</v>
      </c>
      <c r="G190" t="s">
        <v>1013</v>
      </c>
      <c r="O190">
        <v>1</v>
      </c>
      <c r="Q190">
        <v>1</v>
      </c>
      <c r="S190">
        <v>2</v>
      </c>
      <c r="Y190">
        <v>0</v>
      </c>
      <c r="AL190">
        <v>1</v>
      </c>
      <c r="AN190">
        <v>1</v>
      </c>
      <c r="AP190">
        <v>2</v>
      </c>
      <c r="AU190">
        <v>0</v>
      </c>
      <c r="AW190" t="s">
        <v>473</v>
      </c>
      <c r="AX190" t="s">
        <v>845</v>
      </c>
      <c r="AY190" t="s">
        <v>1304</v>
      </c>
      <c r="AZ190" t="s">
        <v>1306</v>
      </c>
    </row>
    <row r="191" spans="1:52">
      <c r="A191">
        <v>275</v>
      </c>
      <c r="B191" t="s">
        <v>390</v>
      </c>
      <c r="C191">
        <v>3548</v>
      </c>
      <c r="D191" t="s">
        <v>730</v>
      </c>
      <c r="E191">
        <v>3362</v>
      </c>
      <c r="F191" t="s">
        <v>1061</v>
      </c>
      <c r="G191" t="s">
        <v>1013</v>
      </c>
      <c r="O191">
        <v>1</v>
      </c>
      <c r="P191">
        <v>1</v>
      </c>
      <c r="Q191">
        <v>1</v>
      </c>
      <c r="S191">
        <v>3</v>
      </c>
      <c r="Y191">
        <v>0</v>
      </c>
      <c r="AL191">
        <v>1</v>
      </c>
      <c r="AM191">
        <v>1</v>
      </c>
      <c r="AN191">
        <v>1</v>
      </c>
      <c r="AP191">
        <v>3</v>
      </c>
      <c r="AU191">
        <v>0</v>
      </c>
      <c r="AW191" t="s">
        <v>473</v>
      </c>
      <c r="AX191" t="s">
        <v>1233</v>
      </c>
      <c r="AY191" t="s">
        <v>1304</v>
      </c>
      <c r="AZ191" t="s">
        <v>1306</v>
      </c>
    </row>
    <row r="192" spans="1:52">
      <c r="A192">
        <v>275</v>
      </c>
      <c r="B192" t="s">
        <v>390</v>
      </c>
      <c r="C192">
        <v>3548</v>
      </c>
      <c r="D192" t="s">
        <v>730</v>
      </c>
      <c r="E192">
        <v>3372</v>
      </c>
      <c r="F192" t="s">
        <v>976</v>
      </c>
      <c r="G192" t="s">
        <v>1013</v>
      </c>
      <c r="O192">
        <v>1</v>
      </c>
      <c r="Q192">
        <v>2</v>
      </c>
      <c r="S192">
        <v>3</v>
      </c>
      <c r="Y192">
        <v>0</v>
      </c>
      <c r="AL192">
        <v>1</v>
      </c>
      <c r="AN192">
        <v>2</v>
      </c>
      <c r="AP192">
        <v>3</v>
      </c>
      <c r="AU192">
        <v>0</v>
      </c>
      <c r="AW192" t="s">
        <v>473</v>
      </c>
      <c r="AX192" t="s">
        <v>1405</v>
      </c>
      <c r="AY192" t="s">
        <v>1304</v>
      </c>
      <c r="AZ192" t="s">
        <v>1306</v>
      </c>
    </row>
    <row r="193" spans="1:52">
      <c r="A193">
        <v>275</v>
      </c>
      <c r="B193" t="s">
        <v>390</v>
      </c>
      <c r="C193">
        <v>3548</v>
      </c>
      <c r="D193" t="s">
        <v>730</v>
      </c>
      <c r="E193">
        <v>3379</v>
      </c>
      <c r="F193" t="s">
        <v>1051</v>
      </c>
      <c r="G193" t="s">
        <v>1013</v>
      </c>
      <c r="L193">
        <v>1</v>
      </c>
      <c r="Q193">
        <v>1</v>
      </c>
      <c r="S193">
        <v>2</v>
      </c>
      <c r="Y193">
        <v>0</v>
      </c>
      <c r="AI193">
        <v>1</v>
      </c>
      <c r="AN193">
        <v>1</v>
      </c>
      <c r="AP193">
        <v>2</v>
      </c>
      <c r="AU193">
        <v>0</v>
      </c>
      <c r="AW193" t="s">
        <v>473</v>
      </c>
      <c r="AX193" t="s">
        <v>1233</v>
      </c>
      <c r="AY193" t="s">
        <v>1304</v>
      </c>
      <c r="AZ193" t="s">
        <v>1306</v>
      </c>
    </row>
    <row r="194" spans="1:52">
      <c r="A194">
        <v>275</v>
      </c>
      <c r="B194" t="s">
        <v>390</v>
      </c>
      <c r="C194">
        <v>3548</v>
      </c>
      <c r="D194" t="s">
        <v>730</v>
      </c>
      <c r="E194">
        <v>3400</v>
      </c>
      <c r="F194" t="s">
        <v>1064</v>
      </c>
      <c r="G194" t="s">
        <v>1013</v>
      </c>
      <c r="N194">
        <v>1</v>
      </c>
      <c r="O194">
        <v>1</v>
      </c>
      <c r="Q194">
        <v>1</v>
      </c>
      <c r="S194">
        <v>3</v>
      </c>
      <c r="Y194">
        <v>0</v>
      </c>
      <c r="AK194">
        <v>1</v>
      </c>
      <c r="AL194">
        <v>1</v>
      </c>
      <c r="AN194">
        <v>1</v>
      </c>
      <c r="AP194">
        <v>3</v>
      </c>
      <c r="AU194">
        <v>0</v>
      </c>
      <c r="AW194" t="s">
        <v>473</v>
      </c>
      <c r="AX194" t="s">
        <v>1388</v>
      </c>
      <c r="AY194" t="s">
        <v>1304</v>
      </c>
      <c r="AZ194" t="s">
        <v>1306</v>
      </c>
    </row>
    <row r="195" spans="1:52">
      <c r="A195">
        <v>275</v>
      </c>
      <c r="B195" t="s">
        <v>390</v>
      </c>
      <c r="C195">
        <v>3548</v>
      </c>
      <c r="D195" t="s">
        <v>730</v>
      </c>
      <c r="E195">
        <v>3460</v>
      </c>
      <c r="F195" t="s">
        <v>1497</v>
      </c>
      <c r="G195" t="s">
        <v>1013</v>
      </c>
      <c r="O195">
        <v>4</v>
      </c>
      <c r="P195">
        <v>2</v>
      </c>
      <c r="Q195">
        <v>2</v>
      </c>
      <c r="S195">
        <v>8</v>
      </c>
      <c r="Y195">
        <v>0</v>
      </c>
      <c r="AL195">
        <v>4</v>
      </c>
      <c r="AM195">
        <v>2</v>
      </c>
      <c r="AN195">
        <v>2</v>
      </c>
      <c r="AP195">
        <v>8</v>
      </c>
      <c r="AU195">
        <v>0</v>
      </c>
      <c r="AW195" t="s">
        <v>473</v>
      </c>
      <c r="AX195" t="s">
        <v>862</v>
      </c>
      <c r="AY195" t="s">
        <v>1304</v>
      </c>
      <c r="AZ195" t="s">
        <v>1306</v>
      </c>
    </row>
    <row r="196" spans="1:52">
      <c r="A196">
        <v>275</v>
      </c>
      <c r="B196" t="s">
        <v>390</v>
      </c>
      <c r="C196">
        <v>3548</v>
      </c>
      <c r="D196" t="s">
        <v>730</v>
      </c>
      <c r="E196">
        <v>3524</v>
      </c>
      <c r="F196" t="s">
        <v>1498</v>
      </c>
      <c r="G196" t="s">
        <v>1013</v>
      </c>
      <c r="N196">
        <v>1</v>
      </c>
      <c r="O196">
        <v>1</v>
      </c>
      <c r="Q196">
        <v>1</v>
      </c>
      <c r="S196">
        <v>3</v>
      </c>
      <c r="Y196">
        <v>0</v>
      </c>
      <c r="AK196">
        <v>1</v>
      </c>
      <c r="AL196">
        <v>1</v>
      </c>
      <c r="AN196">
        <v>1</v>
      </c>
      <c r="AP196">
        <v>3</v>
      </c>
      <c r="AU196">
        <v>0</v>
      </c>
      <c r="AW196" t="s">
        <v>473</v>
      </c>
      <c r="AX196" t="s">
        <v>862</v>
      </c>
      <c r="AY196" t="s">
        <v>1304</v>
      </c>
      <c r="AZ196" t="s">
        <v>1306</v>
      </c>
    </row>
    <row r="197" spans="1:52">
      <c r="A197">
        <v>275</v>
      </c>
      <c r="B197" t="s">
        <v>390</v>
      </c>
      <c r="C197">
        <v>3548</v>
      </c>
      <c r="D197" t="s">
        <v>730</v>
      </c>
      <c r="E197">
        <v>6003</v>
      </c>
      <c r="F197" t="s">
        <v>1066</v>
      </c>
      <c r="G197" t="s">
        <v>1013</v>
      </c>
      <c r="Q197">
        <v>1</v>
      </c>
      <c r="S197">
        <v>1</v>
      </c>
      <c r="Y197">
        <v>0</v>
      </c>
      <c r="AN197">
        <v>1</v>
      </c>
      <c r="AP197">
        <v>1</v>
      </c>
      <c r="AU197">
        <v>0</v>
      </c>
      <c r="AW197" t="s">
        <v>473</v>
      </c>
      <c r="AX197" t="s">
        <v>1233</v>
      </c>
      <c r="AY197" t="s">
        <v>1304</v>
      </c>
      <c r="AZ197" t="s">
        <v>1306</v>
      </c>
    </row>
    <row r="198" spans="1:52">
      <c r="A198">
        <v>275</v>
      </c>
      <c r="B198" t="s">
        <v>390</v>
      </c>
      <c r="C198">
        <v>3548</v>
      </c>
      <c r="D198" t="s">
        <v>730</v>
      </c>
      <c r="E198">
        <v>6178</v>
      </c>
      <c r="F198" t="s">
        <v>1068</v>
      </c>
      <c r="G198" t="s">
        <v>1013</v>
      </c>
      <c r="Q198">
        <v>1</v>
      </c>
      <c r="S198">
        <v>1</v>
      </c>
      <c r="Y198">
        <v>0</v>
      </c>
      <c r="AN198">
        <v>1</v>
      </c>
      <c r="AP198">
        <v>1</v>
      </c>
      <c r="AU198">
        <v>0</v>
      </c>
      <c r="AW198" t="s">
        <v>473</v>
      </c>
      <c r="AX198" t="s">
        <v>868</v>
      </c>
      <c r="AY198" t="s">
        <v>1304</v>
      </c>
      <c r="AZ198" t="s">
        <v>1306</v>
      </c>
    </row>
    <row r="199" spans="1:52">
      <c r="A199">
        <v>275</v>
      </c>
      <c r="B199" t="s">
        <v>390</v>
      </c>
      <c r="C199">
        <v>3548</v>
      </c>
      <c r="D199" t="s">
        <v>730</v>
      </c>
      <c r="E199">
        <v>6407</v>
      </c>
      <c r="F199" t="s">
        <v>1070</v>
      </c>
      <c r="G199" t="s">
        <v>1013</v>
      </c>
      <c r="Q199">
        <v>1</v>
      </c>
      <c r="S199">
        <v>1</v>
      </c>
      <c r="Y199">
        <v>0</v>
      </c>
      <c r="AN199">
        <v>1</v>
      </c>
      <c r="AP199">
        <v>1</v>
      </c>
      <c r="AU199">
        <v>0</v>
      </c>
      <c r="AW199" t="s">
        <v>473</v>
      </c>
      <c r="AX199" t="s">
        <v>1233</v>
      </c>
      <c r="AY199" t="s">
        <v>1304</v>
      </c>
      <c r="AZ199" t="s">
        <v>1306</v>
      </c>
    </row>
    <row r="200" spans="1:52">
      <c r="A200">
        <v>275</v>
      </c>
      <c r="B200" t="s">
        <v>390</v>
      </c>
      <c r="C200">
        <v>3548</v>
      </c>
      <c r="D200" t="s">
        <v>730</v>
      </c>
      <c r="E200">
        <v>6415</v>
      </c>
      <c r="F200" t="s">
        <v>1072</v>
      </c>
      <c r="G200" t="s">
        <v>1013</v>
      </c>
      <c r="N200">
        <v>1</v>
      </c>
      <c r="Q200">
        <v>2</v>
      </c>
      <c r="S200">
        <v>3</v>
      </c>
      <c r="Y200">
        <v>0</v>
      </c>
      <c r="AK200">
        <v>1</v>
      </c>
      <c r="AN200">
        <v>2</v>
      </c>
      <c r="AP200">
        <v>3</v>
      </c>
      <c r="AU200">
        <v>0</v>
      </c>
      <c r="AW200" t="s">
        <v>473</v>
      </c>
      <c r="AX200" t="s">
        <v>868</v>
      </c>
      <c r="AY200" t="s">
        <v>1304</v>
      </c>
      <c r="AZ200" t="s">
        <v>1306</v>
      </c>
    </row>
    <row r="201" spans="1:52">
      <c r="A201">
        <v>275</v>
      </c>
      <c r="B201" t="s">
        <v>390</v>
      </c>
      <c r="C201">
        <v>3548</v>
      </c>
      <c r="D201" t="s">
        <v>730</v>
      </c>
      <c r="E201">
        <v>7868</v>
      </c>
      <c r="F201" t="s">
        <v>1499</v>
      </c>
      <c r="G201" t="s">
        <v>1013</v>
      </c>
      <c r="S201">
        <v>0</v>
      </c>
      <c r="V201">
        <v>1</v>
      </c>
      <c r="Y201">
        <v>1</v>
      </c>
      <c r="AP201">
        <v>0</v>
      </c>
      <c r="AS201">
        <v>1</v>
      </c>
      <c r="AU201">
        <v>1</v>
      </c>
      <c r="AW201" t="s">
        <v>473</v>
      </c>
      <c r="AX201" t="s">
        <v>1477</v>
      </c>
      <c r="AY201" t="s">
        <v>1304</v>
      </c>
      <c r="AZ201" t="s">
        <v>1306</v>
      </c>
    </row>
    <row r="202" spans="1:52">
      <c r="A202">
        <v>275</v>
      </c>
      <c r="B202" t="s">
        <v>390</v>
      </c>
      <c r="C202">
        <v>3548</v>
      </c>
      <c r="D202" t="s">
        <v>730</v>
      </c>
      <c r="E202">
        <v>8230</v>
      </c>
      <c r="F202" t="s">
        <v>1029</v>
      </c>
      <c r="G202" t="s">
        <v>1013</v>
      </c>
      <c r="S202">
        <v>0</v>
      </c>
      <c r="T202">
        <v>1</v>
      </c>
      <c r="Y202">
        <v>1</v>
      </c>
      <c r="AP202">
        <v>0</v>
      </c>
      <c r="AQ202">
        <v>1</v>
      </c>
      <c r="AU202">
        <v>1</v>
      </c>
      <c r="AW202" t="s">
        <v>473</v>
      </c>
      <c r="AX202" t="s">
        <v>1405</v>
      </c>
      <c r="AY202" t="s">
        <v>1304</v>
      </c>
      <c r="AZ202" t="s">
        <v>1306</v>
      </c>
    </row>
    <row r="203" spans="1:52">
      <c r="A203">
        <v>275</v>
      </c>
      <c r="B203" t="s">
        <v>390</v>
      </c>
      <c r="C203">
        <v>3548</v>
      </c>
      <c r="D203" t="s">
        <v>730</v>
      </c>
      <c r="E203">
        <v>8930</v>
      </c>
      <c r="F203" t="s">
        <v>1040</v>
      </c>
      <c r="G203" t="s">
        <v>1013</v>
      </c>
      <c r="Q203">
        <v>1</v>
      </c>
      <c r="S203">
        <v>1</v>
      </c>
      <c r="V203">
        <v>7</v>
      </c>
      <c r="Y203">
        <v>7</v>
      </c>
      <c r="AN203">
        <v>1</v>
      </c>
      <c r="AP203">
        <v>1</v>
      </c>
      <c r="AS203">
        <v>7</v>
      </c>
      <c r="AU203">
        <v>7</v>
      </c>
      <c r="AW203" t="s">
        <v>473</v>
      </c>
      <c r="AX203" t="s">
        <v>1233</v>
      </c>
      <c r="AY203" t="s">
        <v>1304</v>
      </c>
      <c r="AZ203" t="s">
        <v>1306</v>
      </c>
    </row>
    <row r="204" spans="1:52">
      <c r="A204">
        <v>277</v>
      </c>
      <c r="B204" t="s">
        <v>639</v>
      </c>
      <c r="C204">
        <v>277</v>
      </c>
      <c r="D204" t="s">
        <v>1624</v>
      </c>
      <c r="E204">
        <v>1526</v>
      </c>
      <c r="F204" t="s">
        <v>1581</v>
      </c>
      <c r="G204" t="s">
        <v>1013</v>
      </c>
      <c r="O204">
        <v>1</v>
      </c>
      <c r="S204">
        <v>1</v>
      </c>
      <c r="Y204">
        <v>0</v>
      </c>
      <c r="AL204">
        <v>1</v>
      </c>
      <c r="AP204">
        <v>1</v>
      </c>
      <c r="AU204">
        <v>0</v>
      </c>
      <c r="AW204" t="s">
        <v>474</v>
      </c>
      <c r="AX204" t="s">
        <v>1463</v>
      </c>
      <c r="AY204" t="s">
        <v>441</v>
      </c>
      <c r="AZ204" t="s">
        <v>1306</v>
      </c>
    </row>
    <row r="205" spans="1:52">
      <c r="A205">
        <v>277</v>
      </c>
      <c r="B205" t="s">
        <v>639</v>
      </c>
      <c r="C205">
        <v>277</v>
      </c>
      <c r="D205" t="s">
        <v>1624</v>
      </c>
      <c r="E205">
        <v>1758</v>
      </c>
      <c r="F205" t="s">
        <v>1020</v>
      </c>
      <c r="G205" t="s">
        <v>1013</v>
      </c>
      <c r="O205">
        <v>3</v>
      </c>
      <c r="S205">
        <v>3</v>
      </c>
      <c r="Y205">
        <v>0</v>
      </c>
      <c r="AL205">
        <v>3</v>
      </c>
      <c r="AP205">
        <v>3</v>
      </c>
      <c r="AU205">
        <v>0</v>
      </c>
      <c r="AW205" t="s">
        <v>474</v>
      </c>
      <c r="AX205" t="s">
        <v>1463</v>
      </c>
      <c r="AY205" t="s">
        <v>441</v>
      </c>
      <c r="AZ205" t="s">
        <v>1306</v>
      </c>
    </row>
    <row r="206" spans="1:52">
      <c r="A206">
        <v>277</v>
      </c>
      <c r="B206" t="s">
        <v>639</v>
      </c>
      <c r="C206">
        <v>277</v>
      </c>
      <c r="D206" t="s">
        <v>1624</v>
      </c>
      <c r="E206">
        <v>2115</v>
      </c>
      <c r="F206" t="s">
        <v>1625</v>
      </c>
      <c r="G206" t="s">
        <v>1013</v>
      </c>
      <c r="P206">
        <v>1</v>
      </c>
      <c r="S206">
        <v>1</v>
      </c>
      <c r="Y206">
        <v>0</v>
      </c>
      <c r="AM206">
        <v>1</v>
      </c>
      <c r="AP206">
        <v>1</v>
      </c>
      <c r="AU206">
        <v>0</v>
      </c>
      <c r="AW206" t="s">
        <v>474</v>
      </c>
      <c r="AX206" t="s">
        <v>857</v>
      </c>
      <c r="AY206" t="s">
        <v>441</v>
      </c>
      <c r="AZ206" t="s">
        <v>1306</v>
      </c>
    </row>
    <row r="207" spans="1:52">
      <c r="A207">
        <v>277</v>
      </c>
      <c r="B207" t="s">
        <v>639</v>
      </c>
      <c r="C207">
        <v>277</v>
      </c>
      <c r="D207" t="s">
        <v>1624</v>
      </c>
      <c r="E207">
        <v>3282</v>
      </c>
      <c r="F207" t="s">
        <v>1022</v>
      </c>
      <c r="G207" t="s">
        <v>1013</v>
      </c>
      <c r="P207">
        <v>1</v>
      </c>
      <c r="Q207">
        <v>1</v>
      </c>
      <c r="S207">
        <v>2</v>
      </c>
      <c r="Y207">
        <v>0</v>
      </c>
      <c r="AM207">
        <v>1</v>
      </c>
      <c r="AN207">
        <v>1</v>
      </c>
      <c r="AP207">
        <v>2</v>
      </c>
      <c r="AU207">
        <v>0</v>
      </c>
      <c r="AW207" t="s">
        <v>474</v>
      </c>
      <c r="AX207" t="s">
        <v>1233</v>
      </c>
      <c r="AY207" t="s">
        <v>441</v>
      </c>
      <c r="AZ207" t="s">
        <v>1306</v>
      </c>
    </row>
    <row r="208" spans="1:52">
      <c r="A208">
        <v>277</v>
      </c>
      <c r="B208" t="s">
        <v>639</v>
      </c>
      <c r="C208">
        <v>277</v>
      </c>
      <c r="D208" t="s">
        <v>1624</v>
      </c>
      <c r="E208">
        <v>3300</v>
      </c>
      <c r="F208" t="s">
        <v>1589</v>
      </c>
      <c r="G208" t="s">
        <v>1013</v>
      </c>
      <c r="P208">
        <v>1</v>
      </c>
      <c r="S208">
        <v>1</v>
      </c>
      <c r="Y208">
        <v>0</v>
      </c>
      <c r="AM208">
        <v>1</v>
      </c>
      <c r="AP208">
        <v>1</v>
      </c>
      <c r="AU208">
        <v>0</v>
      </c>
      <c r="AW208" t="s">
        <v>474</v>
      </c>
      <c r="AX208" t="s">
        <v>1233</v>
      </c>
      <c r="AY208" t="s">
        <v>441</v>
      </c>
      <c r="AZ208" t="s">
        <v>1306</v>
      </c>
    </row>
    <row r="209" spans="1:52">
      <c r="A209">
        <v>277</v>
      </c>
      <c r="B209" t="s">
        <v>639</v>
      </c>
      <c r="C209">
        <v>277</v>
      </c>
      <c r="D209" t="s">
        <v>1624</v>
      </c>
      <c r="E209">
        <v>3305</v>
      </c>
      <c r="F209" t="s">
        <v>1024</v>
      </c>
      <c r="G209" t="s">
        <v>1013</v>
      </c>
      <c r="O209">
        <v>1</v>
      </c>
      <c r="S209">
        <v>1</v>
      </c>
      <c r="Y209">
        <v>0</v>
      </c>
      <c r="AL209">
        <v>1</v>
      </c>
      <c r="AP209">
        <v>1</v>
      </c>
      <c r="AU209">
        <v>0</v>
      </c>
      <c r="AW209" t="s">
        <v>474</v>
      </c>
      <c r="AX209" t="s">
        <v>1233</v>
      </c>
      <c r="AY209" t="s">
        <v>441</v>
      </c>
      <c r="AZ209" t="s">
        <v>1306</v>
      </c>
    </row>
    <row r="210" spans="1:52">
      <c r="A210">
        <v>277</v>
      </c>
      <c r="B210" t="s">
        <v>639</v>
      </c>
      <c r="C210">
        <v>277</v>
      </c>
      <c r="D210" t="s">
        <v>1624</v>
      </c>
      <c r="E210">
        <v>3319</v>
      </c>
      <c r="F210" t="s">
        <v>1626</v>
      </c>
      <c r="G210" t="s">
        <v>1013</v>
      </c>
      <c r="P210">
        <v>1</v>
      </c>
      <c r="S210">
        <v>1</v>
      </c>
      <c r="Y210">
        <v>0</v>
      </c>
      <c r="AM210">
        <v>1</v>
      </c>
      <c r="AP210">
        <v>1</v>
      </c>
      <c r="AU210">
        <v>0</v>
      </c>
      <c r="AW210" t="s">
        <v>474</v>
      </c>
      <c r="AX210" t="s">
        <v>846</v>
      </c>
      <c r="AY210" t="s">
        <v>441</v>
      </c>
      <c r="AZ210" t="s">
        <v>1306</v>
      </c>
    </row>
    <row r="211" spans="1:52">
      <c r="A211">
        <v>277</v>
      </c>
      <c r="B211" t="s">
        <v>639</v>
      </c>
      <c r="C211">
        <v>277</v>
      </c>
      <c r="D211" t="s">
        <v>1624</v>
      </c>
      <c r="E211">
        <v>3321</v>
      </c>
      <c r="F211" t="s">
        <v>1047</v>
      </c>
      <c r="G211" t="s">
        <v>1013</v>
      </c>
      <c r="P211">
        <v>1</v>
      </c>
      <c r="Q211">
        <v>3</v>
      </c>
      <c r="S211">
        <v>4</v>
      </c>
      <c r="Y211">
        <v>0</v>
      </c>
      <c r="AM211">
        <v>1</v>
      </c>
      <c r="AN211">
        <v>3</v>
      </c>
      <c r="AP211">
        <v>4</v>
      </c>
      <c r="AU211">
        <v>0</v>
      </c>
      <c r="AW211" t="s">
        <v>474</v>
      </c>
      <c r="AX211" t="s">
        <v>1233</v>
      </c>
      <c r="AY211" t="s">
        <v>441</v>
      </c>
      <c r="AZ211" t="s">
        <v>1306</v>
      </c>
    </row>
    <row r="212" spans="1:52">
      <c r="A212">
        <v>277</v>
      </c>
      <c r="B212" t="s">
        <v>639</v>
      </c>
      <c r="C212">
        <v>277</v>
      </c>
      <c r="D212" t="s">
        <v>1624</v>
      </c>
      <c r="E212">
        <v>3330</v>
      </c>
      <c r="F212" t="s">
        <v>1012</v>
      </c>
      <c r="G212" t="s">
        <v>1013</v>
      </c>
      <c r="Q212">
        <v>1</v>
      </c>
      <c r="S212">
        <v>1</v>
      </c>
      <c r="Y212">
        <v>0</v>
      </c>
      <c r="AN212">
        <v>1</v>
      </c>
      <c r="AP212">
        <v>1</v>
      </c>
      <c r="AU212">
        <v>0</v>
      </c>
      <c r="AW212" t="s">
        <v>474</v>
      </c>
      <c r="AX212" t="s">
        <v>1405</v>
      </c>
      <c r="AY212" t="s">
        <v>441</v>
      </c>
      <c r="AZ212" t="s">
        <v>1306</v>
      </c>
    </row>
    <row r="213" spans="1:52">
      <c r="A213">
        <v>277</v>
      </c>
      <c r="B213" t="s">
        <v>639</v>
      </c>
      <c r="C213">
        <v>277</v>
      </c>
      <c r="D213" t="s">
        <v>1624</v>
      </c>
      <c r="E213">
        <v>3343</v>
      </c>
      <c r="F213" t="s">
        <v>1473</v>
      </c>
      <c r="G213" t="s">
        <v>1013</v>
      </c>
      <c r="P213">
        <v>1</v>
      </c>
      <c r="S213">
        <v>1</v>
      </c>
      <c r="Y213">
        <v>0</v>
      </c>
      <c r="AM213">
        <v>1</v>
      </c>
      <c r="AP213">
        <v>1</v>
      </c>
      <c r="AU213">
        <v>0</v>
      </c>
      <c r="AW213" t="s">
        <v>474</v>
      </c>
      <c r="AX213" t="s">
        <v>1388</v>
      </c>
      <c r="AY213" t="s">
        <v>441</v>
      </c>
      <c r="AZ213" t="s">
        <v>1306</v>
      </c>
    </row>
    <row r="214" spans="1:52">
      <c r="A214">
        <v>277</v>
      </c>
      <c r="B214" t="s">
        <v>639</v>
      </c>
      <c r="C214">
        <v>277</v>
      </c>
      <c r="D214" t="s">
        <v>1624</v>
      </c>
      <c r="E214">
        <v>3362</v>
      </c>
      <c r="F214" t="s">
        <v>1061</v>
      </c>
      <c r="G214" t="s">
        <v>1013</v>
      </c>
      <c r="O214">
        <v>1</v>
      </c>
      <c r="P214">
        <v>2</v>
      </c>
      <c r="Q214">
        <v>1</v>
      </c>
      <c r="S214">
        <v>4</v>
      </c>
      <c r="Y214">
        <v>0</v>
      </c>
      <c r="AL214">
        <v>1</v>
      </c>
      <c r="AM214">
        <v>2</v>
      </c>
      <c r="AN214">
        <v>1</v>
      </c>
      <c r="AP214">
        <v>4</v>
      </c>
      <c r="AU214">
        <v>0</v>
      </c>
      <c r="AW214" t="s">
        <v>474</v>
      </c>
      <c r="AX214" t="s">
        <v>1233</v>
      </c>
      <c r="AY214" t="s">
        <v>441</v>
      </c>
      <c r="AZ214" t="s">
        <v>1306</v>
      </c>
    </row>
    <row r="215" spans="1:52">
      <c r="A215">
        <v>277</v>
      </c>
      <c r="B215" t="s">
        <v>639</v>
      </c>
      <c r="C215">
        <v>277</v>
      </c>
      <c r="D215" t="s">
        <v>1624</v>
      </c>
      <c r="E215">
        <v>3370</v>
      </c>
      <c r="F215" t="s">
        <v>1049</v>
      </c>
      <c r="G215" t="s">
        <v>1013</v>
      </c>
      <c r="O215">
        <v>1</v>
      </c>
      <c r="S215">
        <v>1</v>
      </c>
      <c r="Y215">
        <v>0</v>
      </c>
      <c r="AL215">
        <v>1</v>
      </c>
      <c r="AP215">
        <v>1</v>
      </c>
      <c r="AU215">
        <v>0</v>
      </c>
      <c r="AW215" t="s">
        <v>474</v>
      </c>
      <c r="AX215" t="s">
        <v>1233</v>
      </c>
      <c r="AY215" t="s">
        <v>441</v>
      </c>
      <c r="AZ215" t="s">
        <v>1306</v>
      </c>
    </row>
    <row r="216" spans="1:52">
      <c r="A216">
        <v>277</v>
      </c>
      <c r="B216" t="s">
        <v>639</v>
      </c>
      <c r="C216">
        <v>277</v>
      </c>
      <c r="D216" t="s">
        <v>1624</v>
      </c>
      <c r="E216">
        <v>3372</v>
      </c>
      <c r="F216" t="s">
        <v>976</v>
      </c>
      <c r="G216" t="s">
        <v>1013</v>
      </c>
      <c r="O216">
        <v>1</v>
      </c>
      <c r="S216">
        <v>1</v>
      </c>
      <c r="Y216">
        <v>0</v>
      </c>
      <c r="AL216">
        <v>1</v>
      </c>
      <c r="AP216">
        <v>1</v>
      </c>
      <c r="AU216">
        <v>0</v>
      </c>
      <c r="AW216" t="s">
        <v>474</v>
      </c>
      <c r="AX216" t="s">
        <v>1405</v>
      </c>
      <c r="AY216" t="s">
        <v>441</v>
      </c>
      <c r="AZ216" t="s">
        <v>1306</v>
      </c>
    </row>
    <row r="217" spans="1:52">
      <c r="A217">
        <v>277</v>
      </c>
      <c r="B217" t="s">
        <v>639</v>
      </c>
      <c r="C217">
        <v>277</v>
      </c>
      <c r="D217" t="s">
        <v>1624</v>
      </c>
      <c r="E217">
        <v>3393</v>
      </c>
      <c r="F217" t="s">
        <v>1627</v>
      </c>
      <c r="G217" t="s">
        <v>1013</v>
      </c>
      <c r="O217">
        <v>1</v>
      </c>
      <c r="S217">
        <v>1</v>
      </c>
      <c r="Y217">
        <v>0</v>
      </c>
      <c r="AL217">
        <v>1</v>
      </c>
      <c r="AP217">
        <v>1</v>
      </c>
      <c r="AU217">
        <v>0</v>
      </c>
      <c r="AW217" t="s">
        <v>474</v>
      </c>
      <c r="AX217" t="s">
        <v>852</v>
      </c>
      <c r="AY217" t="s">
        <v>441</v>
      </c>
      <c r="AZ217" t="s">
        <v>1306</v>
      </c>
    </row>
    <row r="218" spans="1:52">
      <c r="A218">
        <v>277</v>
      </c>
      <c r="B218" t="s">
        <v>639</v>
      </c>
      <c r="C218">
        <v>277</v>
      </c>
      <c r="D218" t="s">
        <v>1624</v>
      </c>
      <c r="E218">
        <v>3395</v>
      </c>
      <c r="F218" t="s">
        <v>1479</v>
      </c>
      <c r="G218" t="s">
        <v>1013</v>
      </c>
      <c r="O218">
        <v>1</v>
      </c>
      <c r="P218">
        <v>1</v>
      </c>
      <c r="Q218">
        <v>1</v>
      </c>
      <c r="S218">
        <v>3</v>
      </c>
      <c r="Y218">
        <v>0</v>
      </c>
      <c r="AL218">
        <v>1</v>
      </c>
      <c r="AM218">
        <v>1</v>
      </c>
      <c r="AN218">
        <v>1</v>
      </c>
      <c r="AP218">
        <v>3</v>
      </c>
      <c r="AU218">
        <v>0</v>
      </c>
      <c r="AW218" t="s">
        <v>474</v>
      </c>
      <c r="AX218" t="s">
        <v>1233</v>
      </c>
      <c r="AY218" t="s">
        <v>441</v>
      </c>
      <c r="AZ218" t="s">
        <v>1306</v>
      </c>
    </row>
    <row r="219" spans="1:52">
      <c r="A219">
        <v>277</v>
      </c>
      <c r="B219" t="s">
        <v>639</v>
      </c>
      <c r="C219">
        <v>277</v>
      </c>
      <c r="D219" t="s">
        <v>1624</v>
      </c>
      <c r="E219">
        <v>3449</v>
      </c>
      <c r="F219" t="s">
        <v>1015</v>
      </c>
      <c r="G219" t="s">
        <v>1013</v>
      </c>
      <c r="O219">
        <v>1</v>
      </c>
      <c r="Q219">
        <v>2</v>
      </c>
      <c r="S219">
        <v>3</v>
      </c>
      <c r="Y219">
        <v>0</v>
      </c>
      <c r="AL219">
        <v>1</v>
      </c>
      <c r="AN219">
        <v>2</v>
      </c>
      <c r="AP219">
        <v>3</v>
      </c>
      <c r="AU219">
        <v>0</v>
      </c>
      <c r="AW219" t="s">
        <v>474</v>
      </c>
      <c r="AX219" t="s">
        <v>1384</v>
      </c>
      <c r="AY219" t="s">
        <v>441</v>
      </c>
      <c r="AZ219" t="s">
        <v>1306</v>
      </c>
    </row>
    <row r="220" spans="1:52">
      <c r="A220">
        <v>277</v>
      </c>
      <c r="B220" t="s">
        <v>639</v>
      </c>
      <c r="C220">
        <v>277</v>
      </c>
      <c r="D220" t="s">
        <v>1624</v>
      </c>
      <c r="E220">
        <v>3491</v>
      </c>
      <c r="F220" t="s">
        <v>1474</v>
      </c>
      <c r="G220" t="s">
        <v>1013</v>
      </c>
      <c r="O220">
        <v>3</v>
      </c>
      <c r="S220">
        <v>3</v>
      </c>
      <c r="Y220">
        <v>0</v>
      </c>
      <c r="AL220">
        <v>3</v>
      </c>
      <c r="AP220">
        <v>3</v>
      </c>
      <c r="AU220">
        <v>0</v>
      </c>
      <c r="AW220" t="s">
        <v>474</v>
      </c>
      <c r="AX220" t="s">
        <v>846</v>
      </c>
      <c r="AY220" t="s">
        <v>441</v>
      </c>
      <c r="AZ220" t="s">
        <v>1306</v>
      </c>
    </row>
    <row r="221" spans="1:52">
      <c r="A221">
        <v>277</v>
      </c>
      <c r="B221" t="s">
        <v>639</v>
      </c>
      <c r="C221">
        <v>277</v>
      </c>
      <c r="D221" t="s">
        <v>1624</v>
      </c>
      <c r="E221">
        <v>3524</v>
      </c>
      <c r="F221" t="s">
        <v>1498</v>
      </c>
      <c r="G221" t="s">
        <v>1013</v>
      </c>
      <c r="O221">
        <v>1</v>
      </c>
      <c r="P221">
        <v>1</v>
      </c>
      <c r="S221">
        <v>2</v>
      </c>
      <c r="Y221">
        <v>0</v>
      </c>
      <c r="AL221">
        <v>1</v>
      </c>
      <c r="AM221">
        <v>1</v>
      </c>
      <c r="AP221">
        <v>2</v>
      </c>
      <c r="AU221">
        <v>0</v>
      </c>
      <c r="AW221" t="s">
        <v>474</v>
      </c>
      <c r="AX221" t="s">
        <v>862</v>
      </c>
      <c r="AY221" t="s">
        <v>441</v>
      </c>
      <c r="AZ221" t="s">
        <v>1306</v>
      </c>
    </row>
    <row r="222" spans="1:52">
      <c r="A222">
        <v>277</v>
      </c>
      <c r="B222" t="s">
        <v>639</v>
      </c>
      <c r="C222">
        <v>277</v>
      </c>
      <c r="D222" t="s">
        <v>1624</v>
      </c>
      <c r="E222">
        <v>5725</v>
      </c>
      <c r="F222" t="s">
        <v>1038</v>
      </c>
      <c r="G222" t="s">
        <v>1013</v>
      </c>
      <c r="O222">
        <v>6</v>
      </c>
      <c r="P222">
        <v>2</v>
      </c>
      <c r="Q222">
        <v>12</v>
      </c>
      <c r="S222">
        <v>20</v>
      </c>
      <c r="Y222">
        <v>0</v>
      </c>
      <c r="AL222">
        <v>6</v>
      </c>
      <c r="AM222">
        <v>2</v>
      </c>
      <c r="AN222">
        <v>12</v>
      </c>
      <c r="AP222">
        <v>20</v>
      </c>
      <c r="AU222">
        <v>0</v>
      </c>
      <c r="AW222" t="s">
        <v>474</v>
      </c>
      <c r="AX222" t="s">
        <v>862</v>
      </c>
      <c r="AY222" t="s">
        <v>441</v>
      </c>
      <c r="AZ222" t="s">
        <v>1306</v>
      </c>
    </row>
    <row r="223" spans="1:52">
      <c r="A223">
        <v>277</v>
      </c>
      <c r="B223" t="s">
        <v>639</v>
      </c>
      <c r="C223">
        <v>277</v>
      </c>
      <c r="D223" t="s">
        <v>1624</v>
      </c>
      <c r="E223">
        <v>8193</v>
      </c>
      <c r="F223" t="s">
        <v>1472</v>
      </c>
      <c r="G223" t="s">
        <v>1027</v>
      </c>
      <c r="O223">
        <v>1</v>
      </c>
      <c r="S223">
        <v>1</v>
      </c>
      <c r="Y223">
        <v>0</v>
      </c>
      <c r="AL223">
        <v>1</v>
      </c>
      <c r="AP223">
        <v>1</v>
      </c>
      <c r="AU223">
        <v>0</v>
      </c>
      <c r="AW223" t="s">
        <v>474</v>
      </c>
      <c r="AX223" t="s">
        <v>1397</v>
      </c>
      <c r="AY223" t="s">
        <v>441</v>
      </c>
      <c r="AZ223" t="s">
        <v>1306</v>
      </c>
    </row>
    <row r="224" spans="1:52">
      <c r="A224">
        <v>277</v>
      </c>
      <c r="B224" t="s">
        <v>639</v>
      </c>
      <c r="C224">
        <v>277</v>
      </c>
      <c r="D224" t="s">
        <v>1624</v>
      </c>
      <c r="E224">
        <v>8293</v>
      </c>
      <c r="F224" t="s">
        <v>1628</v>
      </c>
      <c r="G224" t="s">
        <v>1013</v>
      </c>
      <c r="P224">
        <v>1</v>
      </c>
      <c r="S224">
        <v>1</v>
      </c>
      <c r="Y224">
        <v>0</v>
      </c>
      <c r="AM224">
        <v>1</v>
      </c>
      <c r="AP224">
        <v>1</v>
      </c>
      <c r="AU224">
        <v>0</v>
      </c>
      <c r="AW224" t="s">
        <v>474</v>
      </c>
      <c r="AX224" t="s">
        <v>864</v>
      </c>
      <c r="AY224" t="s">
        <v>441</v>
      </c>
      <c r="AZ224" t="s">
        <v>1306</v>
      </c>
    </row>
    <row r="225" spans="1:52">
      <c r="A225">
        <v>277</v>
      </c>
      <c r="B225" t="s">
        <v>639</v>
      </c>
      <c r="C225">
        <v>9011</v>
      </c>
      <c r="D225" t="s">
        <v>1576</v>
      </c>
      <c r="E225">
        <v>7502</v>
      </c>
      <c r="F225" t="s">
        <v>1026</v>
      </c>
      <c r="G225" t="s">
        <v>1027</v>
      </c>
      <c r="O225">
        <v>6</v>
      </c>
      <c r="P225">
        <v>3</v>
      </c>
      <c r="Q225">
        <v>1</v>
      </c>
      <c r="S225">
        <v>10</v>
      </c>
      <c r="Y225">
        <v>0</v>
      </c>
      <c r="AL225">
        <v>6</v>
      </c>
      <c r="AM225">
        <v>3</v>
      </c>
      <c r="AN225">
        <v>1</v>
      </c>
      <c r="AP225">
        <v>10</v>
      </c>
      <c r="AU225">
        <v>0</v>
      </c>
      <c r="AW225" t="s">
        <v>474</v>
      </c>
      <c r="AX225" t="s">
        <v>1397</v>
      </c>
      <c r="AY225" t="s">
        <v>441</v>
      </c>
      <c r="AZ225" t="s">
        <v>1306</v>
      </c>
    </row>
    <row r="226" spans="1:52">
      <c r="A226">
        <v>278</v>
      </c>
      <c r="B226" t="s">
        <v>1629</v>
      </c>
      <c r="C226">
        <v>278</v>
      </c>
      <c r="D226" t="s">
        <v>1630</v>
      </c>
      <c r="E226">
        <v>1517</v>
      </c>
      <c r="F226" t="s">
        <v>1631</v>
      </c>
      <c r="G226" t="s">
        <v>1013</v>
      </c>
      <c r="H226">
        <v>26.5</v>
      </c>
      <c r="I226">
        <v>43</v>
      </c>
      <c r="J226">
        <v>34</v>
      </c>
      <c r="S226">
        <v>300.5</v>
      </c>
      <c r="Y226">
        <v>0</v>
      </c>
      <c r="Z226">
        <v>53</v>
      </c>
      <c r="AA226">
        <v>32</v>
      </c>
      <c r="AB226">
        <v>51</v>
      </c>
      <c r="AC226">
        <v>43</v>
      </c>
      <c r="AD226">
        <v>51</v>
      </c>
      <c r="AE226">
        <v>36</v>
      </c>
      <c r="AF226">
        <v>43</v>
      </c>
      <c r="AG226">
        <v>34</v>
      </c>
      <c r="AP226">
        <v>343</v>
      </c>
      <c r="AU226">
        <v>0</v>
      </c>
      <c r="AW226" t="s">
        <v>474</v>
      </c>
      <c r="AX226" t="s">
        <v>1463</v>
      </c>
      <c r="AY226" t="s">
        <v>441</v>
      </c>
      <c r="AZ226" t="s">
        <v>1575</v>
      </c>
    </row>
    <row r="227" spans="1:52">
      <c r="A227">
        <v>278</v>
      </c>
      <c r="B227" t="s">
        <v>1629</v>
      </c>
      <c r="C227">
        <v>278</v>
      </c>
      <c r="D227" t="s">
        <v>1630</v>
      </c>
      <c r="E227">
        <v>3536</v>
      </c>
      <c r="F227" t="s">
        <v>1592</v>
      </c>
      <c r="G227" t="s">
        <v>1013</v>
      </c>
      <c r="H227">
        <v>47</v>
      </c>
      <c r="I227">
        <v>75</v>
      </c>
      <c r="J227">
        <v>78</v>
      </c>
      <c r="K227">
        <v>129</v>
      </c>
      <c r="L227">
        <v>128</v>
      </c>
      <c r="N227">
        <v>89</v>
      </c>
      <c r="O227">
        <v>83</v>
      </c>
      <c r="P227">
        <v>150</v>
      </c>
      <c r="Q227">
        <v>81</v>
      </c>
      <c r="S227">
        <v>1229.5</v>
      </c>
      <c r="U227">
        <v>70</v>
      </c>
      <c r="V227">
        <v>1</v>
      </c>
      <c r="Y227">
        <v>71</v>
      </c>
      <c r="Z227">
        <v>94</v>
      </c>
      <c r="AA227">
        <v>79</v>
      </c>
      <c r="AB227">
        <v>76</v>
      </c>
      <c r="AC227">
        <v>84</v>
      </c>
      <c r="AD227">
        <v>82</v>
      </c>
      <c r="AE227">
        <v>88</v>
      </c>
      <c r="AF227">
        <v>75</v>
      </c>
      <c r="AG227">
        <v>78</v>
      </c>
      <c r="AH227">
        <v>129</v>
      </c>
      <c r="AI227">
        <v>128</v>
      </c>
      <c r="AK227">
        <v>89</v>
      </c>
      <c r="AL227">
        <v>83</v>
      </c>
      <c r="AM227">
        <v>150</v>
      </c>
      <c r="AN227">
        <v>81</v>
      </c>
      <c r="AP227">
        <v>1316</v>
      </c>
      <c r="AR227">
        <v>71</v>
      </c>
      <c r="AS227">
        <v>1</v>
      </c>
      <c r="AU227">
        <v>72</v>
      </c>
      <c r="AW227" t="s">
        <v>474</v>
      </c>
      <c r="AX227" t="s">
        <v>1463</v>
      </c>
      <c r="AY227" t="s">
        <v>441</v>
      </c>
      <c r="AZ227" t="s">
        <v>1575</v>
      </c>
    </row>
    <row r="228" spans="1:52">
      <c r="A228">
        <v>278</v>
      </c>
      <c r="B228" t="s">
        <v>1629</v>
      </c>
      <c r="C228">
        <v>278</v>
      </c>
      <c r="D228" t="s">
        <v>1630</v>
      </c>
      <c r="E228">
        <v>50162</v>
      </c>
      <c r="F228" t="s">
        <v>1632</v>
      </c>
      <c r="G228" t="s">
        <v>1013</v>
      </c>
      <c r="P228">
        <v>13</v>
      </c>
      <c r="S228">
        <v>13</v>
      </c>
      <c r="Y228">
        <v>0</v>
      </c>
      <c r="AM228">
        <v>13</v>
      </c>
      <c r="AP228">
        <v>13</v>
      </c>
      <c r="AU228">
        <v>0</v>
      </c>
      <c r="AW228" t="s">
        <v>474</v>
      </c>
      <c r="AX228" s="485" t="s">
        <v>1633</v>
      </c>
      <c r="AY228" t="s">
        <v>441</v>
      </c>
      <c r="AZ228" t="s">
        <v>1306</v>
      </c>
    </row>
    <row r="229" spans="1:52">
      <c r="A229">
        <v>279</v>
      </c>
      <c r="B229" t="s">
        <v>1634</v>
      </c>
      <c r="C229">
        <v>279</v>
      </c>
      <c r="D229" t="s">
        <v>1635</v>
      </c>
      <c r="E229">
        <v>5326</v>
      </c>
      <c r="F229" t="s">
        <v>1636</v>
      </c>
      <c r="G229" t="s">
        <v>1013</v>
      </c>
      <c r="J229">
        <v>1</v>
      </c>
      <c r="O229">
        <v>13</v>
      </c>
      <c r="P229">
        <v>5</v>
      </c>
      <c r="Q229">
        <v>6</v>
      </c>
      <c r="S229">
        <v>25</v>
      </c>
      <c r="Y229">
        <v>0</v>
      </c>
      <c r="AG229">
        <v>1</v>
      </c>
      <c r="AL229">
        <v>13</v>
      </c>
      <c r="AM229">
        <v>5</v>
      </c>
      <c r="AN229">
        <v>6</v>
      </c>
      <c r="AP229">
        <v>25</v>
      </c>
      <c r="AU229">
        <v>0</v>
      </c>
      <c r="AW229" t="s">
        <v>473</v>
      </c>
      <c r="AX229" t="s">
        <v>1463</v>
      </c>
      <c r="AY229" t="s">
        <v>441</v>
      </c>
      <c r="AZ229" t="s">
        <v>1306</v>
      </c>
    </row>
    <row r="230" spans="1:52">
      <c r="A230">
        <v>280</v>
      </c>
      <c r="B230" t="s">
        <v>1637</v>
      </c>
      <c r="C230">
        <v>280</v>
      </c>
      <c r="D230" t="s">
        <v>1638</v>
      </c>
      <c r="E230">
        <v>3403</v>
      </c>
      <c r="F230" t="s">
        <v>1503</v>
      </c>
      <c r="G230" t="s">
        <v>1013</v>
      </c>
      <c r="R230">
        <v>1</v>
      </c>
      <c r="S230">
        <v>1</v>
      </c>
      <c r="Y230">
        <v>0</v>
      </c>
      <c r="AO230">
        <v>1</v>
      </c>
      <c r="AP230">
        <v>1</v>
      </c>
      <c r="AU230">
        <v>0</v>
      </c>
      <c r="AW230" t="s">
        <v>473</v>
      </c>
      <c r="AX230" t="s">
        <v>856</v>
      </c>
      <c r="AY230" t="s">
        <v>448</v>
      </c>
      <c r="AZ230" t="s">
        <v>1306</v>
      </c>
    </row>
    <row r="231" spans="1:52">
      <c r="A231">
        <v>281</v>
      </c>
      <c r="B231" t="s">
        <v>1639</v>
      </c>
      <c r="C231">
        <v>281</v>
      </c>
      <c r="D231" t="s">
        <v>1640</v>
      </c>
      <c r="E231">
        <v>1515</v>
      </c>
      <c r="F231" t="s">
        <v>1641</v>
      </c>
      <c r="G231" t="s">
        <v>1013</v>
      </c>
      <c r="Q231">
        <v>1</v>
      </c>
      <c r="S231">
        <v>1</v>
      </c>
      <c r="Y231">
        <v>0</v>
      </c>
      <c r="AN231">
        <v>1</v>
      </c>
      <c r="AP231">
        <v>1</v>
      </c>
      <c r="AU231">
        <v>0</v>
      </c>
      <c r="AW231" t="s">
        <v>473</v>
      </c>
      <c r="AX231" t="s">
        <v>1463</v>
      </c>
      <c r="AY231" t="s">
        <v>441</v>
      </c>
      <c r="AZ231" t="s">
        <v>1306</v>
      </c>
    </row>
    <row r="232" spans="1:52">
      <c r="A232">
        <v>281</v>
      </c>
      <c r="B232" t="s">
        <v>1639</v>
      </c>
      <c r="C232">
        <v>281</v>
      </c>
      <c r="D232" t="s">
        <v>1640</v>
      </c>
      <c r="E232">
        <v>1527</v>
      </c>
      <c r="F232" t="s">
        <v>1642</v>
      </c>
      <c r="G232" t="s">
        <v>1013</v>
      </c>
      <c r="S232">
        <v>1</v>
      </c>
      <c r="Y232">
        <v>0</v>
      </c>
      <c r="AE232">
        <v>1</v>
      </c>
      <c r="AP232">
        <v>1</v>
      </c>
      <c r="AU232">
        <v>0</v>
      </c>
      <c r="AW232" t="s">
        <v>473</v>
      </c>
      <c r="AX232" t="s">
        <v>1463</v>
      </c>
      <c r="AY232" t="s">
        <v>441</v>
      </c>
      <c r="AZ232" t="s">
        <v>1306</v>
      </c>
    </row>
    <row r="233" spans="1:52">
      <c r="A233">
        <v>281</v>
      </c>
      <c r="B233" t="s">
        <v>1639</v>
      </c>
      <c r="C233">
        <v>281</v>
      </c>
      <c r="D233" t="s">
        <v>1640</v>
      </c>
      <c r="E233">
        <v>3307</v>
      </c>
      <c r="F233" t="s">
        <v>1607</v>
      </c>
      <c r="G233" t="s">
        <v>1013</v>
      </c>
      <c r="Q233">
        <v>2</v>
      </c>
      <c r="S233">
        <v>2</v>
      </c>
      <c r="Y233">
        <v>0</v>
      </c>
      <c r="AN233">
        <v>2</v>
      </c>
      <c r="AP233">
        <v>2</v>
      </c>
      <c r="AU233">
        <v>0</v>
      </c>
      <c r="AW233" t="s">
        <v>473</v>
      </c>
      <c r="AX233" t="s">
        <v>853</v>
      </c>
      <c r="AY233" t="s">
        <v>441</v>
      </c>
      <c r="AZ233" t="s">
        <v>1306</v>
      </c>
    </row>
    <row r="234" spans="1:52">
      <c r="A234">
        <v>281</v>
      </c>
      <c r="B234" t="s">
        <v>1639</v>
      </c>
      <c r="C234">
        <v>281</v>
      </c>
      <c r="D234" t="s">
        <v>1640</v>
      </c>
      <c r="E234">
        <v>3372</v>
      </c>
      <c r="F234" t="s">
        <v>976</v>
      </c>
      <c r="G234" t="s">
        <v>1013</v>
      </c>
      <c r="P234">
        <v>1</v>
      </c>
      <c r="S234">
        <v>1</v>
      </c>
      <c r="Y234">
        <v>0</v>
      </c>
      <c r="AM234">
        <v>1</v>
      </c>
      <c r="AP234">
        <v>1</v>
      </c>
      <c r="AU234">
        <v>0</v>
      </c>
      <c r="AW234" t="s">
        <v>473</v>
      </c>
      <c r="AX234" t="s">
        <v>1405</v>
      </c>
      <c r="AY234" t="s">
        <v>441</v>
      </c>
      <c r="AZ234" t="s">
        <v>1306</v>
      </c>
    </row>
    <row r="235" spans="1:52">
      <c r="A235">
        <v>281</v>
      </c>
      <c r="B235" t="s">
        <v>1639</v>
      </c>
      <c r="C235">
        <v>281</v>
      </c>
      <c r="D235" t="s">
        <v>1640</v>
      </c>
      <c r="E235">
        <v>3439</v>
      </c>
      <c r="F235" t="s">
        <v>1643</v>
      </c>
      <c r="G235" t="s">
        <v>1013</v>
      </c>
      <c r="O235">
        <v>5</v>
      </c>
      <c r="P235">
        <v>3</v>
      </c>
      <c r="Q235">
        <v>16</v>
      </c>
      <c r="S235">
        <v>24</v>
      </c>
      <c r="Y235">
        <v>0</v>
      </c>
      <c r="AL235">
        <v>5</v>
      </c>
      <c r="AM235">
        <v>3</v>
      </c>
      <c r="AN235">
        <v>16</v>
      </c>
      <c r="AP235">
        <v>24</v>
      </c>
      <c r="AU235">
        <v>0</v>
      </c>
      <c r="AW235" t="s">
        <v>473</v>
      </c>
      <c r="AX235" t="s">
        <v>853</v>
      </c>
      <c r="AY235" t="s">
        <v>441</v>
      </c>
      <c r="AZ235" t="s">
        <v>1306</v>
      </c>
    </row>
    <row r="236" spans="1:52">
      <c r="A236">
        <v>281</v>
      </c>
      <c r="B236" t="s">
        <v>1639</v>
      </c>
      <c r="C236">
        <v>281</v>
      </c>
      <c r="D236" t="s">
        <v>1640</v>
      </c>
      <c r="E236">
        <v>5326</v>
      </c>
      <c r="F236" t="s">
        <v>1636</v>
      </c>
      <c r="G236" t="s">
        <v>1013</v>
      </c>
      <c r="N236">
        <v>1</v>
      </c>
      <c r="O236">
        <v>2</v>
      </c>
      <c r="P236">
        <v>1</v>
      </c>
      <c r="S236">
        <v>4</v>
      </c>
      <c r="Y236">
        <v>0</v>
      </c>
      <c r="AK236">
        <v>1</v>
      </c>
      <c r="AL236">
        <v>2</v>
      </c>
      <c r="AM236">
        <v>1</v>
      </c>
      <c r="AP236">
        <v>4</v>
      </c>
      <c r="AU236">
        <v>0</v>
      </c>
      <c r="AW236" t="s">
        <v>473</v>
      </c>
      <c r="AX236" t="s">
        <v>1463</v>
      </c>
      <c r="AY236" t="s">
        <v>441</v>
      </c>
      <c r="AZ236" t="s">
        <v>1306</v>
      </c>
    </row>
    <row r="237" spans="1:52">
      <c r="A237">
        <v>281</v>
      </c>
      <c r="B237" t="s">
        <v>1639</v>
      </c>
      <c r="C237">
        <v>281</v>
      </c>
      <c r="D237" t="s">
        <v>1640</v>
      </c>
      <c r="E237">
        <v>8896</v>
      </c>
      <c r="F237" t="s">
        <v>1644</v>
      </c>
      <c r="G237" t="s">
        <v>1013</v>
      </c>
      <c r="H237">
        <v>2.5</v>
      </c>
      <c r="I237">
        <v>11</v>
      </c>
      <c r="J237">
        <v>6</v>
      </c>
      <c r="K237">
        <v>3</v>
      </c>
      <c r="L237">
        <v>7</v>
      </c>
      <c r="N237">
        <v>11</v>
      </c>
      <c r="Q237">
        <v>3</v>
      </c>
      <c r="S237">
        <v>93.5</v>
      </c>
      <c r="V237">
        <v>11</v>
      </c>
      <c r="W237">
        <v>3</v>
      </c>
      <c r="Y237">
        <v>14</v>
      </c>
      <c r="Z237">
        <v>5</v>
      </c>
      <c r="AA237">
        <v>10</v>
      </c>
      <c r="AB237">
        <v>15</v>
      </c>
      <c r="AC237">
        <v>10</v>
      </c>
      <c r="AD237">
        <v>11</v>
      </c>
      <c r="AE237">
        <v>9</v>
      </c>
      <c r="AF237">
        <v>11</v>
      </c>
      <c r="AG237">
        <v>6</v>
      </c>
      <c r="AH237">
        <v>3</v>
      </c>
      <c r="AI237">
        <v>7</v>
      </c>
      <c r="AK237">
        <v>11</v>
      </c>
      <c r="AN237">
        <v>3</v>
      </c>
      <c r="AP237">
        <v>101</v>
      </c>
      <c r="AS237">
        <v>11</v>
      </c>
      <c r="AT237">
        <v>3</v>
      </c>
      <c r="AU237">
        <v>14</v>
      </c>
      <c r="AW237" t="s">
        <v>473</v>
      </c>
      <c r="AX237" t="s">
        <v>1463</v>
      </c>
      <c r="AY237" t="s">
        <v>441</v>
      </c>
      <c r="AZ237" t="s">
        <v>1575</v>
      </c>
    </row>
    <row r="238" spans="1:52">
      <c r="A238">
        <v>282</v>
      </c>
      <c r="B238" t="s">
        <v>1645</v>
      </c>
      <c r="C238">
        <v>282</v>
      </c>
      <c r="D238" t="s">
        <v>1646</v>
      </c>
      <c r="E238">
        <v>1150</v>
      </c>
      <c r="F238" t="s">
        <v>1647</v>
      </c>
      <c r="G238" t="s">
        <v>1013</v>
      </c>
      <c r="H238">
        <v>5</v>
      </c>
      <c r="I238">
        <v>12</v>
      </c>
      <c r="J238">
        <v>10</v>
      </c>
      <c r="K238">
        <v>10</v>
      </c>
      <c r="L238">
        <v>15</v>
      </c>
      <c r="N238">
        <v>11</v>
      </c>
      <c r="O238">
        <v>16</v>
      </c>
      <c r="P238">
        <v>10</v>
      </c>
      <c r="Q238">
        <v>8</v>
      </c>
      <c r="S238">
        <v>153</v>
      </c>
      <c r="Y238">
        <v>0</v>
      </c>
      <c r="Z238">
        <v>10</v>
      </c>
      <c r="AA238">
        <v>14</v>
      </c>
      <c r="AB238">
        <v>11</v>
      </c>
      <c r="AC238">
        <v>9</v>
      </c>
      <c r="AD238">
        <v>15</v>
      </c>
      <c r="AE238">
        <v>14</v>
      </c>
      <c r="AF238">
        <v>12</v>
      </c>
      <c r="AG238">
        <v>10</v>
      </c>
      <c r="AH238">
        <v>10</v>
      </c>
      <c r="AI238">
        <v>15</v>
      </c>
      <c r="AK238">
        <v>11</v>
      </c>
      <c r="AL238">
        <v>16</v>
      </c>
      <c r="AM238">
        <v>10</v>
      </c>
      <c r="AN238">
        <v>8</v>
      </c>
      <c r="AP238">
        <v>165</v>
      </c>
      <c r="AU238">
        <v>0</v>
      </c>
      <c r="AW238" t="s">
        <v>473</v>
      </c>
      <c r="AX238" t="s">
        <v>1463</v>
      </c>
      <c r="AY238" t="s">
        <v>441</v>
      </c>
      <c r="AZ238" t="s">
        <v>1575</v>
      </c>
    </row>
    <row r="239" spans="1:52">
      <c r="A239">
        <v>284</v>
      </c>
      <c r="B239" t="s">
        <v>1648</v>
      </c>
      <c r="C239">
        <v>265</v>
      </c>
      <c r="D239" t="s">
        <v>1583</v>
      </c>
      <c r="E239">
        <v>6402</v>
      </c>
      <c r="F239" t="s">
        <v>1585</v>
      </c>
      <c r="G239" t="s">
        <v>1027</v>
      </c>
      <c r="L239">
        <v>1</v>
      </c>
      <c r="Q239">
        <v>1</v>
      </c>
      <c r="S239">
        <v>2</v>
      </c>
      <c r="Y239">
        <v>0</v>
      </c>
      <c r="AI239">
        <v>1</v>
      </c>
      <c r="AN239">
        <v>1</v>
      </c>
      <c r="AP239">
        <v>2</v>
      </c>
      <c r="AU239">
        <v>0</v>
      </c>
      <c r="AW239" t="s">
        <v>473</v>
      </c>
      <c r="AX239" t="s">
        <v>1397</v>
      </c>
      <c r="AY239" t="s">
        <v>450</v>
      </c>
      <c r="AZ239" t="s">
        <v>1306</v>
      </c>
    </row>
    <row r="240" spans="1:52">
      <c r="A240">
        <v>284</v>
      </c>
      <c r="B240" t="s">
        <v>1648</v>
      </c>
      <c r="C240">
        <v>5070</v>
      </c>
      <c r="D240" t="s">
        <v>1377</v>
      </c>
      <c r="E240">
        <v>1478</v>
      </c>
      <c r="F240" t="s">
        <v>1649</v>
      </c>
      <c r="G240" t="s">
        <v>1013</v>
      </c>
      <c r="H240">
        <v>7</v>
      </c>
      <c r="I240">
        <v>8</v>
      </c>
      <c r="J240">
        <v>13</v>
      </c>
      <c r="K240">
        <v>6</v>
      </c>
      <c r="L240">
        <v>9</v>
      </c>
      <c r="N240">
        <v>9</v>
      </c>
      <c r="O240">
        <v>8</v>
      </c>
      <c r="P240">
        <v>7</v>
      </c>
      <c r="Q240">
        <v>14</v>
      </c>
      <c r="S240">
        <v>131.5</v>
      </c>
      <c r="Y240">
        <v>0</v>
      </c>
      <c r="Z240">
        <v>14</v>
      </c>
      <c r="AA240">
        <v>15</v>
      </c>
      <c r="AB240">
        <v>13</v>
      </c>
      <c r="AC240">
        <v>14</v>
      </c>
      <c r="AD240">
        <v>13</v>
      </c>
      <c r="AE240">
        <v>3</v>
      </c>
      <c r="AF240">
        <v>8</v>
      </c>
      <c r="AG240">
        <v>13</v>
      </c>
      <c r="AH240">
        <v>6</v>
      </c>
      <c r="AI240">
        <v>9</v>
      </c>
      <c r="AK240">
        <v>9</v>
      </c>
      <c r="AL240">
        <v>8</v>
      </c>
      <c r="AM240">
        <v>7</v>
      </c>
      <c r="AN240">
        <v>14</v>
      </c>
      <c r="AP240">
        <v>146</v>
      </c>
      <c r="AU240">
        <v>0</v>
      </c>
      <c r="AW240" t="s">
        <v>473</v>
      </c>
      <c r="AX240" t="s">
        <v>1463</v>
      </c>
      <c r="AY240" t="s">
        <v>450</v>
      </c>
      <c r="AZ240" t="s">
        <v>1575</v>
      </c>
    </row>
    <row r="241" spans="1:52">
      <c r="A241">
        <v>285</v>
      </c>
      <c r="B241" t="s">
        <v>1650</v>
      </c>
      <c r="C241">
        <v>285</v>
      </c>
      <c r="D241" t="s">
        <v>1651</v>
      </c>
      <c r="E241">
        <v>1342</v>
      </c>
      <c r="F241" t="s">
        <v>1652</v>
      </c>
      <c r="G241" t="s">
        <v>1013</v>
      </c>
      <c r="H241">
        <v>15.5</v>
      </c>
      <c r="I241">
        <v>37</v>
      </c>
      <c r="J241">
        <v>31</v>
      </c>
      <c r="K241">
        <v>30</v>
      </c>
      <c r="L241">
        <v>33</v>
      </c>
      <c r="O241">
        <v>11</v>
      </c>
      <c r="Q241">
        <v>2</v>
      </c>
      <c r="S241">
        <v>335.5</v>
      </c>
      <c r="T241">
        <v>1</v>
      </c>
      <c r="U241">
        <v>2</v>
      </c>
      <c r="V241">
        <v>19</v>
      </c>
      <c r="Y241">
        <v>22</v>
      </c>
      <c r="Z241">
        <v>31</v>
      </c>
      <c r="AA241">
        <v>36</v>
      </c>
      <c r="AB241">
        <v>38</v>
      </c>
      <c r="AC241">
        <v>41</v>
      </c>
      <c r="AD241">
        <v>34</v>
      </c>
      <c r="AE241">
        <v>45</v>
      </c>
      <c r="AF241">
        <v>37</v>
      </c>
      <c r="AG241">
        <v>31</v>
      </c>
      <c r="AH241">
        <v>30</v>
      </c>
      <c r="AI241">
        <v>33</v>
      </c>
      <c r="AL241">
        <v>11</v>
      </c>
      <c r="AN241">
        <v>2</v>
      </c>
      <c r="AP241">
        <v>369</v>
      </c>
      <c r="AQ241">
        <v>1</v>
      </c>
      <c r="AR241">
        <v>2</v>
      </c>
      <c r="AS241">
        <v>19</v>
      </c>
      <c r="AU241">
        <v>22</v>
      </c>
      <c r="AW241" t="s">
        <v>473</v>
      </c>
      <c r="AX241" t="s">
        <v>1454</v>
      </c>
      <c r="AY241" t="s">
        <v>450</v>
      </c>
      <c r="AZ241" t="s">
        <v>1575</v>
      </c>
    </row>
    <row r="242" spans="1:52">
      <c r="A242">
        <v>285</v>
      </c>
      <c r="B242" t="s">
        <v>1650</v>
      </c>
      <c r="C242">
        <v>285</v>
      </c>
      <c r="D242" t="s">
        <v>1651</v>
      </c>
      <c r="E242">
        <v>3339</v>
      </c>
      <c r="F242" t="s">
        <v>1653</v>
      </c>
      <c r="G242" t="s">
        <v>1013</v>
      </c>
      <c r="N242">
        <v>16</v>
      </c>
      <c r="O242">
        <v>13</v>
      </c>
      <c r="P242">
        <v>17</v>
      </c>
      <c r="Q242">
        <v>15</v>
      </c>
      <c r="S242">
        <v>61</v>
      </c>
      <c r="Y242">
        <v>0</v>
      </c>
      <c r="AK242">
        <v>16</v>
      </c>
      <c r="AL242">
        <v>13</v>
      </c>
      <c r="AM242">
        <v>17</v>
      </c>
      <c r="AN242">
        <v>15</v>
      </c>
      <c r="AP242">
        <v>61</v>
      </c>
      <c r="AU242">
        <v>0</v>
      </c>
      <c r="AW242" t="s">
        <v>473</v>
      </c>
      <c r="AX242" t="s">
        <v>1454</v>
      </c>
      <c r="AY242" t="s">
        <v>450</v>
      </c>
      <c r="AZ242" t="s">
        <v>1306</v>
      </c>
    </row>
    <row r="243" spans="1:52">
      <c r="A243">
        <v>285</v>
      </c>
      <c r="B243" t="s">
        <v>1650</v>
      </c>
      <c r="C243">
        <v>285</v>
      </c>
      <c r="D243" t="s">
        <v>1651</v>
      </c>
      <c r="E243">
        <v>7827</v>
      </c>
      <c r="F243" t="s">
        <v>1654</v>
      </c>
      <c r="G243" t="s">
        <v>1013</v>
      </c>
      <c r="N243">
        <v>9</v>
      </c>
      <c r="O243">
        <v>10</v>
      </c>
      <c r="P243">
        <v>8</v>
      </c>
      <c r="Q243">
        <v>11</v>
      </c>
      <c r="S243">
        <v>38</v>
      </c>
      <c r="Y243">
        <v>0</v>
      </c>
      <c r="AK243">
        <v>9</v>
      </c>
      <c r="AL243">
        <v>10</v>
      </c>
      <c r="AM243">
        <v>8</v>
      </c>
      <c r="AN243">
        <v>11</v>
      </c>
      <c r="AP243">
        <v>38</v>
      </c>
      <c r="AU243">
        <v>0</v>
      </c>
      <c r="AW243" t="s">
        <v>473</v>
      </c>
      <c r="AX243" t="s">
        <v>1454</v>
      </c>
      <c r="AY243" t="s">
        <v>450</v>
      </c>
      <c r="AZ243" t="s">
        <v>1306</v>
      </c>
    </row>
    <row r="244" spans="1:52">
      <c r="A244">
        <v>286</v>
      </c>
      <c r="B244" t="s">
        <v>406</v>
      </c>
      <c r="C244">
        <v>3548</v>
      </c>
      <c r="D244" t="s">
        <v>730</v>
      </c>
      <c r="E244">
        <v>3303</v>
      </c>
      <c r="F244" t="s">
        <v>1493</v>
      </c>
      <c r="G244" t="s">
        <v>1013</v>
      </c>
      <c r="O244">
        <v>1</v>
      </c>
      <c r="S244">
        <v>1</v>
      </c>
      <c r="Y244">
        <v>0</v>
      </c>
      <c r="AL244">
        <v>1</v>
      </c>
      <c r="AP244">
        <v>1</v>
      </c>
      <c r="AU244">
        <v>0</v>
      </c>
      <c r="AW244" t="s">
        <v>473</v>
      </c>
      <c r="AX244" t="s">
        <v>845</v>
      </c>
      <c r="AY244" t="s">
        <v>446</v>
      </c>
      <c r="AZ244" t="s">
        <v>1306</v>
      </c>
    </row>
    <row r="245" spans="1:52">
      <c r="A245">
        <v>286</v>
      </c>
      <c r="B245" t="s">
        <v>406</v>
      </c>
      <c r="C245">
        <v>3548</v>
      </c>
      <c r="D245" t="s">
        <v>730</v>
      </c>
      <c r="E245">
        <v>3310</v>
      </c>
      <c r="F245" t="s">
        <v>1045</v>
      </c>
      <c r="G245" t="s">
        <v>1013</v>
      </c>
      <c r="N245">
        <v>1</v>
      </c>
      <c r="P245">
        <v>1</v>
      </c>
      <c r="S245">
        <v>2</v>
      </c>
      <c r="Y245">
        <v>0</v>
      </c>
      <c r="AK245">
        <v>1</v>
      </c>
      <c r="AM245">
        <v>1</v>
      </c>
      <c r="AP245">
        <v>2</v>
      </c>
      <c r="AU245">
        <v>0</v>
      </c>
      <c r="AW245" t="s">
        <v>473</v>
      </c>
      <c r="AX245" t="s">
        <v>1233</v>
      </c>
      <c r="AY245" t="s">
        <v>446</v>
      </c>
      <c r="AZ245" t="s">
        <v>1306</v>
      </c>
    </row>
    <row r="246" spans="1:52">
      <c r="A246">
        <v>286</v>
      </c>
      <c r="B246" t="s">
        <v>406</v>
      </c>
      <c r="C246">
        <v>3548</v>
      </c>
      <c r="D246" t="s">
        <v>730</v>
      </c>
      <c r="E246">
        <v>5736</v>
      </c>
      <c r="F246" t="s">
        <v>1500</v>
      </c>
      <c r="G246" t="s">
        <v>1013</v>
      </c>
      <c r="O246">
        <v>1</v>
      </c>
      <c r="S246">
        <v>1</v>
      </c>
      <c r="Y246">
        <v>0</v>
      </c>
      <c r="AL246">
        <v>1</v>
      </c>
      <c r="AP246">
        <v>1</v>
      </c>
      <c r="AU246">
        <v>0</v>
      </c>
      <c r="AW246" t="s">
        <v>473</v>
      </c>
      <c r="AX246" t="s">
        <v>845</v>
      </c>
      <c r="AY246" t="s">
        <v>446</v>
      </c>
      <c r="AZ246" t="s">
        <v>1306</v>
      </c>
    </row>
    <row r="247" spans="1:52">
      <c r="A247">
        <v>286</v>
      </c>
      <c r="B247" t="s">
        <v>406</v>
      </c>
      <c r="C247">
        <v>3548</v>
      </c>
      <c r="D247" t="s">
        <v>730</v>
      </c>
      <c r="E247">
        <v>7870</v>
      </c>
      <c r="F247" t="s">
        <v>1501</v>
      </c>
      <c r="G247" t="s">
        <v>1013</v>
      </c>
      <c r="N247">
        <v>6</v>
      </c>
      <c r="O247">
        <v>6</v>
      </c>
      <c r="P247">
        <v>6</v>
      </c>
      <c r="Q247">
        <v>11</v>
      </c>
      <c r="S247">
        <v>29</v>
      </c>
      <c r="Y247">
        <v>0</v>
      </c>
      <c r="AK247">
        <v>6</v>
      </c>
      <c r="AL247">
        <v>6</v>
      </c>
      <c r="AM247">
        <v>6</v>
      </c>
      <c r="AN247">
        <v>11</v>
      </c>
      <c r="AP247">
        <v>29</v>
      </c>
      <c r="AU247">
        <v>0</v>
      </c>
      <c r="AW247" t="s">
        <v>473</v>
      </c>
      <c r="AX247" t="s">
        <v>1454</v>
      </c>
      <c r="AY247" t="s">
        <v>446</v>
      </c>
      <c r="AZ247" t="s">
        <v>1306</v>
      </c>
    </row>
    <row r="248" spans="1:52">
      <c r="A248">
        <v>287</v>
      </c>
      <c r="B248" t="s">
        <v>1655</v>
      </c>
      <c r="C248">
        <v>287</v>
      </c>
      <c r="D248" t="s">
        <v>1567</v>
      </c>
      <c r="E248">
        <v>20891</v>
      </c>
      <c r="F248" t="s">
        <v>1502</v>
      </c>
      <c r="G248" t="s">
        <v>1027</v>
      </c>
      <c r="I248">
        <v>4</v>
      </c>
      <c r="J248">
        <v>4</v>
      </c>
      <c r="K248">
        <v>3</v>
      </c>
      <c r="L248">
        <v>4</v>
      </c>
      <c r="N248">
        <v>3</v>
      </c>
      <c r="O248">
        <v>2</v>
      </c>
      <c r="S248">
        <v>31</v>
      </c>
      <c r="Y248">
        <v>0</v>
      </c>
      <c r="AA248">
        <v>2</v>
      </c>
      <c r="AB248">
        <v>1</v>
      </c>
      <c r="AC248">
        <v>3</v>
      </c>
      <c r="AD248">
        <v>2</v>
      </c>
      <c r="AE248">
        <v>4</v>
      </c>
      <c r="AF248">
        <v>4</v>
      </c>
      <c r="AG248">
        <v>4</v>
      </c>
      <c r="AH248">
        <v>3</v>
      </c>
      <c r="AI248">
        <v>4</v>
      </c>
      <c r="AK248">
        <v>3</v>
      </c>
      <c r="AL248">
        <v>2</v>
      </c>
      <c r="AP248">
        <v>32</v>
      </c>
      <c r="AU248">
        <v>0</v>
      </c>
      <c r="AW248" t="s">
        <v>473</v>
      </c>
      <c r="AX248" t="s">
        <v>1397</v>
      </c>
      <c r="AY248" t="s">
        <v>445</v>
      </c>
      <c r="AZ248" t="s">
        <v>1575</v>
      </c>
    </row>
    <row r="249" spans="1:52">
      <c r="A249">
        <v>287</v>
      </c>
      <c r="B249" t="s">
        <v>1655</v>
      </c>
      <c r="C249">
        <v>287</v>
      </c>
      <c r="D249" t="s">
        <v>1567</v>
      </c>
      <c r="E249">
        <v>3312</v>
      </c>
      <c r="F249" t="s">
        <v>1656</v>
      </c>
      <c r="G249" t="s">
        <v>1013</v>
      </c>
      <c r="I249">
        <v>3</v>
      </c>
      <c r="J249">
        <v>2</v>
      </c>
      <c r="S249">
        <v>12</v>
      </c>
      <c r="Y249">
        <v>0</v>
      </c>
      <c r="AA249">
        <v>2</v>
      </c>
      <c r="AB249">
        <v>2</v>
      </c>
      <c r="AC249">
        <v>1</v>
      </c>
      <c r="AE249">
        <v>3</v>
      </c>
      <c r="AF249">
        <v>3</v>
      </c>
      <c r="AG249">
        <v>2</v>
      </c>
      <c r="AP249">
        <v>13</v>
      </c>
      <c r="AU249">
        <v>0</v>
      </c>
      <c r="AW249" t="s">
        <v>473</v>
      </c>
      <c r="AX249" t="s">
        <v>856</v>
      </c>
      <c r="AY249" t="s">
        <v>445</v>
      </c>
      <c r="AZ249" t="s">
        <v>1575</v>
      </c>
    </row>
    <row r="250" spans="1:52">
      <c r="A250">
        <v>287</v>
      </c>
      <c r="B250" t="s">
        <v>1655</v>
      </c>
      <c r="C250">
        <v>287</v>
      </c>
      <c r="D250" t="s">
        <v>1567</v>
      </c>
      <c r="E250">
        <v>3333</v>
      </c>
      <c r="F250" t="s">
        <v>1657</v>
      </c>
      <c r="G250" t="s">
        <v>1013</v>
      </c>
      <c r="J250">
        <v>1</v>
      </c>
      <c r="L250">
        <v>1</v>
      </c>
      <c r="S250">
        <v>4</v>
      </c>
      <c r="Y250">
        <v>0</v>
      </c>
      <c r="AC250">
        <v>1</v>
      </c>
      <c r="AE250">
        <v>1</v>
      </c>
      <c r="AG250">
        <v>1</v>
      </c>
      <c r="AI250">
        <v>1</v>
      </c>
      <c r="AP250">
        <v>4</v>
      </c>
      <c r="AU250">
        <v>0</v>
      </c>
      <c r="AW250" t="s">
        <v>473</v>
      </c>
      <c r="AX250" t="s">
        <v>856</v>
      </c>
      <c r="AY250" t="s">
        <v>445</v>
      </c>
      <c r="AZ250" t="s">
        <v>1306</v>
      </c>
    </row>
    <row r="251" spans="1:52">
      <c r="A251">
        <v>287</v>
      </c>
      <c r="B251" t="s">
        <v>1655</v>
      </c>
      <c r="C251">
        <v>287</v>
      </c>
      <c r="D251" t="s">
        <v>1567</v>
      </c>
      <c r="E251">
        <v>3401</v>
      </c>
      <c r="F251" t="s">
        <v>1034</v>
      </c>
      <c r="G251" t="s">
        <v>1013</v>
      </c>
      <c r="I251">
        <v>1</v>
      </c>
      <c r="J251">
        <v>1</v>
      </c>
      <c r="K251">
        <v>3</v>
      </c>
      <c r="L251">
        <v>2</v>
      </c>
      <c r="S251">
        <v>12</v>
      </c>
      <c r="Y251">
        <v>0</v>
      </c>
      <c r="AC251">
        <v>1</v>
      </c>
      <c r="AD251">
        <v>1</v>
      </c>
      <c r="AE251">
        <v>3</v>
      </c>
      <c r="AF251">
        <v>1</v>
      </c>
      <c r="AG251">
        <v>1</v>
      </c>
      <c r="AH251">
        <v>3</v>
      </c>
      <c r="AI251">
        <v>2</v>
      </c>
      <c r="AP251">
        <v>12</v>
      </c>
      <c r="AU251">
        <v>0</v>
      </c>
      <c r="AW251" t="s">
        <v>473</v>
      </c>
      <c r="AX251" t="s">
        <v>856</v>
      </c>
      <c r="AY251" t="s">
        <v>445</v>
      </c>
      <c r="AZ251" t="s">
        <v>1306</v>
      </c>
    </row>
    <row r="252" spans="1:52">
      <c r="A252">
        <v>287</v>
      </c>
      <c r="B252" t="s">
        <v>1655</v>
      </c>
      <c r="C252">
        <v>287</v>
      </c>
      <c r="D252" t="s">
        <v>1567</v>
      </c>
      <c r="E252">
        <v>3403</v>
      </c>
      <c r="F252" t="s">
        <v>1503</v>
      </c>
      <c r="G252" t="s">
        <v>1013</v>
      </c>
      <c r="N252">
        <v>31</v>
      </c>
      <c r="O252">
        <v>13</v>
      </c>
      <c r="P252">
        <v>24</v>
      </c>
      <c r="Q252">
        <v>28</v>
      </c>
      <c r="S252">
        <v>96</v>
      </c>
      <c r="V252">
        <v>2</v>
      </c>
      <c r="Y252">
        <v>2</v>
      </c>
      <c r="AK252">
        <v>31</v>
      </c>
      <c r="AL252">
        <v>13</v>
      </c>
      <c r="AM252">
        <v>24</v>
      </c>
      <c r="AN252">
        <v>28</v>
      </c>
      <c r="AP252">
        <v>96</v>
      </c>
      <c r="AS252">
        <v>2</v>
      </c>
      <c r="AU252">
        <v>2</v>
      </c>
      <c r="AW252" t="s">
        <v>473</v>
      </c>
      <c r="AX252" t="s">
        <v>856</v>
      </c>
      <c r="AY252" t="s">
        <v>445</v>
      </c>
      <c r="AZ252" t="s">
        <v>1306</v>
      </c>
    </row>
    <row r="253" spans="1:52">
      <c r="A253">
        <v>287</v>
      </c>
      <c r="B253" t="s">
        <v>1655</v>
      </c>
      <c r="C253">
        <v>287</v>
      </c>
      <c r="D253" t="s">
        <v>1567</v>
      </c>
      <c r="E253">
        <v>3543</v>
      </c>
      <c r="F253" t="s">
        <v>1658</v>
      </c>
      <c r="G253" t="s">
        <v>1013</v>
      </c>
      <c r="I253">
        <v>1</v>
      </c>
      <c r="S253">
        <v>5.5</v>
      </c>
      <c r="Y253">
        <v>0</v>
      </c>
      <c r="AA253">
        <v>1</v>
      </c>
      <c r="AB253">
        <v>1</v>
      </c>
      <c r="AD253">
        <v>1</v>
      </c>
      <c r="AE253">
        <v>2</v>
      </c>
      <c r="AF253">
        <v>1</v>
      </c>
      <c r="AP253">
        <v>6</v>
      </c>
      <c r="AU253">
        <v>0</v>
      </c>
      <c r="AW253" t="s">
        <v>473</v>
      </c>
      <c r="AX253" t="s">
        <v>856</v>
      </c>
      <c r="AY253" t="s">
        <v>445</v>
      </c>
      <c r="AZ253" t="s">
        <v>1575</v>
      </c>
    </row>
    <row r="254" spans="1:52">
      <c r="A254">
        <v>288</v>
      </c>
      <c r="B254" t="s">
        <v>398</v>
      </c>
      <c r="C254">
        <v>3548</v>
      </c>
      <c r="D254" t="s">
        <v>730</v>
      </c>
      <c r="E254">
        <v>20891</v>
      </c>
      <c r="F254" t="s">
        <v>1502</v>
      </c>
      <c r="G254" t="s">
        <v>1027</v>
      </c>
      <c r="N254">
        <v>4</v>
      </c>
      <c r="O254">
        <v>4</v>
      </c>
      <c r="P254">
        <v>5</v>
      </c>
      <c r="Q254">
        <v>1</v>
      </c>
      <c r="S254">
        <v>15</v>
      </c>
      <c r="Y254">
        <v>0</v>
      </c>
      <c r="AC254">
        <v>1</v>
      </c>
      <c r="AK254">
        <v>4</v>
      </c>
      <c r="AL254">
        <v>4</v>
      </c>
      <c r="AM254">
        <v>5</v>
      </c>
      <c r="AN254">
        <v>1</v>
      </c>
      <c r="AP254">
        <v>15</v>
      </c>
      <c r="AU254">
        <v>0</v>
      </c>
      <c r="AW254" t="s">
        <v>473</v>
      </c>
      <c r="AX254" t="s">
        <v>1397</v>
      </c>
      <c r="AY254" t="s">
        <v>445</v>
      </c>
      <c r="AZ254" t="s">
        <v>1306</v>
      </c>
    </row>
    <row r="255" spans="1:52">
      <c r="A255">
        <v>288</v>
      </c>
      <c r="B255" t="s">
        <v>398</v>
      </c>
      <c r="C255">
        <v>3548</v>
      </c>
      <c r="D255" t="s">
        <v>730</v>
      </c>
      <c r="E255">
        <v>3403</v>
      </c>
      <c r="F255" t="s">
        <v>1503</v>
      </c>
      <c r="G255" t="s">
        <v>1013</v>
      </c>
      <c r="N255">
        <v>1</v>
      </c>
      <c r="P255">
        <v>2</v>
      </c>
      <c r="S255">
        <v>3</v>
      </c>
      <c r="Y255">
        <v>0</v>
      </c>
      <c r="AK255">
        <v>1</v>
      </c>
      <c r="AM255">
        <v>2</v>
      </c>
      <c r="AP255">
        <v>3</v>
      </c>
      <c r="AU255">
        <v>0</v>
      </c>
      <c r="AW255" t="s">
        <v>473</v>
      </c>
      <c r="AX255" t="s">
        <v>856</v>
      </c>
      <c r="AY255" t="s">
        <v>445</v>
      </c>
      <c r="AZ255" t="s">
        <v>1306</v>
      </c>
    </row>
    <row r="256" spans="1:52">
      <c r="A256">
        <v>289</v>
      </c>
      <c r="B256" t="s">
        <v>1659</v>
      </c>
      <c r="C256">
        <v>289</v>
      </c>
      <c r="D256" t="s">
        <v>1660</v>
      </c>
      <c r="E256">
        <v>1738</v>
      </c>
      <c r="F256" t="s">
        <v>1661</v>
      </c>
      <c r="G256" t="s">
        <v>1013</v>
      </c>
      <c r="S256">
        <v>22</v>
      </c>
      <c r="Y256">
        <v>0</v>
      </c>
      <c r="AB256">
        <v>6</v>
      </c>
      <c r="AC256">
        <v>7</v>
      </c>
      <c r="AD256">
        <v>4</v>
      </c>
      <c r="AE256">
        <v>5</v>
      </c>
      <c r="AP256">
        <v>22</v>
      </c>
      <c r="AU256">
        <v>0</v>
      </c>
      <c r="AW256" t="s">
        <v>473</v>
      </c>
      <c r="AX256" t="s">
        <v>847</v>
      </c>
      <c r="AY256" t="s">
        <v>440</v>
      </c>
      <c r="AZ256" t="s">
        <v>1306</v>
      </c>
    </row>
    <row r="257" spans="1:52">
      <c r="A257">
        <v>289</v>
      </c>
      <c r="B257" t="s">
        <v>1659</v>
      </c>
      <c r="C257">
        <v>289</v>
      </c>
      <c r="D257" t="s">
        <v>1660</v>
      </c>
      <c r="E257">
        <v>3389</v>
      </c>
      <c r="F257" t="s">
        <v>1662</v>
      </c>
      <c r="G257" t="s">
        <v>1013</v>
      </c>
      <c r="N257">
        <v>4</v>
      </c>
      <c r="O257">
        <v>4</v>
      </c>
      <c r="P257">
        <v>7</v>
      </c>
      <c r="Q257">
        <v>1</v>
      </c>
      <c r="S257">
        <v>16</v>
      </c>
      <c r="Y257">
        <v>0</v>
      </c>
      <c r="AK257">
        <v>4</v>
      </c>
      <c r="AL257">
        <v>4</v>
      </c>
      <c r="AM257">
        <v>7</v>
      </c>
      <c r="AN257">
        <v>1</v>
      </c>
      <c r="AP257">
        <v>16</v>
      </c>
      <c r="AU257">
        <v>0</v>
      </c>
      <c r="AW257" t="s">
        <v>473</v>
      </c>
      <c r="AX257" t="s">
        <v>847</v>
      </c>
      <c r="AY257" t="s">
        <v>440</v>
      </c>
      <c r="AZ257" t="s">
        <v>1306</v>
      </c>
    </row>
    <row r="258" spans="1:52">
      <c r="A258">
        <v>289</v>
      </c>
      <c r="B258" t="s">
        <v>1659</v>
      </c>
      <c r="C258">
        <v>289</v>
      </c>
      <c r="D258" t="s">
        <v>1660</v>
      </c>
      <c r="E258">
        <v>3390</v>
      </c>
      <c r="F258" t="s">
        <v>1663</v>
      </c>
      <c r="G258" t="s">
        <v>1013</v>
      </c>
      <c r="I258">
        <v>8</v>
      </c>
      <c r="J258">
        <v>10</v>
      </c>
      <c r="K258">
        <v>2</v>
      </c>
      <c r="L258">
        <v>6</v>
      </c>
      <c r="S258">
        <v>26</v>
      </c>
      <c r="Y258">
        <v>0</v>
      </c>
      <c r="AF258">
        <v>8</v>
      </c>
      <c r="AG258">
        <v>10</v>
      </c>
      <c r="AH258">
        <v>2</v>
      </c>
      <c r="AI258">
        <v>6</v>
      </c>
      <c r="AP258">
        <v>26</v>
      </c>
      <c r="AU258">
        <v>0</v>
      </c>
      <c r="AW258" t="s">
        <v>473</v>
      </c>
      <c r="AX258" t="s">
        <v>847</v>
      </c>
      <c r="AY258" t="s">
        <v>440</v>
      </c>
      <c r="AZ258" t="s">
        <v>1306</v>
      </c>
    </row>
    <row r="259" spans="1:52">
      <c r="A259">
        <v>289</v>
      </c>
      <c r="B259" t="s">
        <v>1659</v>
      </c>
      <c r="C259">
        <v>289</v>
      </c>
      <c r="D259" t="s">
        <v>1660</v>
      </c>
      <c r="E259">
        <v>7881</v>
      </c>
      <c r="F259" t="s">
        <v>1664</v>
      </c>
      <c r="G259" t="s">
        <v>1013</v>
      </c>
      <c r="I259">
        <v>1</v>
      </c>
      <c r="J259">
        <v>1</v>
      </c>
      <c r="L259">
        <v>1</v>
      </c>
      <c r="O259">
        <v>1</v>
      </c>
      <c r="S259">
        <v>9</v>
      </c>
      <c r="Y259">
        <v>0</v>
      </c>
      <c r="AC259">
        <v>2</v>
      </c>
      <c r="AD259">
        <v>1</v>
      </c>
      <c r="AE259">
        <v>2</v>
      </c>
      <c r="AF259">
        <v>1</v>
      </c>
      <c r="AG259">
        <v>1</v>
      </c>
      <c r="AI259">
        <v>1</v>
      </c>
      <c r="AL259">
        <v>1</v>
      </c>
      <c r="AP259">
        <v>9</v>
      </c>
      <c r="AU259">
        <v>0</v>
      </c>
      <c r="AW259" t="s">
        <v>473</v>
      </c>
      <c r="AX259" t="s">
        <v>847</v>
      </c>
      <c r="AY259" t="s">
        <v>440</v>
      </c>
      <c r="AZ259" t="s">
        <v>1306</v>
      </c>
    </row>
    <row r="260" spans="1:52">
      <c r="A260">
        <v>290</v>
      </c>
      <c r="B260" t="s">
        <v>1665</v>
      </c>
      <c r="C260">
        <v>3010</v>
      </c>
      <c r="D260" t="s">
        <v>1371</v>
      </c>
      <c r="E260">
        <v>3401</v>
      </c>
      <c r="F260" t="s">
        <v>1034</v>
      </c>
      <c r="G260" t="s">
        <v>1013</v>
      </c>
      <c r="I260">
        <v>1</v>
      </c>
      <c r="J260">
        <v>1</v>
      </c>
      <c r="S260">
        <v>3</v>
      </c>
      <c r="Y260">
        <v>0</v>
      </c>
      <c r="AE260">
        <v>1</v>
      </c>
      <c r="AF260">
        <v>1</v>
      </c>
      <c r="AG260">
        <v>1</v>
      </c>
      <c r="AP260">
        <v>3</v>
      </c>
      <c r="AU260">
        <v>0</v>
      </c>
      <c r="AW260" t="s">
        <v>473</v>
      </c>
      <c r="AX260" t="s">
        <v>856</v>
      </c>
      <c r="AY260" t="s">
        <v>440</v>
      </c>
      <c r="AZ260" t="s">
        <v>1306</v>
      </c>
    </row>
    <row r="261" spans="1:52">
      <c r="A261">
        <v>291</v>
      </c>
      <c r="B261" t="s">
        <v>1666</v>
      </c>
      <c r="C261">
        <v>291</v>
      </c>
      <c r="D261" t="s">
        <v>1667</v>
      </c>
      <c r="E261">
        <v>1742</v>
      </c>
      <c r="F261" t="s">
        <v>1668</v>
      </c>
      <c r="G261" t="s">
        <v>1013</v>
      </c>
      <c r="I261">
        <v>6</v>
      </c>
      <c r="J261">
        <v>15</v>
      </c>
      <c r="K261">
        <v>11</v>
      </c>
      <c r="S261">
        <v>80.5</v>
      </c>
      <c r="Y261">
        <v>0</v>
      </c>
      <c r="AA261">
        <v>9</v>
      </c>
      <c r="AB261">
        <v>8</v>
      </c>
      <c r="AC261">
        <v>12</v>
      </c>
      <c r="AD261">
        <v>10</v>
      </c>
      <c r="AE261">
        <v>14</v>
      </c>
      <c r="AF261">
        <v>6</v>
      </c>
      <c r="AG261">
        <v>15</v>
      </c>
      <c r="AH261">
        <v>11</v>
      </c>
      <c r="AP261">
        <v>85</v>
      </c>
      <c r="AU261">
        <v>0</v>
      </c>
      <c r="AW261" t="s">
        <v>473</v>
      </c>
      <c r="AX261" t="s">
        <v>1666</v>
      </c>
      <c r="AY261" t="s">
        <v>446</v>
      </c>
      <c r="AZ261" t="s">
        <v>1575</v>
      </c>
    </row>
    <row r="262" spans="1:52">
      <c r="A262">
        <v>291</v>
      </c>
      <c r="B262" t="s">
        <v>1666</v>
      </c>
      <c r="C262">
        <v>291</v>
      </c>
      <c r="D262" t="s">
        <v>1667</v>
      </c>
      <c r="E262">
        <v>1752</v>
      </c>
      <c r="F262" t="s">
        <v>1669</v>
      </c>
      <c r="G262" t="s">
        <v>1013</v>
      </c>
      <c r="L262">
        <v>10</v>
      </c>
      <c r="N262">
        <v>10</v>
      </c>
      <c r="O262">
        <v>5</v>
      </c>
      <c r="P262">
        <v>9</v>
      </c>
      <c r="Q262">
        <v>3</v>
      </c>
      <c r="S262">
        <v>37</v>
      </c>
      <c r="Y262">
        <v>0</v>
      </c>
      <c r="AI262">
        <v>10</v>
      </c>
      <c r="AK262">
        <v>10</v>
      </c>
      <c r="AL262">
        <v>5</v>
      </c>
      <c r="AM262">
        <v>9</v>
      </c>
      <c r="AN262">
        <v>3</v>
      </c>
      <c r="AP262">
        <v>37</v>
      </c>
      <c r="AU262">
        <v>0</v>
      </c>
      <c r="AW262" t="s">
        <v>473</v>
      </c>
      <c r="AX262" t="s">
        <v>1666</v>
      </c>
      <c r="AY262" t="s">
        <v>446</v>
      </c>
      <c r="AZ262" t="s">
        <v>1306</v>
      </c>
    </row>
    <row r="263" spans="1:52">
      <c r="A263">
        <v>292</v>
      </c>
      <c r="B263" t="s">
        <v>1670</v>
      </c>
      <c r="C263">
        <v>292</v>
      </c>
      <c r="D263" t="s">
        <v>1671</v>
      </c>
      <c r="E263">
        <v>9630</v>
      </c>
      <c r="F263" t="s">
        <v>1672</v>
      </c>
      <c r="G263" t="s">
        <v>1013</v>
      </c>
      <c r="J263">
        <v>1</v>
      </c>
      <c r="O263">
        <v>1</v>
      </c>
      <c r="P263">
        <v>1</v>
      </c>
      <c r="S263">
        <v>3</v>
      </c>
      <c r="Y263">
        <v>0</v>
      </c>
      <c r="AG263">
        <v>1</v>
      </c>
      <c r="AL263">
        <v>1</v>
      </c>
      <c r="AM263">
        <v>1</v>
      </c>
      <c r="AP263">
        <v>3</v>
      </c>
      <c r="AU263">
        <v>0</v>
      </c>
      <c r="AW263" t="s">
        <v>473</v>
      </c>
      <c r="AX263" t="s">
        <v>1673</v>
      </c>
      <c r="AY263" t="s">
        <v>444</v>
      </c>
      <c r="AZ263" t="s">
        <v>1306</v>
      </c>
    </row>
    <row r="264" spans="1:52">
      <c r="A264">
        <v>292</v>
      </c>
      <c r="B264" t="s">
        <v>1670</v>
      </c>
      <c r="C264">
        <v>5333</v>
      </c>
      <c r="D264" t="s">
        <v>1674</v>
      </c>
      <c r="E264">
        <v>7854</v>
      </c>
      <c r="F264" t="s">
        <v>1675</v>
      </c>
      <c r="G264" t="s">
        <v>1013</v>
      </c>
      <c r="L264">
        <v>2</v>
      </c>
      <c r="N264">
        <v>8</v>
      </c>
      <c r="O264">
        <v>8</v>
      </c>
      <c r="P264">
        <v>4</v>
      </c>
      <c r="Q264">
        <v>14</v>
      </c>
      <c r="S264">
        <v>36</v>
      </c>
      <c r="Y264">
        <v>0</v>
      </c>
      <c r="AI264">
        <v>2</v>
      </c>
      <c r="AK264">
        <v>8</v>
      </c>
      <c r="AL264">
        <v>8</v>
      </c>
      <c r="AM264">
        <v>4</v>
      </c>
      <c r="AN264">
        <v>14</v>
      </c>
      <c r="AP264">
        <v>36</v>
      </c>
      <c r="AU264">
        <v>0</v>
      </c>
      <c r="AW264" t="s">
        <v>473</v>
      </c>
      <c r="AX264" t="s">
        <v>853</v>
      </c>
      <c r="AY264" t="s">
        <v>444</v>
      </c>
      <c r="AZ264" t="s">
        <v>1306</v>
      </c>
    </row>
    <row r="265" spans="1:52">
      <c r="A265">
        <v>293</v>
      </c>
      <c r="B265" t="s">
        <v>1676</v>
      </c>
      <c r="C265">
        <v>293</v>
      </c>
      <c r="D265" t="s">
        <v>1677</v>
      </c>
      <c r="E265">
        <v>9334</v>
      </c>
      <c r="F265" t="s">
        <v>1678</v>
      </c>
      <c r="G265" t="s">
        <v>1013</v>
      </c>
      <c r="N265">
        <v>1</v>
      </c>
      <c r="P265">
        <v>1</v>
      </c>
      <c r="Q265">
        <v>3</v>
      </c>
      <c r="S265">
        <v>5</v>
      </c>
      <c r="Y265">
        <v>0</v>
      </c>
      <c r="AK265">
        <v>1</v>
      </c>
      <c r="AM265">
        <v>1</v>
      </c>
      <c r="AN265">
        <v>3</v>
      </c>
      <c r="AP265">
        <v>5</v>
      </c>
      <c r="AU265">
        <v>0</v>
      </c>
      <c r="AW265" t="s">
        <v>473</v>
      </c>
      <c r="AX265" t="s">
        <v>1573</v>
      </c>
      <c r="AY265" t="s">
        <v>445</v>
      </c>
      <c r="AZ265" t="s">
        <v>1306</v>
      </c>
    </row>
    <row r="266" spans="1:52">
      <c r="A266">
        <v>293</v>
      </c>
      <c r="B266" t="s">
        <v>1676</v>
      </c>
      <c r="C266">
        <v>293</v>
      </c>
      <c r="D266" t="s">
        <v>1677</v>
      </c>
      <c r="E266">
        <v>9335</v>
      </c>
      <c r="F266" t="s">
        <v>1679</v>
      </c>
      <c r="G266" t="s">
        <v>1013</v>
      </c>
      <c r="N266">
        <v>3</v>
      </c>
      <c r="O266">
        <v>1</v>
      </c>
      <c r="Q266">
        <v>1</v>
      </c>
      <c r="S266">
        <v>5</v>
      </c>
      <c r="Y266">
        <v>0</v>
      </c>
      <c r="AK266">
        <v>3</v>
      </c>
      <c r="AL266">
        <v>1</v>
      </c>
      <c r="AN266">
        <v>1</v>
      </c>
      <c r="AP266">
        <v>5</v>
      </c>
      <c r="AU266">
        <v>0</v>
      </c>
      <c r="AW266" t="s">
        <v>473</v>
      </c>
      <c r="AX266" t="s">
        <v>1573</v>
      </c>
      <c r="AY266" t="s">
        <v>445</v>
      </c>
      <c r="AZ266" t="s">
        <v>1306</v>
      </c>
    </row>
    <row r="267" spans="1:52">
      <c r="A267">
        <v>294</v>
      </c>
      <c r="B267" t="s">
        <v>1680</v>
      </c>
      <c r="C267">
        <v>294</v>
      </c>
      <c r="D267" t="s">
        <v>1681</v>
      </c>
      <c r="E267">
        <v>3339</v>
      </c>
      <c r="F267" t="s">
        <v>1653</v>
      </c>
      <c r="G267" t="s">
        <v>1013</v>
      </c>
      <c r="O267">
        <v>2</v>
      </c>
      <c r="P267">
        <v>1</v>
      </c>
      <c r="Q267">
        <v>2</v>
      </c>
      <c r="S267">
        <v>5</v>
      </c>
      <c r="Y267">
        <v>0</v>
      </c>
      <c r="AL267">
        <v>2</v>
      </c>
      <c r="AM267">
        <v>1</v>
      </c>
      <c r="AN267">
        <v>2</v>
      </c>
      <c r="AP267">
        <v>5</v>
      </c>
      <c r="AU267">
        <v>0</v>
      </c>
      <c r="AW267" t="s">
        <v>473</v>
      </c>
      <c r="AX267" t="s">
        <v>1454</v>
      </c>
      <c r="AY267" t="s">
        <v>450</v>
      </c>
      <c r="AZ267" t="s">
        <v>1306</v>
      </c>
    </row>
    <row r="268" spans="1:52">
      <c r="A268">
        <v>294</v>
      </c>
      <c r="B268" t="s">
        <v>1680</v>
      </c>
      <c r="C268">
        <v>294</v>
      </c>
      <c r="D268" t="s">
        <v>1681</v>
      </c>
      <c r="E268">
        <v>9010</v>
      </c>
      <c r="F268" t="s">
        <v>1682</v>
      </c>
      <c r="G268" t="s">
        <v>1013</v>
      </c>
      <c r="I268">
        <v>1</v>
      </c>
      <c r="J268">
        <v>1</v>
      </c>
      <c r="S268">
        <v>9.5</v>
      </c>
      <c r="Y268">
        <v>0</v>
      </c>
      <c r="AA268">
        <v>1</v>
      </c>
      <c r="AB268">
        <v>3</v>
      </c>
      <c r="AC268">
        <v>2</v>
      </c>
      <c r="AD268">
        <v>1</v>
      </c>
      <c r="AE268">
        <v>1</v>
      </c>
      <c r="AF268">
        <v>1</v>
      </c>
      <c r="AG268">
        <v>1</v>
      </c>
      <c r="AP268">
        <v>10</v>
      </c>
      <c r="AU268">
        <v>0</v>
      </c>
      <c r="AW268" t="s">
        <v>473</v>
      </c>
      <c r="AX268" t="s">
        <v>1454</v>
      </c>
      <c r="AY268" t="s">
        <v>450</v>
      </c>
      <c r="AZ268" t="s">
        <v>1575</v>
      </c>
    </row>
    <row r="269" spans="1:52">
      <c r="A269">
        <v>295</v>
      </c>
      <c r="B269" t="s">
        <v>320</v>
      </c>
      <c r="C269">
        <v>3010</v>
      </c>
      <c r="D269" t="s">
        <v>1371</v>
      </c>
      <c r="E269">
        <v>3302</v>
      </c>
      <c r="F269" t="s">
        <v>1683</v>
      </c>
      <c r="G269" t="s">
        <v>1013</v>
      </c>
      <c r="S269">
        <v>1</v>
      </c>
      <c r="Y269">
        <v>0</v>
      </c>
      <c r="AC269">
        <v>1</v>
      </c>
      <c r="AP269">
        <v>1</v>
      </c>
      <c r="AU269">
        <v>0</v>
      </c>
      <c r="AW269" t="s">
        <v>473</v>
      </c>
      <c r="AX269" t="s">
        <v>856</v>
      </c>
      <c r="AY269" t="s">
        <v>451</v>
      </c>
      <c r="AZ269" t="s">
        <v>1306</v>
      </c>
    </row>
    <row r="270" spans="1:52">
      <c r="A270">
        <v>295</v>
      </c>
      <c r="B270" t="s">
        <v>320</v>
      </c>
      <c r="C270">
        <v>3010</v>
      </c>
      <c r="D270" t="s">
        <v>1371</v>
      </c>
      <c r="E270">
        <v>3312</v>
      </c>
      <c r="F270" t="s">
        <v>1656</v>
      </c>
      <c r="G270" t="s">
        <v>1013</v>
      </c>
      <c r="S270">
        <v>0.5</v>
      </c>
      <c r="Y270">
        <v>0</v>
      </c>
      <c r="AA270">
        <v>1</v>
      </c>
      <c r="AP270">
        <v>1</v>
      </c>
      <c r="AU270">
        <v>0</v>
      </c>
      <c r="AW270" t="s">
        <v>473</v>
      </c>
      <c r="AX270" t="s">
        <v>856</v>
      </c>
      <c r="AY270" t="s">
        <v>451</v>
      </c>
      <c r="AZ270" t="s">
        <v>1575</v>
      </c>
    </row>
    <row r="271" spans="1:52">
      <c r="A271">
        <v>295</v>
      </c>
      <c r="B271" t="s">
        <v>320</v>
      </c>
      <c r="C271">
        <v>3010</v>
      </c>
      <c r="D271" t="s">
        <v>1371</v>
      </c>
      <c r="E271">
        <v>3333</v>
      </c>
      <c r="F271" t="s">
        <v>1657</v>
      </c>
      <c r="G271" t="s">
        <v>1013</v>
      </c>
      <c r="J271">
        <v>1</v>
      </c>
      <c r="L271">
        <v>1</v>
      </c>
      <c r="S271">
        <v>3</v>
      </c>
      <c r="Y271">
        <v>0</v>
      </c>
      <c r="AE271">
        <v>1</v>
      </c>
      <c r="AG271">
        <v>1</v>
      </c>
      <c r="AI271">
        <v>1</v>
      </c>
      <c r="AP271">
        <v>3</v>
      </c>
      <c r="AU271">
        <v>0</v>
      </c>
      <c r="AW271" t="s">
        <v>473</v>
      </c>
      <c r="AX271" t="s">
        <v>856</v>
      </c>
      <c r="AY271" t="s">
        <v>451</v>
      </c>
      <c r="AZ271" t="s">
        <v>1306</v>
      </c>
    </row>
    <row r="272" spans="1:52">
      <c r="A272">
        <v>295</v>
      </c>
      <c r="B272" t="s">
        <v>320</v>
      </c>
      <c r="C272">
        <v>3010</v>
      </c>
      <c r="D272" t="s">
        <v>1371</v>
      </c>
      <c r="E272">
        <v>3401</v>
      </c>
      <c r="F272" t="s">
        <v>1034</v>
      </c>
      <c r="G272" t="s">
        <v>1013</v>
      </c>
      <c r="I272">
        <v>9</v>
      </c>
      <c r="J272">
        <v>3</v>
      </c>
      <c r="K272">
        <v>3</v>
      </c>
      <c r="L272">
        <v>2</v>
      </c>
      <c r="S272">
        <v>29</v>
      </c>
      <c r="Y272">
        <v>0</v>
      </c>
      <c r="AA272">
        <v>4</v>
      </c>
      <c r="AB272">
        <v>3</v>
      </c>
      <c r="AC272">
        <v>1</v>
      </c>
      <c r="AD272">
        <v>3</v>
      </c>
      <c r="AE272">
        <v>3</v>
      </c>
      <c r="AF272">
        <v>9</v>
      </c>
      <c r="AG272">
        <v>3</v>
      </c>
      <c r="AH272">
        <v>3</v>
      </c>
      <c r="AI272">
        <v>2</v>
      </c>
      <c r="AP272">
        <v>31</v>
      </c>
      <c r="AU272">
        <v>0</v>
      </c>
      <c r="AW272" t="s">
        <v>473</v>
      </c>
      <c r="AX272" t="s">
        <v>856</v>
      </c>
      <c r="AY272" t="s">
        <v>451</v>
      </c>
      <c r="AZ272" t="s">
        <v>1575</v>
      </c>
    </row>
    <row r="273" spans="1:52">
      <c r="A273">
        <v>295</v>
      </c>
      <c r="B273" t="s">
        <v>320</v>
      </c>
      <c r="C273">
        <v>3010</v>
      </c>
      <c r="D273" t="s">
        <v>1371</v>
      </c>
      <c r="E273">
        <v>3403</v>
      </c>
      <c r="F273" t="s">
        <v>1503</v>
      </c>
      <c r="G273" t="s">
        <v>1013</v>
      </c>
      <c r="N273">
        <v>6</v>
      </c>
      <c r="O273">
        <v>2</v>
      </c>
      <c r="S273">
        <v>8</v>
      </c>
      <c r="Y273">
        <v>0</v>
      </c>
      <c r="AK273">
        <v>6</v>
      </c>
      <c r="AL273">
        <v>2</v>
      </c>
      <c r="AP273">
        <v>8</v>
      </c>
      <c r="AU273">
        <v>0</v>
      </c>
      <c r="AW273" t="s">
        <v>473</v>
      </c>
      <c r="AX273" t="s">
        <v>856</v>
      </c>
      <c r="AY273" t="s">
        <v>451</v>
      </c>
      <c r="AZ273" t="s">
        <v>1306</v>
      </c>
    </row>
    <row r="274" spans="1:52">
      <c r="A274">
        <v>295</v>
      </c>
      <c r="B274" t="s">
        <v>320</v>
      </c>
      <c r="C274">
        <v>3548</v>
      </c>
      <c r="D274" t="s">
        <v>730</v>
      </c>
      <c r="E274">
        <v>3285</v>
      </c>
      <c r="F274" t="s">
        <v>1485</v>
      </c>
      <c r="G274" t="s">
        <v>1013</v>
      </c>
      <c r="P274">
        <v>1</v>
      </c>
      <c r="S274">
        <v>1</v>
      </c>
      <c r="Y274">
        <v>0</v>
      </c>
      <c r="AM274">
        <v>1</v>
      </c>
      <c r="AP274">
        <v>1</v>
      </c>
      <c r="AU274">
        <v>0</v>
      </c>
      <c r="AW274" t="s">
        <v>473</v>
      </c>
      <c r="AX274" t="s">
        <v>851</v>
      </c>
      <c r="AY274" t="s">
        <v>451</v>
      </c>
      <c r="AZ274" t="s">
        <v>1306</v>
      </c>
    </row>
    <row r="275" spans="1:52">
      <c r="A275">
        <v>296</v>
      </c>
      <c r="B275" t="s">
        <v>628</v>
      </c>
      <c r="C275">
        <v>1022</v>
      </c>
      <c r="D275" t="s">
        <v>1684</v>
      </c>
      <c r="E275">
        <v>1758</v>
      </c>
      <c r="F275" t="s">
        <v>1020</v>
      </c>
      <c r="G275" t="s">
        <v>1013</v>
      </c>
      <c r="O275">
        <v>2</v>
      </c>
      <c r="P275">
        <v>4</v>
      </c>
      <c r="Q275">
        <v>2</v>
      </c>
      <c r="S275">
        <v>8</v>
      </c>
      <c r="Y275">
        <v>0</v>
      </c>
      <c r="AL275">
        <v>2</v>
      </c>
      <c r="AM275">
        <v>4</v>
      </c>
      <c r="AN275">
        <v>2</v>
      </c>
      <c r="AP275">
        <v>8</v>
      </c>
      <c r="AU275">
        <v>0</v>
      </c>
      <c r="AW275" t="s">
        <v>474</v>
      </c>
      <c r="AX275" t="s">
        <v>1463</v>
      </c>
      <c r="AY275" t="s">
        <v>441</v>
      </c>
      <c r="AZ275" t="s">
        <v>1306</v>
      </c>
    </row>
    <row r="276" spans="1:52">
      <c r="A276">
        <v>296</v>
      </c>
      <c r="B276" t="s">
        <v>628</v>
      </c>
      <c r="C276">
        <v>1022</v>
      </c>
      <c r="D276" t="s">
        <v>1684</v>
      </c>
      <c r="E276">
        <v>3321</v>
      </c>
      <c r="F276" t="s">
        <v>1047</v>
      </c>
      <c r="G276" t="s">
        <v>1013</v>
      </c>
      <c r="P276">
        <v>2</v>
      </c>
      <c r="Q276">
        <v>3</v>
      </c>
      <c r="S276">
        <v>5</v>
      </c>
      <c r="Y276">
        <v>0</v>
      </c>
      <c r="AM276">
        <v>2</v>
      </c>
      <c r="AN276">
        <v>3</v>
      </c>
      <c r="AP276">
        <v>5</v>
      </c>
      <c r="AU276">
        <v>0</v>
      </c>
      <c r="AW276" t="s">
        <v>474</v>
      </c>
      <c r="AX276" t="s">
        <v>1233</v>
      </c>
      <c r="AY276" t="s">
        <v>441</v>
      </c>
      <c r="AZ276" t="s">
        <v>1306</v>
      </c>
    </row>
    <row r="277" spans="1:52">
      <c r="A277">
        <v>296</v>
      </c>
      <c r="B277" t="s">
        <v>628</v>
      </c>
      <c r="C277">
        <v>1022</v>
      </c>
      <c r="D277" t="s">
        <v>1684</v>
      </c>
      <c r="E277">
        <v>3395</v>
      </c>
      <c r="F277" t="s">
        <v>1479</v>
      </c>
      <c r="G277" t="s">
        <v>1013</v>
      </c>
      <c r="Q277">
        <v>1</v>
      </c>
      <c r="S277">
        <v>1</v>
      </c>
      <c r="Y277">
        <v>0</v>
      </c>
      <c r="AN277">
        <v>1</v>
      </c>
      <c r="AP277">
        <v>1</v>
      </c>
      <c r="AU277">
        <v>0</v>
      </c>
      <c r="AW277" t="s">
        <v>474</v>
      </c>
      <c r="AX277" t="s">
        <v>1233</v>
      </c>
      <c r="AY277" t="s">
        <v>441</v>
      </c>
      <c r="AZ277" t="s">
        <v>1306</v>
      </c>
    </row>
    <row r="278" spans="1:52">
      <c r="A278">
        <v>296</v>
      </c>
      <c r="B278" t="s">
        <v>628</v>
      </c>
      <c r="C278">
        <v>1022</v>
      </c>
      <c r="D278" t="s">
        <v>1684</v>
      </c>
      <c r="E278">
        <v>3548</v>
      </c>
      <c r="F278" t="s">
        <v>1081</v>
      </c>
      <c r="G278" t="s">
        <v>1013</v>
      </c>
      <c r="O278">
        <v>2</v>
      </c>
      <c r="P278">
        <v>3</v>
      </c>
      <c r="Q278">
        <v>2</v>
      </c>
      <c r="S278">
        <v>7</v>
      </c>
      <c r="Y278">
        <v>0</v>
      </c>
      <c r="AL278">
        <v>2</v>
      </c>
      <c r="AM278">
        <v>3</v>
      </c>
      <c r="AN278">
        <v>2</v>
      </c>
      <c r="AP278">
        <v>7</v>
      </c>
      <c r="AU278">
        <v>0</v>
      </c>
      <c r="AW278" t="s">
        <v>474</v>
      </c>
      <c r="AX278" t="s">
        <v>854</v>
      </c>
      <c r="AY278" t="s">
        <v>441</v>
      </c>
      <c r="AZ278" t="s">
        <v>1306</v>
      </c>
    </row>
    <row r="279" spans="1:52">
      <c r="A279">
        <v>296</v>
      </c>
      <c r="B279" t="s">
        <v>628</v>
      </c>
      <c r="C279">
        <v>9011</v>
      </c>
      <c r="D279" t="s">
        <v>1576</v>
      </c>
      <c r="E279">
        <v>7502</v>
      </c>
      <c r="F279" t="s">
        <v>1026</v>
      </c>
      <c r="G279" t="s">
        <v>1027</v>
      </c>
      <c r="O279">
        <v>12</v>
      </c>
      <c r="P279">
        <v>8</v>
      </c>
      <c r="Q279">
        <v>2</v>
      </c>
      <c r="S279">
        <v>22</v>
      </c>
      <c r="Y279">
        <v>0</v>
      </c>
      <c r="AL279">
        <v>12</v>
      </c>
      <c r="AM279">
        <v>8</v>
      </c>
      <c r="AN279">
        <v>2</v>
      </c>
      <c r="AP279">
        <v>22</v>
      </c>
      <c r="AU279">
        <v>0</v>
      </c>
      <c r="AW279" t="s">
        <v>474</v>
      </c>
      <c r="AX279" t="s">
        <v>1397</v>
      </c>
      <c r="AY279" t="s">
        <v>441</v>
      </c>
      <c r="AZ279" t="s">
        <v>1306</v>
      </c>
    </row>
    <row r="280" spans="1:52">
      <c r="A280">
        <v>297</v>
      </c>
      <c r="B280" t="s">
        <v>632</v>
      </c>
      <c r="C280">
        <v>297</v>
      </c>
      <c r="D280" t="s">
        <v>1685</v>
      </c>
      <c r="E280">
        <v>1048</v>
      </c>
      <c r="F280" t="s">
        <v>1055</v>
      </c>
      <c r="G280" t="s">
        <v>1013</v>
      </c>
      <c r="Q280">
        <v>1</v>
      </c>
      <c r="S280">
        <v>1</v>
      </c>
      <c r="Y280">
        <v>0</v>
      </c>
      <c r="AN280">
        <v>1</v>
      </c>
      <c r="AP280">
        <v>1</v>
      </c>
      <c r="AU280">
        <v>0</v>
      </c>
      <c r="AW280" t="s">
        <v>474</v>
      </c>
      <c r="AX280" t="s">
        <v>862</v>
      </c>
      <c r="AY280" t="s">
        <v>441</v>
      </c>
      <c r="AZ280" t="s">
        <v>1306</v>
      </c>
    </row>
    <row r="281" spans="1:52">
      <c r="A281">
        <v>297</v>
      </c>
      <c r="B281" t="s">
        <v>632</v>
      </c>
      <c r="C281">
        <v>297</v>
      </c>
      <c r="D281" t="s">
        <v>1685</v>
      </c>
      <c r="E281">
        <v>3282</v>
      </c>
      <c r="F281" t="s">
        <v>1022</v>
      </c>
      <c r="G281" t="s">
        <v>1013</v>
      </c>
      <c r="P281">
        <v>1</v>
      </c>
      <c r="S281">
        <v>1</v>
      </c>
      <c r="Y281">
        <v>0</v>
      </c>
      <c r="AM281">
        <v>1</v>
      </c>
      <c r="AP281">
        <v>1</v>
      </c>
      <c r="AU281">
        <v>0</v>
      </c>
      <c r="AW281" t="s">
        <v>474</v>
      </c>
      <c r="AX281" t="s">
        <v>1233</v>
      </c>
      <c r="AY281" t="s">
        <v>441</v>
      </c>
      <c r="AZ281" t="s">
        <v>1306</v>
      </c>
    </row>
    <row r="282" spans="1:52">
      <c r="A282">
        <v>297</v>
      </c>
      <c r="B282" t="s">
        <v>632</v>
      </c>
      <c r="C282">
        <v>297</v>
      </c>
      <c r="D282" t="s">
        <v>1685</v>
      </c>
      <c r="E282">
        <v>3300</v>
      </c>
      <c r="F282" t="s">
        <v>1589</v>
      </c>
      <c r="G282" t="s">
        <v>1013</v>
      </c>
      <c r="P282">
        <v>1</v>
      </c>
      <c r="S282">
        <v>1</v>
      </c>
      <c r="Y282">
        <v>0</v>
      </c>
      <c r="AM282">
        <v>1</v>
      </c>
      <c r="AP282">
        <v>1</v>
      </c>
      <c r="AU282">
        <v>0</v>
      </c>
      <c r="AW282" t="s">
        <v>474</v>
      </c>
      <c r="AX282" t="s">
        <v>1233</v>
      </c>
      <c r="AY282" t="s">
        <v>441</v>
      </c>
      <c r="AZ282" t="s">
        <v>1306</v>
      </c>
    </row>
    <row r="283" spans="1:52">
      <c r="A283">
        <v>297</v>
      </c>
      <c r="B283" t="s">
        <v>632</v>
      </c>
      <c r="C283">
        <v>297</v>
      </c>
      <c r="D283" t="s">
        <v>1685</v>
      </c>
      <c r="E283">
        <v>3304</v>
      </c>
      <c r="F283" t="s">
        <v>1494</v>
      </c>
      <c r="G283" t="s">
        <v>1013</v>
      </c>
      <c r="P283">
        <v>1</v>
      </c>
      <c r="Q283">
        <v>2</v>
      </c>
      <c r="S283">
        <v>3</v>
      </c>
      <c r="Y283">
        <v>0</v>
      </c>
      <c r="AM283">
        <v>1</v>
      </c>
      <c r="AN283">
        <v>2</v>
      </c>
      <c r="AP283">
        <v>3</v>
      </c>
      <c r="AU283">
        <v>0</v>
      </c>
      <c r="AW283" t="s">
        <v>474</v>
      </c>
      <c r="AX283" t="s">
        <v>852</v>
      </c>
      <c r="AY283" t="s">
        <v>441</v>
      </c>
      <c r="AZ283" t="s">
        <v>1306</v>
      </c>
    </row>
    <row r="284" spans="1:52">
      <c r="A284">
        <v>297</v>
      </c>
      <c r="B284" t="s">
        <v>632</v>
      </c>
      <c r="C284">
        <v>297</v>
      </c>
      <c r="D284" t="s">
        <v>1685</v>
      </c>
      <c r="E284">
        <v>3321</v>
      </c>
      <c r="F284" t="s">
        <v>1047</v>
      </c>
      <c r="G284" t="s">
        <v>1013</v>
      </c>
      <c r="Q284">
        <v>1</v>
      </c>
      <c r="S284">
        <v>1</v>
      </c>
      <c r="Y284">
        <v>0</v>
      </c>
      <c r="AN284">
        <v>1</v>
      </c>
      <c r="AP284">
        <v>1</v>
      </c>
      <c r="AU284">
        <v>0</v>
      </c>
      <c r="AW284" t="s">
        <v>474</v>
      </c>
      <c r="AX284" t="s">
        <v>1233</v>
      </c>
      <c r="AY284" t="s">
        <v>441</v>
      </c>
      <c r="AZ284" t="s">
        <v>1306</v>
      </c>
    </row>
    <row r="285" spans="1:52">
      <c r="A285">
        <v>297</v>
      </c>
      <c r="B285" t="s">
        <v>632</v>
      </c>
      <c r="C285">
        <v>297</v>
      </c>
      <c r="D285" t="s">
        <v>1685</v>
      </c>
      <c r="E285">
        <v>3395</v>
      </c>
      <c r="F285" t="s">
        <v>1479</v>
      </c>
      <c r="G285" t="s">
        <v>1013</v>
      </c>
      <c r="Q285">
        <v>1</v>
      </c>
      <c r="S285">
        <v>1</v>
      </c>
      <c r="Y285">
        <v>0</v>
      </c>
      <c r="AN285">
        <v>1</v>
      </c>
      <c r="AP285">
        <v>1</v>
      </c>
      <c r="AU285">
        <v>0</v>
      </c>
      <c r="AW285" t="s">
        <v>474</v>
      </c>
      <c r="AX285" t="s">
        <v>1233</v>
      </c>
      <c r="AY285" t="s">
        <v>441</v>
      </c>
      <c r="AZ285" t="s">
        <v>1306</v>
      </c>
    </row>
    <row r="286" spans="1:52">
      <c r="A286">
        <v>297</v>
      </c>
      <c r="B286" t="s">
        <v>632</v>
      </c>
      <c r="C286">
        <v>297</v>
      </c>
      <c r="D286" t="s">
        <v>1685</v>
      </c>
      <c r="E286">
        <v>3411</v>
      </c>
      <c r="F286" t="s">
        <v>1036</v>
      </c>
      <c r="G286" t="s">
        <v>1013</v>
      </c>
      <c r="O286">
        <v>1</v>
      </c>
      <c r="S286">
        <v>1</v>
      </c>
      <c r="Y286">
        <v>0</v>
      </c>
      <c r="AL286">
        <v>1</v>
      </c>
      <c r="AP286">
        <v>1</v>
      </c>
      <c r="AU286">
        <v>0</v>
      </c>
      <c r="AW286" t="s">
        <v>474</v>
      </c>
      <c r="AX286" t="s">
        <v>1233</v>
      </c>
      <c r="AY286" t="s">
        <v>441</v>
      </c>
      <c r="AZ286" t="s">
        <v>1306</v>
      </c>
    </row>
    <row r="287" spans="1:52">
      <c r="A287">
        <v>297</v>
      </c>
      <c r="B287" t="s">
        <v>632</v>
      </c>
      <c r="C287">
        <v>297</v>
      </c>
      <c r="D287" t="s">
        <v>1685</v>
      </c>
      <c r="E287">
        <v>3439</v>
      </c>
      <c r="F287" t="s">
        <v>1643</v>
      </c>
      <c r="G287" t="s">
        <v>1013</v>
      </c>
      <c r="P287">
        <v>1</v>
      </c>
      <c r="S287">
        <v>1</v>
      </c>
      <c r="Y287">
        <v>0</v>
      </c>
      <c r="AM287">
        <v>1</v>
      </c>
      <c r="AP287">
        <v>1</v>
      </c>
      <c r="AU287">
        <v>0</v>
      </c>
      <c r="AW287" t="s">
        <v>474</v>
      </c>
      <c r="AX287" t="s">
        <v>853</v>
      </c>
      <c r="AY287" t="s">
        <v>441</v>
      </c>
      <c r="AZ287" t="s">
        <v>1306</v>
      </c>
    </row>
    <row r="288" spans="1:52">
      <c r="A288">
        <v>297</v>
      </c>
      <c r="B288" t="s">
        <v>632</v>
      </c>
      <c r="C288">
        <v>297</v>
      </c>
      <c r="D288" t="s">
        <v>1685</v>
      </c>
      <c r="E288">
        <v>3524</v>
      </c>
      <c r="F288" t="s">
        <v>1498</v>
      </c>
      <c r="G288" t="s">
        <v>1013</v>
      </c>
      <c r="O288">
        <v>1</v>
      </c>
      <c r="S288">
        <v>1</v>
      </c>
      <c r="Y288">
        <v>0</v>
      </c>
      <c r="AL288">
        <v>1</v>
      </c>
      <c r="AP288">
        <v>1</v>
      </c>
      <c r="AU288">
        <v>0</v>
      </c>
      <c r="AW288" t="s">
        <v>474</v>
      </c>
      <c r="AX288" t="s">
        <v>862</v>
      </c>
      <c r="AY288" t="s">
        <v>441</v>
      </c>
      <c r="AZ288" t="s">
        <v>1306</v>
      </c>
    </row>
    <row r="289" spans="1:52">
      <c r="A289">
        <v>297</v>
      </c>
      <c r="B289" t="s">
        <v>632</v>
      </c>
      <c r="C289">
        <v>297</v>
      </c>
      <c r="D289" t="s">
        <v>1685</v>
      </c>
      <c r="E289">
        <v>3548</v>
      </c>
      <c r="F289" t="s">
        <v>1081</v>
      </c>
      <c r="G289" t="s">
        <v>1013</v>
      </c>
      <c r="Q289">
        <v>1</v>
      </c>
      <c r="S289">
        <v>1</v>
      </c>
      <c r="Y289">
        <v>0</v>
      </c>
      <c r="AN289">
        <v>1</v>
      </c>
      <c r="AP289">
        <v>1</v>
      </c>
      <c r="AU289">
        <v>0</v>
      </c>
      <c r="AW289" t="s">
        <v>474</v>
      </c>
      <c r="AX289" t="s">
        <v>854</v>
      </c>
      <c r="AY289" t="s">
        <v>441</v>
      </c>
      <c r="AZ289" t="s">
        <v>1306</v>
      </c>
    </row>
    <row r="290" spans="1:52">
      <c r="A290">
        <v>297</v>
      </c>
      <c r="B290" t="s">
        <v>632</v>
      </c>
      <c r="C290">
        <v>297</v>
      </c>
      <c r="D290" t="s">
        <v>1685</v>
      </c>
      <c r="E290">
        <v>5725</v>
      </c>
      <c r="F290" t="s">
        <v>1038</v>
      </c>
      <c r="G290" t="s">
        <v>1013</v>
      </c>
      <c r="Q290">
        <v>1</v>
      </c>
      <c r="S290">
        <v>1</v>
      </c>
      <c r="Y290">
        <v>0</v>
      </c>
      <c r="AN290">
        <v>1</v>
      </c>
      <c r="AP290">
        <v>1</v>
      </c>
      <c r="AU290">
        <v>0</v>
      </c>
      <c r="AW290" t="s">
        <v>474</v>
      </c>
      <c r="AX290" t="s">
        <v>862</v>
      </c>
      <c r="AY290" t="s">
        <v>441</v>
      </c>
      <c r="AZ290" t="s">
        <v>1306</v>
      </c>
    </row>
    <row r="291" spans="1:52">
      <c r="A291">
        <v>297</v>
      </c>
      <c r="B291" t="s">
        <v>632</v>
      </c>
      <c r="C291">
        <v>316</v>
      </c>
      <c r="D291" t="s">
        <v>1686</v>
      </c>
      <c r="E291">
        <v>38054</v>
      </c>
      <c r="F291" t="s">
        <v>1687</v>
      </c>
      <c r="G291" t="s">
        <v>1013</v>
      </c>
      <c r="I291">
        <v>1</v>
      </c>
      <c r="S291">
        <v>1</v>
      </c>
      <c r="Y291">
        <v>0</v>
      </c>
      <c r="AF291">
        <v>1</v>
      </c>
      <c r="AP291">
        <v>1</v>
      </c>
      <c r="AU291">
        <v>0</v>
      </c>
      <c r="AW291" t="s">
        <v>474</v>
      </c>
      <c r="AX291" t="s">
        <v>1405</v>
      </c>
      <c r="AY291" t="s">
        <v>441</v>
      </c>
      <c r="AZ291" t="s">
        <v>1306</v>
      </c>
    </row>
    <row r="292" spans="1:52">
      <c r="A292">
        <v>297</v>
      </c>
      <c r="B292" t="s">
        <v>632</v>
      </c>
      <c r="C292">
        <v>5070</v>
      </c>
      <c r="D292" t="s">
        <v>1377</v>
      </c>
      <c r="E292">
        <v>1515</v>
      </c>
      <c r="F292" t="s">
        <v>1641</v>
      </c>
      <c r="G292" t="s">
        <v>1013</v>
      </c>
      <c r="J292">
        <v>1</v>
      </c>
      <c r="S292">
        <v>1</v>
      </c>
      <c r="Y292">
        <v>0</v>
      </c>
      <c r="AG292">
        <v>1</v>
      </c>
      <c r="AP292">
        <v>1</v>
      </c>
      <c r="AU292">
        <v>0</v>
      </c>
      <c r="AW292" t="s">
        <v>474</v>
      </c>
      <c r="AX292" t="s">
        <v>1463</v>
      </c>
      <c r="AY292" t="s">
        <v>441</v>
      </c>
      <c r="AZ292" t="s">
        <v>1306</v>
      </c>
    </row>
    <row r="293" spans="1:52">
      <c r="A293">
        <v>297</v>
      </c>
      <c r="B293" t="s">
        <v>632</v>
      </c>
      <c r="C293">
        <v>9011</v>
      </c>
      <c r="D293" t="s">
        <v>1576</v>
      </c>
      <c r="E293">
        <v>7502</v>
      </c>
      <c r="F293" t="s">
        <v>1026</v>
      </c>
      <c r="G293" t="s">
        <v>1027</v>
      </c>
      <c r="O293">
        <v>4</v>
      </c>
      <c r="P293">
        <v>10</v>
      </c>
      <c r="Q293">
        <v>8</v>
      </c>
      <c r="S293">
        <v>22</v>
      </c>
      <c r="Y293">
        <v>0</v>
      </c>
      <c r="AL293">
        <v>4</v>
      </c>
      <c r="AM293">
        <v>10</v>
      </c>
      <c r="AN293">
        <v>8</v>
      </c>
      <c r="AP293">
        <v>22</v>
      </c>
      <c r="AU293">
        <v>0</v>
      </c>
      <c r="AW293" t="s">
        <v>474</v>
      </c>
      <c r="AX293" t="s">
        <v>1397</v>
      </c>
      <c r="AY293" t="s">
        <v>441</v>
      </c>
      <c r="AZ293" t="s">
        <v>1306</v>
      </c>
    </row>
    <row r="294" spans="1:52">
      <c r="A294">
        <v>298</v>
      </c>
      <c r="B294" t="s">
        <v>633</v>
      </c>
      <c r="C294">
        <v>298</v>
      </c>
      <c r="D294" t="s">
        <v>1688</v>
      </c>
      <c r="E294">
        <v>1758</v>
      </c>
      <c r="F294" t="s">
        <v>1020</v>
      </c>
      <c r="G294" t="s">
        <v>1013</v>
      </c>
      <c r="P294">
        <v>5</v>
      </c>
      <c r="Q294">
        <v>13</v>
      </c>
      <c r="S294">
        <v>18</v>
      </c>
      <c r="Y294">
        <v>0</v>
      </c>
      <c r="AM294">
        <v>5</v>
      </c>
      <c r="AN294">
        <v>13</v>
      </c>
      <c r="AP294">
        <v>18</v>
      </c>
      <c r="AU294">
        <v>0</v>
      </c>
      <c r="AW294" t="s">
        <v>474</v>
      </c>
      <c r="AX294" t="s">
        <v>1463</v>
      </c>
      <c r="AY294" t="s">
        <v>441</v>
      </c>
      <c r="AZ294" t="s">
        <v>1306</v>
      </c>
    </row>
    <row r="295" spans="1:52">
      <c r="A295">
        <v>298</v>
      </c>
      <c r="B295" t="s">
        <v>633</v>
      </c>
      <c r="C295">
        <v>298</v>
      </c>
      <c r="D295" t="s">
        <v>1688</v>
      </c>
      <c r="E295">
        <v>3310</v>
      </c>
      <c r="F295" t="s">
        <v>1045</v>
      </c>
      <c r="G295" t="s">
        <v>1013</v>
      </c>
      <c r="P295">
        <v>1</v>
      </c>
      <c r="S295">
        <v>1</v>
      </c>
      <c r="Y295">
        <v>0</v>
      </c>
      <c r="AM295">
        <v>1</v>
      </c>
      <c r="AP295">
        <v>1</v>
      </c>
      <c r="AU295">
        <v>0</v>
      </c>
      <c r="AW295" t="s">
        <v>474</v>
      </c>
      <c r="AX295" t="s">
        <v>1233</v>
      </c>
      <c r="AY295" t="s">
        <v>441</v>
      </c>
      <c r="AZ295" t="s">
        <v>1306</v>
      </c>
    </row>
    <row r="296" spans="1:52">
      <c r="A296">
        <v>298</v>
      </c>
      <c r="B296" t="s">
        <v>633</v>
      </c>
      <c r="C296">
        <v>298</v>
      </c>
      <c r="D296" t="s">
        <v>1688</v>
      </c>
      <c r="E296">
        <v>3323</v>
      </c>
      <c r="F296" t="s">
        <v>1689</v>
      </c>
      <c r="G296" t="s">
        <v>1013</v>
      </c>
      <c r="Q296">
        <v>1</v>
      </c>
      <c r="S296">
        <v>1</v>
      </c>
      <c r="Y296">
        <v>0</v>
      </c>
      <c r="AN296">
        <v>1</v>
      </c>
      <c r="AP296">
        <v>1</v>
      </c>
      <c r="AU296">
        <v>0</v>
      </c>
      <c r="AW296" t="s">
        <v>474</v>
      </c>
      <c r="AX296" t="s">
        <v>1233</v>
      </c>
      <c r="AY296" t="s">
        <v>441</v>
      </c>
      <c r="AZ296" t="s">
        <v>1306</v>
      </c>
    </row>
    <row r="297" spans="1:52">
      <c r="A297">
        <v>298</v>
      </c>
      <c r="B297" t="s">
        <v>633</v>
      </c>
      <c r="C297">
        <v>298</v>
      </c>
      <c r="D297" t="s">
        <v>1688</v>
      </c>
      <c r="E297">
        <v>3342</v>
      </c>
      <c r="F297" t="s">
        <v>1057</v>
      </c>
      <c r="G297" t="s">
        <v>1013</v>
      </c>
      <c r="P297">
        <v>2</v>
      </c>
      <c r="S297">
        <v>2</v>
      </c>
      <c r="Y297">
        <v>0</v>
      </c>
      <c r="AM297">
        <v>2</v>
      </c>
      <c r="AP297">
        <v>2</v>
      </c>
      <c r="AU297">
        <v>0</v>
      </c>
      <c r="AW297" t="s">
        <v>474</v>
      </c>
      <c r="AX297" t="s">
        <v>1388</v>
      </c>
      <c r="AY297" t="s">
        <v>441</v>
      </c>
      <c r="AZ297" t="s">
        <v>1306</v>
      </c>
    </row>
    <row r="298" spans="1:52">
      <c r="A298">
        <v>298</v>
      </c>
      <c r="B298" t="s">
        <v>633</v>
      </c>
      <c r="C298">
        <v>298</v>
      </c>
      <c r="D298" t="s">
        <v>1688</v>
      </c>
      <c r="E298">
        <v>3351</v>
      </c>
      <c r="F298" t="s">
        <v>1486</v>
      </c>
      <c r="G298" t="s">
        <v>1013</v>
      </c>
      <c r="Q298">
        <v>1</v>
      </c>
      <c r="S298">
        <v>1</v>
      </c>
      <c r="Y298">
        <v>0</v>
      </c>
      <c r="AN298">
        <v>1</v>
      </c>
      <c r="AP298">
        <v>1</v>
      </c>
      <c r="AU298">
        <v>0</v>
      </c>
      <c r="AW298" t="s">
        <v>474</v>
      </c>
      <c r="AX298" t="s">
        <v>852</v>
      </c>
      <c r="AY298" t="s">
        <v>441</v>
      </c>
      <c r="AZ298" t="s">
        <v>1306</v>
      </c>
    </row>
    <row r="299" spans="1:52">
      <c r="A299">
        <v>298</v>
      </c>
      <c r="B299" t="s">
        <v>633</v>
      </c>
      <c r="C299">
        <v>298</v>
      </c>
      <c r="D299" t="s">
        <v>1688</v>
      </c>
      <c r="E299">
        <v>3395</v>
      </c>
      <c r="F299" t="s">
        <v>1479</v>
      </c>
      <c r="G299" t="s">
        <v>1013</v>
      </c>
      <c r="Q299">
        <v>1</v>
      </c>
      <c r="S299">
        <v>1</v>
      </c>
      <c r="Y299">
        <v>0</v>
      </c>
      <c r="AN299">
        <v>1</v>
      </c>
      <c r="AP299">
        <v>1</v>
      </c>
      <c r="AU299">
        <v>0</v>
      </c>
      <c r="AW299" t="s">
        <v>474</v>
      </c>
      <c r="AX299" t="s">
        <v>1233</v>
      </c>
      <c r="AY299" t="s">
        <v>441</v>
      </c>
      <c r="AZ299" t="s">
        <v>1306</v>
      </c>
    </row>
    <row r="300" spans="1:52">
      <c r="A300">
        <v>298</v>
      </c>
      <c r="B300" t="s">
        <v>633</v>
      </c>
      <c r="C300">
        <v>298</v>
      </c>
      <c r="D300" t="s">
        <v>1688</v>
      </c>
      <c r="E300">
        <v>5725</v>
      </c>
      <c r="F300" t="s">
        <v>1038</v>
      </c>
      <c r="G300" t="s">
        <v>1013</v>
      </c>
      <c r="Q300">
        <v>1</v>
      </c>
      <c r="S300">
        <v>1</v>
      </c>
      <c r="Y300">
        <v>0</v>
      </c>
      <c r="AN300">
        <v>1</v>
      </c>
      <c r="AP300">
        <v>1</v>
      </c>
      <c r="AU300">
        <v>0</v>
      </c>
      <c r="AW300" t="s">
        <v>474</v>
      </c>
      <c r="AX300" t="s">
        <v>862</v>
      </c>
      <c r="AY300" t="s">
        <v>441</v>
      </c>
      <c r="AZ300" t="s">
        <v>1306</v>
      </c>
    </row>
    <row r="301" spans="1:52">
      <c r="A301">
        <v>298</v>
      </c>
      <c r="B301" t="s">
        <v>633</v>
      </c>
      <c r="C301">
        <v>298</v>
      </c>
      <c r="D301" t="s">
        <v>1688</v>
      </c>
      <c r="E301">
        <v>9331</v>
      </c>
      <c r="F301" t="s">
        <v>1690</v>
      </c>
      <c r="G301" t="s">
        <v>1013</v>
      </c>
      <c r="Q301">
        <v>1</v>
      </c>
      <c r="S301">
        <v>1</v>
      </c>
      <c r="Y301">
        <v>0</v>
      </c>
      <c r="AN301">
        <v>1</v>
      </c>
      <c r="AP301">
        <v>1</v>
      </c>
      <c r="AU301">
        <v>0</v>
      </c>
      <c r="AW301" t="s">
        <v>474</v>
      </c>
      <c r="AX301" t="s">
        <v>1691</v>
      </c>
      <c r="AY301" t="s">
        <v>441</v>
      </c>
      <c r="AZ301" t="s">
        <v>1306</v>
      </c>
    </row>
    <row r="302" spans="1:52">
      <c r="A302">
        <v>298</v>
      </c>
      <c r="B302" t="s">
        <v>633</v>
      </c>
      <c r="C302">
        <v>9011</v>
      </c>
      <c r="D302" t="s">
        <v>1576</v>
      </c>
      <c r="E302">
        <v>7502</v>
      </c>
      <c r="F302" t="s">
        <v>1026</v>
      </c>
      <c r="G302" t="s">
        <v>1027</v>
      </c>
      <c r="O302">
        <v>3</v>
      </c>
      <c r="P302">
        <v>4</v>
      </c>
      <c r="Q302">
        <v>8</v>
      </c>
      <c r="S302">
        <v>15</v>
      </c>
      <c r="Y302">
        <v>0</v>
      </c>
      <c r="AL302">
        <v>3</v>
      </c>
      <c r="AM302">
        <v>4</v>
      </c>
      <c r="AN302">
        <v>8</v>
      </c>
      <c r="AP302">
        <v>15</v>
      </c>
      <c r="AU302">
        <v>0</v>
      </c>
      <c r="AW302" t="s">
        <v>474</v>
      </c>
      <c r="AX302" t="s">
        <v>1397</v>
      </c>
      <c r="AY302" t="s">
        <v>441</v>
      </c>
      <c r="AZ302" t="s">
        <v>1306</v>
      </c>
    </row>
    <row r="303" spans="1:52">
      <c r="A303">
        <v>299</v>
      </c>
      <c r="B303" t="s">
        <v>631</v>
      </c>
      <c r="C303">
        <v>285</v>
      </c>
      <c r="D303" t="s">
        <v>1651</v>
      </c>
      <c r="E303">
        <v>7827</v>
      </c>
      <c r="F303" t="s">
        <v>1654</v>
      </c>
      <c r="G303" t="s">
        <v>1013</v>
      </c>
      <c r="N303">
        <v>1</v>
      </c>
      <c r="S303">
        <v>1</v>
      </c>
      <c r="Y303">
        <v>0</v>
      </c>
      <c r="AK303">
        <v>1</v>
      </c>
      <c r="AP303">
        <v>1</v>
      </c>
      <c r="AU303">
        <v>0</v>
      </c>
      <c r="AW303" t="s">
        <v>474</v>
      </c>
      <c r="AX303" t="s">
        <v>1454</v>
      </c>
      <c r="AY303" t="s">
        <v>441</v>
      </c>
      <c r="AZ303" t="s">
        <v>1306</v>
      </c>
    </row>
    <row r="304" spans="1:52">
      <c r="A304">
        <v>299</v>
      </c>
      <c r="B304" t="s">
        <v>631</v>
      </c>
      <c r="C304">
        <v>9011</v>
      </c>
      <c r="D304" t="s">
        <v>1576</v>
      </c>
      <c r="E304">
        <v>7502</v>
      </c>
      <c r="F304" t="s">
        <v>1026</v>
      </c>
      <c r="G304" t="s">
        <v>1027</v>
      </c>
      <c r="O304">
        <v>4</v>
      </c>
      <c r="P304">
        <v>4</v>
      </c>
      <c r="Q304">
        <v>4</v>
      </c>
      <c r="S304">
        <v>12</v>
      </c>
      <c r="Y304">
        <v>0</v>
      </c>
      <c r="AL304">
        <v>4</v>
      </c>
      <c r="AM304">
        <v>4</v>
      </c>
      <c r="AN304">
        <v>4</v>
      </c>
      <c r="AP304">
        <v>12</v>
      </c>
      <c r="AU304">
        <v>0</v>
      </c>
      <c r="AW304" t="s">
        <v>474</v>
      </c>
      <c r="AX304" t="s">
        <v>1397</v>
      </c>
      <c r="AY304" t="s">
        <v>441</v>
      </c>
      <c r="AZ304" t="s">
        <v>1306</v>
      </c>
    </row>
    <row r="305" spans="1:52">
      <c r="A305">
        <v>300</v>
      </c>
      <c r="B305" t="s">
        <v>630</v>
      </c>
      <c r="C305">
        <v>9011</v>
      </c>
      <c r="D305" t="s">
        <v>1576</v>
      </c>
      <c r="E305">
        <v>7502</v>
      </c>
      <c r="F305" t="s">
        <v>1026</v>
      </c>
      <c r="G305" t="s">
        <v>1027</v>
      </c>
      <c r="Q305">
        <v>2</v>
      </c>
      <c r="S305">
        <v>2</v>
      </c>
      <c r="Y305">
        <v>0</v>
      </c>
      <c r="AN305">
        <v>2</v>
      </c>
      <c r="AP305">
        <v>2</v>
      </c>
      <c r="AU305">
        <v>0</v>
      </c>
      <c r="AW305" t="s">
        <v>474</v>
      </c>
      <c r="AX305" t="s">
        <v>1397</v>
      </c>
      <c r="AY305" t="s">
        <v>441</v>
      </c>
      <c r="AZ305" t="s">
        <v>1306</v>
      </c>
    </row>
    <row r="306" spans="1:52">
      <c r="A306">
        <v>301</v>
      </c>
      <c r="B306" t="s">
        <v>627</v>
      </c>
      <c r="C306">
        <v>318</v>
      </c>
      <c r="D306" t="s">
        <v>1692</v>
      </c>
      <c r="E306">
        <v>1758</v>
      </c>
      <c r="F306" t="s">
        <v>1020</v>
      </c>
      <c r="G306" t="s">
        <v>1013</v>
      </c>
      <c r="O306">
        <v>1</v>
      </c>
      <c r="S306">
        <v>1</v>
      </c>
      <c r="Y306">
        <v>0</v>
      </c>
      <c r="AL306">
        <v>1</v>
      </c>
      <c r="AP306">
        <v>1</v>
      </c>
      <c r="AU306">
        <v>0</v>
      </c>
      <c r="AW306" t="s">
        <v>474</v>
      </c>
      <c r="AX306" t="s">
        <v>1463</v>
      </c>
      <c r="AY306" t="s">
        <v>441</v>
      </c>
      <c r="AZ306" t="s">
        <v>1306</v>
      </c>
    </row>
    <row r="307" spans="1:52">
      <c r="A307">
        <v>301</v>
      </c>
      <c r="B307" t="s">
        <v>627</v>
      </c>
      <c r="C307">
        <v>318</v>
      </c>
      <c r="D307" t="s">
        <v>1692</v>
      </c>
      <c r="E307">
        <v>3557</v>
      </c>
      <c r="F307" t="s">
        <v>1693</v>
      </c>
      <c r="G307" t="s">
        <v>1013</v>
      </c>
      <c r="P307">
        <v>1</v>
      </c>
      <c r="S307">
        <v>1</v>
      </c>
      <c r="Y307">
        <v>0</v>
      </c>
      <c r="AM307">
        <v>1</v>
      </c>
      <c r="AP307">
        <v>1</v>
      </c>
      <c r="AU307">
        <v>0</v>
      </c>
      <c r="AW307" t="s">
        <v>474</v>
      </c>
      <c r="AX307" t="s">
        <v>1463</v>
      </c>
      <c r="AY307" t="s">
        <v>441</v>
      </c>
      <c r="AZ307" t="s">
        <v>1306</v>
      </c>
    </row>
    <row r="308" spans="1:52">
      <c r="A308">
        <v>302</v>
      </c>
      <c r="B308" t="s">
        <v>629</v>
      </c>
      <c r="C308">
        <v>302</v>
      </c>
      <c r="D308" t="s">
        <v>1694</v>
      </c>
      <c r="E308">
        <v>5725</v>
      </c>
      <c r="F308" t="s">
        <v>1038</v>
      </c>
      <c r="G308" t="s">
        <v>1013</v>
      </c>
      <c r="P308">
        <v>2</v>
      </c>
      <c r="S308">
        <v>2</v>
      </c>
      <c r="Y308">
        <v>0</v>
      </c>
      <c r="AM308">
        <v>2</v>
      </c>
      <c r="AP308">
        <v>2</v>
      </c>
      <c r="AU308">
        <v>0</v>
      </c>
      <c r="AW308" t="s">
        <v>474</v>
      </c>
      <c r="AX308" t="s">
        <v>862</v>
      </c>
      <c r="AY308" t="s">
        <v>441</v>
      </c>
      <c r="AZ308" t="s">
        <v>1306</v>
      </c>
    </row>
    <row r="309" spans="1:52">
      <c r="A309">
        <v>302</v>
      </c>
      <c r="B309" t="s">
        <v>629</v>
      </c>
      <c r="C309">
        <v>9011</v>
      </c>
      <c r="D309" t="s">
        <v>1576</v>
      </c>
      <c r="E309">
        <v>7502</v>
      </c>
      <c r="F309" t="s">
        <v>1026</v>
      </c>
      <c r="G309" t="s">
        <v>1027</v>
      </c>
      <c r="O309">
        <v>1</v>
      </c>
      <c r="P309">
        <v>2</v>
      </c>
      <c r="Q309">
        <v>1</v>
      </c>
      <c r="S309">
        <v>4</v>
      </c>
      <c r="Y309">
        <v>0</v>
      </c>
      <c r="AL309">
        <v>1</v>
      </c>
      <c r="AM309">
        <v>2</v>
      </c>
      <c r="AN309">
        <v>1</v>
      </c>
      <c r="AP309">
        <v>4</v>
      </c>
      <c r="AU309">
        <v>0</v>
      </c>
      <c r="AW309" t="s">
        <v>474</v>
      </c>
      <c r="AX309" t="s">
        <v>1397</v>
      </c>
      <c r="AY309" t="s">
        <v>441</v>
      </c>
      <c r="AZ309" t="s">
        <v>1306</v>
      </c>
    </row>
    <row r="310" spans="1:52">
      <c r="A310">
        <v>304</v>
      </c>
      <c r="B310" t="s">
        <v>641</v>
      </c>
      <c r="C310">
        <v>1022</v>
      </c>
      <c r="D310" t="s">
        <v>1684</v>
      </c>
      <c r="E310">
        <v>3548</v>
      </c>
      <c r="F310" t="s">
        <v>1081</v>
      </c>
      <c r="G310" t="s">
        <v>1013</v>
      </c>
      <c r="Q310">
        <v>1</v>
      </c>
      <c r="S310">
        <v>1</v>
      </c>
      <c r="Y310">
        <v>0</v>
      </c>
      <c r="AN310">
        <v>1</v>
      </c>
      <c r="AP310">
        <v>1</v>
      </c>
      <c r="AU310">
        <v>0</v>
      </c>
      <c r="AW310" t="s">
        <v>474</v>
      </c>
      <c r="AX310" t="s">
        <v>854</v>
      </c>
      <c r="AY310" t="s">
        <v>441</v>
      </c>
      <c r="AZ310" t="s">
        <v>1306</v>
      </c>
    </row>
    <row r="311" spans="1:52">
      <c r="A311">
        <v>304</v>
      </c>
      <c r="B311" t="s">
        <v>641</v>
      </c>
      <c r="C311">
        <v>3548</v>
      </c>
      <c r="D311" t="s">
        <v>730</v>
      </c>
      <c r="E311">
        <v>1758</v>
      </c>
      <c r="F311" t="s">
        <v>1020</v>
      </c>
      <c r="G311" t="s">
        <v>1013</v>
      </c>
      <c r="O311">
        <v>7</v>
      </c>
      <c r="P311">
        <v>1</v>
      </c>
      <c r="Q311">
        <v>1</v>
      </c>
      <c r="S311">
        <v>9</v>
      </c>
      <c r="Y311">
        <v>0</v>
      </c>
      <c r="AL311">
        <v>7</v>
      </c>
      <c r="AM311">
        <v>1</v>
      </c>
      <c r="AN311">
        <v>1</v>
      </c>
      <c r="AP311">
        <v>9</v>
      </c>
      <c r="AU311">
        <v>0</v>
      </c>
      <c r="AW311" t="s">
        <v>474</v>
      </c>
      <c r="AX311" t="s">
        <v>1463</v>
      </c>
      <c r="AY311" t="s">
        <v>441</v>
      </c>
      <c r="AZ311" t="s">
        <v>1306</v>
      </c>
    </row>
    <row r="312" spans="1:52">
      <c r="A312">
        <v>304</v>
      </c>
      <c r="B312" t="s">
        <v>641</v>
      </c>
      <c r="C312">
        <v>3548</v>
      </c>
      <c r="D312" t="s">
        <v>730</v>
      </c>
      <c r="E312">
        <v>1765</v>
      </c>
      <c r="F312" t="s">
        <v>1080</v>
      </c>
      <c r="G312" t="s">
        <v>1013</v>
      </c>
      <c r="P312">
        <v>1</v>
      </c>
      <c r="Q312">
        <v>1</v>
      </c>
      <c r="S312">
        <v>2</v>
      </c>
      <c r="Y312">
        <v>0</v>
      </c>
      <c r="AM312">
        <v>1</v>
      </c>
      <c r="AN312">
        <v>1</v>
      </c>
      <c r="AP312">
        <v>2</v>
      </c>
      <c r="AU312">
        <v>0</v>
      </c>
      <c r="AW312" t="s">
        <v>474</v>
      </c>
      <c r="AX312" t="s">
        <v>1463</v>
      </c>
      <c r="AY312" t="s">
        <v>441</v>
      </c>
      <c r="AZ312" t="s">
        <v>1306</v>
      </c>
    </row>
    <row r="313" spans="1:52">
      <c r="A313">
        <v>304</v>
      </c>
      <c r="B313" t="s">
        <v>641</v>
      </c>
      <c r="C313">
        <v>3548</v>
      </c>
      <c r="D313" t="s">
        <v>730</v>
      </c>
      <c r="E313">
        <v>3548</v>
      </c>
      <c r="F313" t="s">
        <v>1081</v>
      </c>
      <c r="G313" t="s">
        <v>1013</v>
      </c>
      <c r="N313">
        <v>2</v>
      </c>
      <c r="O313">
        <v>5</v>
      </c>
      <c r="P313">
        <v>2</v>
      </c>
      <c r="Q313">
        <v>2</v>
      </c>
      <c r="S313">
        <v>11</v>
      </c>
      <c r="Y313">
        <v>0</v>
      </c>
      <c r="AK313">
        <v>2</v>
      </c>
      <c r="AL313">
        <v>5</v>
      </c>
      <c r="AM313">
        <v>2</v>
      </c>
      <c r="AN313">
        <v>2</v>
      </c>
      <c r="AP313">
        <v>11</v>
      </c>
      <c r="AU313">
        <v>0</v>
      </c>
      <c r="AW313" t="s">
        <v>474</v>
      </c>
      <c r="AX313" t="s">
        <v>854</v>
      </c>
      <c r="AY313" t="s">
        <v>441</v>
      </c>
      <c r="AZ313" t="s">
        <v>1306</v>
      </c>
    </row>
    <row r="314" spans="1:52">
      <c r="A314">
        <v>305</v>
      </c>
      <c r="B314" t="s">
        <v>404</v>
      </c>
      <c r="C314">
        <v>3548</v>
      </c>
      <c r="D314" t="s">
        <v>730</v>
      </c>
      <c r="E314">
        <v>3563</v>
      </c>
      <c r="F314" t="s">
        <v>1267</v>
      </c>
      <c r="G314" t="s">
        <v>1013</v>
      </c>
      <c r="H314">
        <v>1</v>
      </c>
      <c r="J314">
        <v>1</v>
      </c>
      <c r="K314">
        <v>1</v>
      </c>
      <c r="N314">
        <v>1</v>
      </c>
      <c r="O314">
        <v>4</v>
      </c>
      <c r="P314">
        <v>4</v>
      </c>
      <c r="Q314">
        <v>2</v>
      </c>
      <c r="S314">
        <v>15</v>
      </c>
      <c r="Y314">
        <v>0</v>
      </c>
      <c r="Z314">
        <v>2</v>
      </c>
      <c r="AE314">
        <v>1</v>
      </c>
      <c r="AG314">
        <v>1</v>
      </c>
      <c r="AH314">
        <v>1</v>
      </c>
      <c r="AK314">
        <v>1</v>
      </c>
      <c r="AL314">
        <v>4</v>
      </c>
      <c r="AM314">
        <v>4</v>
      </c>
      <c r="AN314">
        <v>2</v>
      </c>
      <c r="AP314">
        <v>16</v>
      </c>
      <c r="AU314">
        <v>0</v>
      </c>
      <c r="AW314" t="s">
        <v>474</v>
      </c>
      <c r="AX314" t="s">
        <v>1463</v>
      </c>
      <c r="AY314" t="s">
        <v>441</v>
      </c>
      <c r="AZ314" t="s">
        <v>1306</v>
      </c>
    </row>
    <row r="315" spans="1:52">
      <c r="A315">
        <v>307</v>
      </c>
      <c r="B315" t="s">
        <v>636</v>
      </c>
      <c r="C315">
        <v>9011</v>
      </c>
      <c r="D315" t="s">
        <v>1576</v>
      </c>
      <c r="E315">
        <v>7502</v>
      </c>
      <c r="F315" t="s">
        <v>1026</v>
      </c>
      <c r="G315" t="s">
        <v>1027</v>
      </c>
      <c r="P315">
        <v>1</v>
      </c>
      <c r="Q315">
        <v>2</v>
      </c>
      <c r="S315">
        <v>3</v>
      </c>
      <c r="Y315">
        <v>0</v>
      </c>
      <c r="AM315">
        <v>1</v>
      </c>
      <c r="AN315">
        <v>2</v>
      </c>
      <c r="AP315">
        <v>3</v>
      </c>
      <c r="AU315">
        <v>0</v>
      </c>
      <c r="AW315" s="383" t="e">
        <v>#N/A</v>
      </c>
      <c r="AX315" t="s">
        <v>1397</v>
      </c>
      <c r="AY315" t="s">
        <v>1633</v>
      </c>
      <c r="AZ315" t="s">
        <v>1306</v>
      </c>
    </row>
    <row r="316" spans="1:52" ht="15">
      <c r="A316">
        <v>308</v>
      </c>
      <c r="B316" t="s">
        <v>1695</v>
      </c>
      <c r="C316">
        <v>1022</v>
      </c>
      <c r="D316" t="s">
        <v>1684</v>
      </c>
      <c r="E316" s="383">
        <v>1186</v>
      </c>
      <c r="F316" s="383" t="s">
        <v>1696</v>
      </c>
      <c r="G316" s="383" t="s">
        <v>1697</v>
      </c>
      <c r="H316" s="383"/>
      <c r="I316" s="383"/>
      <c r="J316" s="383"/>
      <c r="K316" s="383"/>
      <c r="L316" s="383"/>
      <c r="M316" s="383"/>
      <c r="N316" s="383"/>
      <c r="O316" s="383"/>
      <c r="P316" s="383"/>
      <c r="Q316" s="486">
        <v>1</v>
      </c>
      <c r="R316" s="383"/>
      <c r="S316">
        <v>1</v>
      </c>
      <c r="T316" s="383"/>
      <c r="U316" s="383"/>
      <c r="V316" s="383"/>
      <c r="W316" s="383"/>
      <c r="X316" s="383"/>
      <c r="Y316">
        <v>0</v>
      </c>
      <c r="Z316" s="383"/>
      <c r="AA316" s="383"/>
      <c r="AB316" s="383"/>
      <c r="AC316" s="383"/>
      <c r="AD316" s="383"/>
      <c r="AE316" s="383"/>
      <c r="AF316" s="383"/>
      <c r="AG316" s="383"/>
      <c r="AH316" s="383"/>
      <c r="AI316" s="383"/>
      <c r="AJ316" s="383"/>
      <c r="AK316" s="383"/>
      <c r="AL316" s="383"/>
      <c r="AM316" s="383"/>
      <c r="AN316" s="486">
        <v>1</v>
      </c>
      <c r="AO316" s="383"/>
      <c r="AP316">
        <v>1</v>
      </c>
      <c r="AQ316" s="383"/>
      <c r="AR316" s="383"/>
      <c r="AS316" s="383"/>
      <c r="AT316" s="383"/>
      <c r="AU316">
        <v>0</v>
      </c>
      <c r="AV316" s="383"/>
      <c r="AW316" t="s">
        <v>474</v>
      </c>
      <c r="AX316" s="486" t="s">
        <v>1463</v>
      </c>
      <c r="AY316" s="486" t="s">
        <v>441</v>
      </c>
      <c r="AZ316" s="383" t="s">
        <v>1306</v>
      </c>
    </row>
    <row r="317" spans="1:52">
      <c r="A317">
        <v>308</v>
      </c>
      <c r="B317" t="s">
        <v>1695</v>
      </c>
      <c r="C317">
        <v>1022</v>
      </c>
      <c r="D317" t="s">
        <v>1684</v>
      </c>
      <c r="E317">
        <v>1758</v>
      </c>
      <c r="F317" t="s">
        <v>1020</v>
      </c>
      <c r="G317" t="s">
        <v>1013</v>
      </c>
      <c r="N317">
        <v>2</v>
      </c>
      <c r="O317">
        <v>6</v>
      </c>
      <c r="P317">
        <v>4</v>
      </c>
      <c r="Q317">
        <v>7</v>
      </c>
      <c r="S317">
        <v>19</v>
      </c>
      <c r="Y317">
        <v>0</v>
      </c>
      <c r="AK317">
        <v>2</v>
      </c>
      <c r="AL317">
        <v>6</v>
      </c>
      <c r="AM317">
        <v>4</v>
      </c>
      <c r="AN317">
        <v>7</v>
      </c>
      <c r="AP317">
        <v>19</v>
      </c>
      <c r="AU317">
        <v>0</v>
      </c>
      <c r="AW317" t="s">
        <v>474</v>
      </c>
      <c r="AX317" t="s">
        <v>1463</v>
      </c>
      <c r="AY317" t="s">
        <v>441</v>
      </c>
      <c r="AZ317" t="s">
        <v>1306</v>
      </c>
    </row>
    <row r="318" spans="1:52">
      <c r="A318">
        <v>308</v>
      </c>
      <c r="B318" t="s">
        <v>1695</v>
      </c>
      <c r="C318">
        <v>1022</v>
      </c>
      <c r="D318" t="s">
        <v>1684</v>
      </c>
      <c r="E318">
        <v>3449</v>
      </c>
      <c r="F318" t="s">
        <v>1015</v>
      </c>
      <c r="G318" t="s">
        <v>1013</v>
      </c>
      <c r="Q318">
        <v>1</v>
      </c>
      <c r="S318">
        <v>1</v>
      </c>
      <c r="Y318">
        <v>0</v>
      </c>
      <c r="AN318">
        <v>1</v>
      </c>
      <c r="AP318">
        <v>1</v>
      </c>
      <c r="AU318">
        <v>0</v>
      </c>
      <c r="AW318" t="s">
        <v>474</v>
      </c>
      <c r="AX318" t="s">
        <v>1384</v>
      </c>
      <c r="AY318" t="s">
        <v>441</v>
      </c>
      <c r="AZ318" t="s">
        <v>1306</v>
      </c>
    </row>
    <row r="319" spans="1:52">
      <c r="A319">
        <v>308</v>
      </c>
      <c r="B319" t="s">
        <v>1695</v>
      </c>
      <c r="C319">
        <v>1022</v>
      </c>
      <c r="D319" t="s">
        <v>1684</v>
      </c>
      <c r="E319">
        <v>3548</v>
      </c>
      <c r="F319" t="s">
        <v>1081</v>
      </c>
      <c r="G319" t="s">
        <v>1013</v>
      </c>
      <c r="P319">
        <v>2</v>
      </c>
      <c r="Q319">
        <v>2</v>
      </c>
      <c r="S319">
        <v>4</v>
      </c>
      <c r="Y319">
        <v>0</v>
      </c>
      <c r="AM319">
        <v>2</v>
      </c>
      <c r="AN319">
        <v>2</v>
      </c>
      <c r="AP319">
        <v>4</v>
      </c>
      <c r="AU319">
        <v>0</v>
      </c>
      <c r="AW319" t="s">
        <v>474</v>
      </c>
      <c r="AX319" t="s">
        <v>854</v>
      </c>
      <c r="AY319" t="s">
        <v>441</v>
      </c>
      <c r="AZ319" t="s">
        <v>1306</v>
      </c>
    </row>
    <row r="320" spans="1:52">
      <c r="A320">
        <v>308</v>
      </c>
      <c r="B320" t="s">
        <v>1695</v>
      </c>
      <c r="C320">
        <v>1022</v>
      </c>
      <c r="D320" t="s">
        <v>1684</v>
      </c>
      <c r="E320">
        <v>3551</v>
      </c>
      <c r="F320" t="s">
        <v>1698</v>
      </c>
      <c r="G320" t="s">
        <v>1013</v>
      </c>
      <c r="P320">
        <v>1</v>
      </c>
      <c r="S320">
        <v>1</v>
      </c>
      <c r="Y320">
        <v>0</v>
      </c>
      <c r="AM320">
        <v>1</v>
      </c>
      <c r="AP320">
        <v>1</v>
      </c>
      <c r="AU320">
        <v>0</v>
      </c>
      <c r="AW320" t="s">
        <v>474</v>
      </c>
      <c r="AX320" t="s">
        <v>1463</v>
      </c>
      <c r="AY320" t="s">
        <v>441</v>
      </c>
      <c r="AZ320" t="s">
        <v>1306</v>
      </c>
    </row>
    <row r="321" spans="1:52">
      <c r="A321">
        <v>308</v>
      </c>
      <c r="B321" t="s">
        <v>1695</v>
      </c>
      <c r="C321">
        <v>5070</v>
      </c>
      <c r="D321" t="s">
        <v>1377</v>
      </c>
      <c r="E321">
        <v>1766</v>
      </c>
      <c r="F321" t="s">
        <v>1699</v>
      </c>
      <c r="G321" t="s">
        <v>1013</v>
      </c>
      <c r="H321">
        <v>4.5</v>
      </c>
      <c r="I321">
        <v>8</v>
      </c>
      <c r="J321">
        <v>12</v>
      </c>
      <c r="K321">
        <v>7</v>
      </c>
      <c r="L321">
        <v>5</v>
      </c>
      <c r="N321">
        <v>12</v>
      </c>
      <c r="O321">
        <v>4</v>
      </c>
      <c r="P321">
        <v>2</v>
      </c>
      <c r="Q321">
        <v>1</v>
      </c>
      <c r="S321">
        <v>96.5</v>
      </c>
      <c r="Y321">
        <v>0</v>
      </c>
      <c r="Z321">
        <v>9</v>
      </c>
      <c r="AA321">
        <v>10</v>
      </c>
      <c r="AB321">
        <v>12</v>
      </c>
      <c r="AC321">
        <v>7</v>
      </c>
      <c r="AD321">
        <v>6</v>
      </c>
      <c r="AE321">
        <v>11</v>
      </c>
      <c r="AF321">
        <v>8</v>
      </c>
      <c r="AG321">
        <v>12</v>
      </c>
      <c r="AH321">
        <v>7</v>
      </c>
      <c r="AI321">
        <v>5</v>
      </c>
      <c r="AK321">
        <v>12</v>
      </c>
      <c r="AL321">
        <v>4</v>
      </c>
      <c r="AM321">
        <v>2</v>
      </c>
      <c r="AN321">
        <v>1</v>
      </c>
      <c r="AP321">
        <v>106</v>
      </c>
      <c r="AU321">
        <v>0</v>
      </c>
      <c r="AW321" t="s">
        <v>474</v>
      </c>
      <c r="AX321" t="s">
        <v>1463</v>
      </c>
      <c r="AY321" t="s">
        <v>441</v>
      </c>
      <c r="AZ321" t="s">
        <v>1575</v>
      </c>
    </row>
    <row r="322" spans="1:52">
      <c r="A322">
        <v>309</v>
      </c>
      <c r="B322" t="s">
        <v>645</v>
      </c>
      <c r="C322">
        <v>5070</v>
      </c>
      <c r="D322" t="s">
        <v>1377</v>
      </c>
      <c r="E322">
        <v>1515</v>
      </c>
      <c r="F322" t="s">
        <v>1641</v>
      </c>
      <c r="G322" t="s">
        <v>1013</v>
      </c>
      <c r="K322">
        <v>1</v>
      </c>
      <c r="S322">
        <v>1</v>
      </c>
      <c r="Y322">
        <v>0</v>
      </c>
      <c r="AH322">
        <v>1</v>
      </c>
      <c r="AP322">
        <v>1</v>
      </c>
      <c r="AU322">
        <v>0</v>
      </c>
      <c r="AW322" t="s">
        <v>474</v>
      </c>
      <c r="AX322" t="s">
        <v>1463</v>
      </c>
      <c r="AY322" t="s">
        <v>441</v>
      </c>
      <c r="AZ322" t="s">
        <v>1306</v>
      </c>
    </row>
    <row r="323" spans="1:52">
      <c r="A323">
        <v>310</v>
      </c>
      <c r="B323" t="s">
        <v>1700</v>
      </c>
      <c r="C323">
        <v>5070</v>
      </c>
      <c r="D323" t="s">
        <v>1377</v>
      </c>
      <c r="E323">
        <v>1515</v>
      </c>
      <c r="F323" t="s">
        <v>1641</v>
      </c>
      <c r="G323" t="s">
        <v>1013</v>
      </c>
      <c r="H323">
        <v>14.5</v>
      </c>
      <c r="I323">
        <v>23</v>
      </c>
      <c r="J323">
        <v>22</v>
      </c>
      <c r="K323">
        <v>15</v>
      </c>
      <c r="L323">
        <v>19</v>
      </c>
      <c r="N323">
        <v>19</v>
      </c>
      <c r="O323">
        <v>17</v>
      </c>
      <c r="P323">
        <v>15</v>
      </c>
      <c r="Q323">
        <v>14</v>
      </c>
      <c r="S323">
        <v>275</v>
      </c>
      <c r="Y323">
        <v>0</v>
      </c>
      <c r="Z323">
        <v>29</v>
      </c>
      <c r="AA323">
        <v>25</v>
      </c>
      <c r="AB323">
        <v>31</v>
      </c>
      <c r="AC323">
        <v>24</v>
      </c>
      <c r="AD323">
        <v>29</v>
      </c>
      <c r="AE323">
        <v>20</v>
      </c>
      <c r="AF323">
        <v>23</v>
      </c>
      <c r="AG323">
        <v>22</v>
      </c>
      <c r="AH323">
        <v>15</v>
      </c>
      <c r="AI323">
        <v>19</v>
      </c>
      <c r="AK323">
        <v>19</v>
      </c>
      <c r="AL323">
        <v>17</v>
      </c>
      <c r="AM323">
        <v>15</v>
      </c>
      <c r="AN323">
        <v>14</v>
      </c>
      <c r="AP323">
        <v>302</v>
      </c>
      <c r="AU323">
        <v>0</v>
      </c>
      <c r="AW323" t="s">
        <v>474</v>
      </c>
      <c r="AX323" t="s">
        <v>1463</v>
      </c>
      <c r="AY323" t="s">
        <v>441</v>
      </c>
      <c r="AZ323" t="s">
        <v>1575</v>
      </c>
    </row>
    <row r="324" spans="1:52">
      <c r="A324">
        <v>311</v>
      </c>
      <c r="B324" t="s">
        <v>640</v>
      </c>
      <c r="C324">
        <v>311</v>
      </c>
      <c r="D324" t="s">
        <v>1701</v>
      </c>
      <c r="E324">
        <v>1758</v>
      </c>
      <c r="F324" t="s">
        <v>1020</v>
      </c>
      <c r="G324" t="s">
        <v>1013</v>
      </c>
      <c r="N324">
        <v>7</v>
      </c>
      <c r="O324">
        <v>6</v>
      </c>
      <c r="P324">
        <v>9</v>
      </c>
      <c r="Q324">
        <v>14</v>
      </c>
      <c r="S324">
        <v>36</v>
      </c>
      <c r="T324">
        <v>1</v>
      </c>
      <c r="V324">
        <v>2</v>
      </c>
      <c r="Y324">
        <v>3</v>
      </c>
      <c r="AK324">
        <v>7</v>
      </c>
      <c r="AL324">
        <v>6</v>
      </c>
      <c r="AM324">
        <v>9</v>
      </c>
      <c r="AN324">
        <v>14</v>
      </c>
      <c r="AP324">
        <v>36</v>
      </c>
      <c r="AQ324">
        <v>1</v>
      </c>
      <c r="AS324">
        <v>2</v>
      </c>
      <c r="AU324">
        <v>3</v>
      </c>
      <c r="AW324" t="s">
        <v>474</v>
      </c>
      <c r="AX324" t="s">
        <v>1463</v>
      </c>
      <c r="AY324" t="s">
        <v>441</v>
      </c>
      <c r="AZ324" t="s">
        <v>1306</v>
      </c>
    </row>
    <row r="325" spans="1:52">
      <c r="A325">
        <v>311</v>
      </c>
      <c r="B325" t="s">
        <v>640</v>
      </c>
      <c r="C325">
        <v>311</v>
      </c>
      <c r="D325" t="s">
        <v>1701</v>
      </c>
      <c r="E325">
        <v>1761</v>
      </c>
      <c r="F325" t="s">
        <v>1492</v>
      </c>
      <c r="G325" t="s">
        <v>1013</v>
      </c>
      <c r="Q325">
        <v>1</v>
      </c>
      <c r="S325">
        <v>1</v>
      </c>
      <c r="Y325">
        <v>0</v>
      </c>
      <c r="AN325">
        <v>1</v>
      </c>
      <c r="AP325">
        <v>1</v>
      </c>
      <c r="AU325">
        <v>0</v>
      </c>
      <c r="AW325" t="s">
        <v>474</v>
      </c>
      <c r="AX325" t="s">
        <v>850</v>
      </c>
      <c r="AY325" t="s">
        <v>441</v>
      </c>
      <c r="AZ325" t="s">
        <v>1306</v>
      </c>
    </row>
    <row r="326" spans="1:52">
      <c r="A326">
        <v>311</v>
      </c>
      <c r="B326" t="s">
        <v>640</v>
      </c>
      <c r="C326">
        <v>311</v>
      </c>
      <c r="D326" t="s">
        <v>1701</v>
      </c>
      <c r="E326">
        <v>3305</v>
      </c>
      <c r="F326" t="s">
        <v>1024</v>
      </c>
      <c r="G326" t="s">
        <v>1013</v>
      </c>
      <c r="Q326">
        <v>1</v>
      </c>
      <c r="S326">
        <v>1</v>
      </c>
      <c r="Y326">
        <v>0</v>
      </c>
      <c r="AN326">
        <v>1</v>
      </c>
      <c r="AP326">
        <v>1</v>
      </c>
      <c r="AU326">
        <v>0</v>
      </c>
      <c r="AW326" t="s">
        <v>474</v>
      </c>
      <c r="AX326" t="s">
        <v>1233</v>
      </c>
      <c r="AY326" t="s">
        <v>441</v>
      </c>
      <c r="AZ326" t="s">
        <v>1306</v>
      </c>
    </row>
    <row r="327" spans="1:52">
      <c r="A327">
        <v>311</v>
      </c>
      <c r="B327" t="s">
        <v>640</v>
      </c>
      <c r="C327">
        <v>311</v>
      </c>
      <c r="D327" t="s">
        <v>1701</v>
      </c>
      <c r="E327">
        <v>7712</v>
      </c>
      <c r="F327" t="s">
        <v>1702</v>
      </c>
      <c r="G327" t="s">
        <v>1013</v>
      </c>
      <c r="Q327">
        <v>1</v>
      </c>
      <c r="S327">
        <v>1</v>
      </c>
      <c r="V327">
        <v>1</v>
      </c>
      <c r="Y327">
        <v>1</v>
      </c>
      <c r="AN327">
        <v>1</v>
      </c>
      <c r="AP327">
        <v>1</v>
      </c>
      <c r="AS327">
        <v>1</v>
      </c>
      <c r="AU327">
        <v>1</v>
      </c>
      <c r="AW327" t="s">
        <v>474</v>
      </c>
      <c r="AX327" t="s">
        <v>850</v>
      </c>
      <c r="AY327" t="s">
        <v>441</v>
      </c>
      <c r="AZ327" t="s">
        <v>1306</v>
      </c>
    </row>
    <row r="328" spans="1:52">
      <c r="A328">
        <v>311</v>
      </c>
      <c r="B328" t="s">
        <v>640</v>
      </c>
      <c r="C328">
        <v>311</v>
      </c>
      <c r="D328" t="s">
        <v>1701</v>
      </c>
      <c r="E328">
        <v>8227</v>
      </c>
      <c r="F328" t="s">
        <v>1586</v>
      </c>
      <c r="G328" t="s">
        <v>1013</v>
      </c>
      <c r="Q328">
        <v>1</v>
      </c>
      <c r="S328">
        <v>1</v>
      </c>
      <c r="Y328">
        <v>0</v>
      </c>
      <c r="AN328">
        <v>1</v>
      </c>
      <c r="AP328">
        <v>1</v>
      </c>
      <c r="AU328">
        <v>0</v>
      </c>
      <c r="AW328" t="s">
        <v>474</v>
      </c>
      <c r="AX328" s="485" t="s">
        <v>1397</v>
      </c>
      <c r="AY328" t="s">
        <v>441</v>
      </c>
      <c r="AZ328" t="s">
        <v>1306</v>
      </c>
    </row>
    <row r="329" spans="1:52">
      <c r="A329">
        <v>311</v>
      </c>
      <c r="B329" t="s">
        <v>640</v>
      </c>
      <c r="C329">
        <v>311</v>
      </c>
      <c r="D329" t="s">
        <v>1701</v>
      </c>
      <c r="E329">
        <v>9825</v>
      </c>
      <c r="F329" t="s">
        <v>1703</v>
      </c>
      <c r="G329" t="s">
        <v>1013</v>
      </c>
      <c r="O329">
        <v>1</v>
      </c>
      <c r="Q329">
        <v>2</v>
      </c>
      <c r="S329">
        <v>3</v>
      </c>
      <c r="Y329">
        <v>0</v>
      </c>
      <c r="AL329">
        <v>1</v>
      </c>
      <c r="AN329">
        <v>2</v>
      </c>
      <c r="AP329">
        <v>3</v>
      </c>
      <c r="AU329">
        <v>0</v>
      </c>
      <c r="AW329" t="s">
        <v>474</v>
      </c>
      <c r="AX329" t="s">
        <v>1704</v>
      </c>
      <c r="AY329" t="s">
        <v>441</v>
      </c>
      <c r="AZ329" t="s">
        <v>1306</v>
      </c>
    </row>
    <row r="330" spans="1:52">
      <c r="A330">
        <v>311</v>
      </c>
      <c r="B330" t="s">
        <v>640</v>
      </c>
      <c r="C330">
        <v>5070</v>
      </c>
      <c r="D330" t="s">
        <v>1377</v>
      </c>
      <c r="E330">
        <v>1515</v>
      </c>
      <c r="F330" t="s">
        <v>1641</v>
      </c>
      <c r="G330" t="s">
        <v>1013</v>
      </c>
      <c r="S330">
        <v>1</v>
      </c>
      <c r="Y330">
        <v>0</v>
      </c>
      <c r="AD330">
        <v>1</v>
      </c>
      <c r="AP330">
        <v>1</v>
      </c>
      <c r="AU330">
        <v>0</v>
      </c>
      <c r="AW330" t="s">
        <v>474</v>
      </c>
      <c r="AX330" t="s">
        <v>1463</v>
      </c>
      <c r="AY330" t="s">
        <v>441</v>
      </c>
      <c r="AZ330" t="s">
        <v>1306</v>
      </c>
    </row>
    <row r="331" spans="1:52">
      <c r="A331">
        <v>312</v>
      </c>
      <c r="B331" t="s">
        <v>1705</v>
      </c>
      <c r="C331">
        <v>5070</v>
      </c>
      <c r="D331" t="s">
        <v>1377</v>
      </c>
      <c r="E331">
        <v>1515</v>
      </c>
      <c r="F331" t="s">
        <v>1641</v>
      </c>
      <c r="G331" t="s">
        <v>1013</v>
      </c>
      <c r="S331">
        <v>2</v>
      </c>
      <c r="Y331">
        <v>0</v>
      </c>
      <c r="AE331">
        <v>2</v>
      </c>
      <c r="AP331">
        <v>2</v>
      </c>
      <c r="AU331">
        <v>0</v>
      </c>
      <c r="AW331" t="s">
        <v>474</v>
      </c>
      <c r="AX331" t="s">
        <v>1463</v>
      </c>
      <c r="AY331" t="s">
        <v>441</v>
      </c>
      <c r="AZ331" t="s">
        <v>1306</v>
      </c>
    </row>
    <row r="332" spans="1:52">
      <c r="A332">
        <v>312</v>
      </c>
      <c r="B332" t="s">
        <v>1705</v>
      </c>
      <c r="C332">
        <v>5070</v>
      </c>
      <c r="D332" t="s">
        <v>1377</v>
      </c>
      <c r="E332">
        <v>1519</v>
      </c>
      <c r="F332" t="s">
        <v>1706</v>
      </c>
      <c r="G332" t="s">
        <v>1013</v>
      </c>
      <c r="H332">
        <v>13.5</v>
      </c>
      <c r="I332">
        <v>40</v>
      </c>
      <c r="J332">
        <v>32</v>
      </c>
      <c r="K332">
        <v>40</v>
      </c>
      <c r="L332">
        <v>31</v>
      </c>
      <c r="N332">
        <v>33</v>
      </c>
      <c r="O332">
        <v>23</v>
      </c>
      <c r="P332">
        <v>9</v>
      </c>
      <c r="Q332">
        <v>25</v>
      </c>
      <c r="S332">
        <v>385</v>
      </c>
      <c r="Y332">
        <v>0</v>
      </c>
      <c r="Z332">
        <v>27</v>
      </c>
      <c r="AA332">
        <v>25</v>
      </c>
      <c r="AB332">
        <v>32</v>
      </c>
      <c r="AC332">
        <v>31</v>
      </c>
      <c r="AD332">
        <v>39</v>
      </c>
      <c r="AE332">
        <v>24</v>
      </c>
      <c r="AF332">
        <v>40</v>
      </c>
      <c r="AG332">
        <v>32</v>
      </c>
      <c r="AH332">
        <v>40</v>
      </c>
      <c r="AI332">
        <v>31</v>
      </c>
      <c r="AK332">
        <v>33</v>
      </c>
      <c r="AL332">
        <v>23</v>
      </c>
      <c r="AM332">
        <v>9</v>
      </c>
      <c r="AN332">
        <v>25</v>
      </c>
      <c r="AP332">
        <v>411</v>
      </c>
      <c r="AU332">
        <v>0</v>
      </c>
      <c r="AW332" t="s">
        <v>474</v>
      </c>
      <c r="AX332" t="s">
        <v>1463</v>
      </c>
      <c r="AY332" t="s">
        <v>441</v>
      </c>
      <c r="AZ332" t="s">
        <v>1575</v>
      </c>
    </row>
    <row r="333" spans="1:52">
      <c r="A333">
        <v>314</v>
      </c>
      <c r="B333" t="s">
        <v>1707</v>
      </c>
      <c r="C333">
        <v>314</v>
      </c>
      <c r="D333" t="s">
        <v>1708</v>
      </c>
      <c r="E333">
        <v>3305</v>
      </c>
      <c r="F333" t="s">
        <v>1024</v>
      </c>
      <c r="G333" t="s">
        <v>1013</v>
      </c>
      <c r="P333">
        <v>2</v>
      </c>
      <c r="Q333">
        <v>1</v>
      </c>
      <c r="S333">
        <v>3</v>
      </c>
      <c r="Y333">
        <v>0</v>
      </c>
      <c r="AM333">
        <v>2</v>
      </c>
      <c r="AN333">
        <v>1</v>
      </c>
      <c r="AP333">
        <v>3</v>
      </c>
      <c r="AU333">
        <v>0</v>
      </c>
      <c r="AW333" t="s">
        <v>473</v>
      </c>
      <c r="AX333" t="s">
        <v>1233</v>
      </c>
      <c r="AY333" t="s">
        <v>441</v>
      </c>
      <c r="AZ333" t="s">
        <v>1306</v>
      </c>
    </row>
    <row r="334" spans="1:52">
      <c r="A334">
        <v>314</v>
      </c>
      <c r="B334" t="s">
        <v>1707</v>
      </c>
      <c r="C334">
        <v>314</v>
      </c>
      <c r="D334" t="s">
        <v>1708</v>
      </c>
      <c r="E334">
        <v>3343</v>
      </c>
      <c r="F334" t="s">
        <v>1473</v>
      </c>
      <c r="G334" t="s">
        <v>1013</v>
      </c>
      <c r="P334">
        <v>1</v>
      </c>
      <c r="Q334">
        <v>1</v>
      </c>
      <c r="S334">
        <v>2</v>
      </c>
      <c r="Y334">
        <v>0</v>
      </c>
      <c r="AM334">
        <v>1</v>
      </c>
      <c r="AN334">
        <v>1</v>
      </c>
      <c r="AP334">
        <v>2</v>
      </c>
      <c r="AU334">
        <v>0</v>
      </c>
      <c r="AW334" t="s">
        <v>473</v>
      </c>
      <c r="AX334" t="s">
        <v>1388</v>
      </c>
      <c r="AY334" t="s">
        <v>441</v>
      </c>
      <c r="AZ334" t="s">
        <v>1306</v>
      </c>
    </row>
    <row r="335" spans="1:52">
      <c r="A335">
        <v>314</v>
      </c>
      <c r="B335" t="s">
        <v>1707</v>
      </c>
      <c r="C335">
        <v>314</v>
      </c>
      <c r="D335" t="s">
        <v>1708</v>
      </c>
      <c r="E335">
        <v>3350</v>
      </c>
      <c r="F335" t="s">
        <v>1059</v>
      </c>
      <c r="G335" t="s">
        <v>1013</v>
      </c>
      <c r="Q335">
        <v>2</v>
      </c>
      <c r="S335">
        <v>2</v>
      </c>
      <c r="Y335">
        <v>0</v>
      </c>
      <c r="AN335">
        <v>2</v>
      </c>
      <c r="AP335">
        <v>2</v>
      </c>
      <c r="AU335">
        <v>0</v>
      </c>
      <c r="AW335" t="s">
        <v>473</v>
      </c>
      <c r="AX335" t="s">
        <v>845</v>
      </c>
      <c r="AY335" t="s">
        <v>441</v>
      </c>
      <c r="AZ335" t="s">
        <v>1306</v>
      </c>
    </row>
    <row r="336" spans="1:52">
      <c r="A336">
        <v>314</v>
      </c>
      <c r="B336" t="s">
        <v>1707</v>
      </c>
      <c r="C336">
        <v>314</v>
      </c>
      <c r="D336" t="s">
        <v>1708</v>
      </c>
      <c r="E336">
        <v>3383</v>
      </c>
      <c r="F336" t="s">
        <v>1709</v>
      </c>
      <c r="G336" t="s">
        <v>1013</v>
      </c>
      <c r="N336">
        <v>1</v>
      </c>
      <c r="P336">
        <v>3</v>
      </c>
      <c r="Q336">
        <v>1</v>
      </c>
      <c r="S336">
        <v>5</v>
      </c>
      <c r="Y336">
        <v>0</v>
      </c>
      <c r="AK336">
        <v>1</v>
      </c>
      <c r="AM336">
        <v>3</v>
      </c>
      <c r="AN336">
        <v>1</v>
      </c>
      <c r="AP336">
        <v>5</v>
      </c>
      <c r="AU336">
        <v>0</v>
      </c>
      <c r="AW336" t="s">
        <v>473</v>
      </c>
      <c r="AX336" t="s">
        <v>865</v>
      </c>
      <c r="AY336" t="s">
        <v>441</v>
      </c>
      <c r="AZ336" t="s">
        <v>1306</v>
      </c>
    </row>
    <row r="337" spans="1:52">
      <c r="A337">
        <v>314</v>
      </c>
      <c r="B337" t="s">
        <v>1707</v>
      </c>
      <c r="C337">
        <v>314</v>
      </c>
      <c r="D337" t="s">
        <v>1708</v>
      </c>
      <c r="E337">
        <v>3385</v>
      </c>
      <c r="F337" t="s">
        <v>1710</v>
      </c>
      <c r="G337" t="s">
        <v>1013</v>
      </c>
      <c r="Q337">
        <v>1</v>
      </c>
      <c r="S337">
        <v>1</v>
      </c>
      <c r="Y337">
        <v>0</v>
      </c>
      <c r="AN337">
        <v>1</v>
      </c>
      <c r="AP337">
        <v>1</v>
      </c>
      <c r="AU337">
        <v>0</v>
      </c>
      <c r="AW337" t="s">
        <v>473</v>
      </c>
      <c r="AX337" t="s">
        <v>1388</v>
      </c>
      <c r="AY337" t="s">
        <v>441</v>
      </c>
      <c r="AZ337" t="s">
        <v>1306</v>
      </c>
    </row>
    <row r="338" spans="1:52">
      <c r="A338">
        <v>314</v>
      </c>
      <c r="B338" t="s">
        <v>1707</v>
      </c>
      <c r="C338">
        <v>314</v>
      </c>
      <c r="D338" t="s">
        <v>1708</v>
      </c>
      <c r="E338">
        <v>3395</v>
      </c>
      <c r="F338" t="s">
        <v>1479</v>
      </c>
      <c r="G338" t="s">
        <v>1013</v>
      </c>
      <c r="P338">
        <v>1</v>
      </c>
      <c r="S338">
        <v>1</v>
      </c>
      <c r="Y338">
        <v>0</v>
      </c>
      <c r="AM338">
        <v>1</v>
      </c>
      <c r="AP338">
        <v>1</v>
      </c>
      <c r="AU338">
        <v>0</v>
      </c>
      <c r="AW338" t="s">
        <v>473</v>
      </c>
      <c r="AX338" t="s">
        <v>1233</v>
      </c>
      <c r="AY338" t="s">
        <v>441</v>
      </c>
      <c r="AZ338" t="s">
        <v>1306</v>
      </c>
    </row>
    <row r="339" spans="1:52">
      <c r="A339">
        <v>314</v>
      </c>
      <c r="B339" t="s">
        <v>1707</v>
      </c>
      <c r="C339">
        <v>324</v>
      </c>
      <c r="D339" t="s">
        <v>1711</v>
      </c>
      <c r="E339">
        <v>1758</v>
      </c>
      <c r="F339" t="s">
        <v>1020</v>
      </c>
      <c r="G339" t="s">
        <v>1013</v>
      </c>
      <c r="P339">
        <v>1</v>
      </c>
      <c r="S339">
        <v>1</v>
      </c>
      <c r="Y339">
        <v>0</v>
      </c>
      <c r="AM339">
        <v>1</v>
      </c>
      <c r="AP339">
        <v>1</v>
      </c>
      <c r="AU339">
        <v>0</v>
      </c>
      <c r="AW339" t="s">
        <v>473</v>
      </c>
      <c r="AX339" t="s">
        <v>1463</v>
      </c>
      <c r="AY339" t="s">
        <v>441</v>
      </c>
      <c r="AZ339" t="s">
        <v>1306</v>
      </c>
    </row>
    <row r="340" spans="1:52">
      <c r="A340">
        <v>314</v>
      </c>
      <c r="B340" t="s">
        <v>1707</v>
      </c>
      <c r="C340">
        <v>324</v>
      </c>
      <c r="D340" t="s">
        <v>1711</v>
      </c>
      <c r="E340">
        <v>3383</v>
      </c>
      <c r="F340" t="s">
        <v>1709</v>
      </c>
      <c r="G340" t="s">
        <v>1013</v>
      </c>
      <c r="N340">
        <v>1</v>
      </c>
      <c r="S340">
        <v>1</v>
      </c>
      <c r="Y340">
        <v>0</v>
      </c>
      <c r="AK340">
        <v>1</v>
      </c>
      <c r="AP340">
        <v>1</v>
      </c>
      <c r="AU340">
        <v>0</v>
      </c>
      <c r="AW340" t="s">
        <v>473</v>
      </c>
      <c r="AX340" t="s">
        <v>865</v>
      </c>
      <c r="AY340" t="s">
        <v>441</v>
      </c>
      <c r="AZ340" t="s">
        <v>1306</v>
      </c>
    </row>
    <row r="341" spans="1:52">
      <c r="A341">
        <v>314</v>
      </c>
      <c r="B341" t="s">
        <v>1707</v>
      </c>
      <c r="C341">
        <v>5070</v>
      </c>
      <c r="D341" t="s">
        <v>1377</v>
      </c>
      <c r="E341">
        <v>1515</v>
      </c>
      <c r="F341" t="s">
        <v>1641</v>
      </c>
      <c r="G341" t="s">
        <v>1013</v>
      </c>
      <c r="N341">
        <v>1</v>
      </c>
      <c r="S341">
        <v>1</v>
      </c>
      <c r="Y341">
        <v>0</v>
      </c>
      <c r="AK341">
        <v>1</v>
      </c>
      <c r="AP341">
        <v>1</v>
      </c>
      <c r="AU341">
        <v>0</v>
      </c>
      <c r="AW341" t="s">
        <v>473</v>
      </c>
      <c r="AX341" t="s">
        <v>1463</v>
      </c>
      <c r="AY341" t="s">
        <v>441</v>
      </c>
      <c r="AZ341" t="s">
        <v>1306</v>
      </c>
    </row>
    <row r="342" spans="1:52">
      <c r="A342">
        <v>315</v>
      </c>
      <c r="B342" t="s">
        <v>647</v>
      </c>
      <c r="C342">
        <v>5070</v>
      </c>
      <c r="D342" t="s">
        <v>1377</v>
      </c>
      <c r="E342">
        <v>1519</v>
      </c>
      <c r="F342" t="s">
        <v>1706</v>
      </c>
      <c r="G342" t="s">
        <v>1013</v>
      </c>
      <c r="S342">
        <v>1</v>
      </c>
      <c r="Y342">
        <v>0</v>
      </c>
      <c r="AC342">
        <v>1</v>
      </c>
      <c r="AP342">
        <v>1</v>
      </c>
      <c r="AU342">
        <v>0</v>
      </c>
      <c r="AW342" t="s">
        <v>474</v>
      </c>
      <c r="AX342" t="s">
        <v>1463</v>
      </c>
      <c r="AY342" t="s">
        <v>441</v>
      </c>
      <c r="AZ342" t="s">
        <v>1306</v>
      </c>
    </row>
    <row r="343" spans="1:52">
      <c r="A343">
        <v>316</v>
      </c>
      <c r="B343" t="s">
        <v>1712</v>
      </c>
      <c r="C343">
        <v>316</v>
      </c>
      <c r="D343" t="s">
        <v>1686</v>
      </c>
      <c r="E343">
        <v>21598</v>
      </c>
      <c r="F343" t="s">
        <v>1713</v>
      </c>
      <c r="G343" t="s">
        <v>1013</v>
      </c>
      <c r="S343">
        <v>1</v>
      </c>
      <c r="Y343">
        <v>0</v>
      </c>
      <c r="AC343">
        <v>1</v>
      </c>
      <c r="AP343">
        <v>1</v>
      </c>
      <c r="AU343">
        <v>0</v>
      </c>
      <c r="AW343" t="s">
        <v>473</v>
      </c>
      <c r="AX343" t="s">
        <v>1405</v>
      </c>
      <c r="AY343" t="s">
        <v>441</v>
      </c>
      <c r="AZ343" t="s">
        <v>1306</v>
      </c>
    </row>
    <row r="344" spans="1:52">
      <c r="A344">
        <v>316</v>
      </c>
      <c r="B344" t="s">
        <v>1712</v>
      </c>
      <c r="C344">
        <v>316</v>
      </c>
      <c r="D344" t="s">
        <v>1686</v>
      </c>
      <c r="E344">
        <v>21636</v>
      </c>
      <c r="F344" t="s">
        <v>1714</v>
      </c>
      <c r="G344" t="s">
        <v>1013</v>
      </c>
      <c r="S344">
        <v>1</v>
      </c>
      <c r="Y344">
        <v>0</v>
      </c>
      <c r="AD344">
        <v>1</v>
      </c>
      <c r="AP344">
        <v>1</v>
      </c>
      <c r="AU344">
        <v>0</v>
      </c>
      <c r="AW344" t="s">
        <v>473</v>
      </c>
      <c r="AX344" t="s">
        <v>1405</v>
      </c>
      <c r="AY344" t="s">
        <v>441</v>
      </c>
      <c r="AZ344" t="s">
        <v>1306</v>
      </c>
    </row>
    <row r="345" spans="1:52">
      <c r="A345">
        <v>316</v>
      </c>
      <c r="B345" t="s">
        <v>1712</v>
      </c>
      <c r="C345">
        <v>316</v>
      </c>
      <c r="D345" t="s">
        <v>1686</v>
      </c>
      <c r="E345">
        <v>2254</v>
      </c>
      <c r="F345" t="s">
        <v>1605</v>
      </c>
      <c r="G345" t="s">
        <v>1013</v>
      </c>
      <c r="K345">
        <v>1</v>
      </c>
      <c r="S345">
        <v>1</v>
      </c>
      <c r="Y345">
        <v>0</v>
      </c>
      <c r="AH345">
        <v>1</v>
      </c>
      <c r="AP345">
        <v>1</v>
      </c>
      <c r="AU345">
        <v>0</v>
      </c>
      <c r="AW345" t="s">
        <v>473</v>
      </c>
      <c r="AX345" t="s">
        <v>1233</v>
      </c>
      <c r="AY345" t="s">
        <v>441</v>
      </c>
      <c r="AZ345" t="s">
        <v>1306</v>
      </c>
    </row>
    <row r="346" spans="1:52">
      <c r="A346">
        <v>316</v>
      </c>
      <c r="B346" t="s">
        <v>1712</v>
      </c>
      <c r="C346">
        <v>316</v>
      </c>
      <c r="D346" t="s">
        <v>1686</v>
      </c>
      <c r="E346">
        <v>2259</v>
      </c>
      <c r="F346" t="s">
        <v>1715</v>
      </c>
      <c r="G346" t="s">
        <v>1013</v>
      </c>
      <c r="I346">
        <v>1</v>
      </c>
      <c r="J346">
        <v>1</v>
      </c>
      <c r="L346">
        <v>1</v>
      </c>
      <c r="S346">
        <v>3</v>
      </c>
      <c r="Y346">
        <v>0</v>
      </c>
      <c r="AF346">
        <v>1</v>
      </c>
      <c r="AG346">
        <v>1</v>
      </c>
      <c r="AI346">
        <v>1</v>
      </c>
      <c r="AP346">
        <v>3</v>
      </c>
      <c r="AU346">
        <v>0</v>
      </c>
      <c r="AW346" t="s">
        <v>473</v>
      </c>
      <c r="AX346" t="s">
        <v>862</v>
      </c>
      <c r="AY346" t="s">
        <v>441</v>
      </c>
      <c r="AZ346" t="s">
        <v>1306</v>
      </c>
    </row>
    <row r="347" spans="1:52">
      <c r="A347">
        <v>316</v>
      </c>
      <c r="B347" t="s">
        <v>1712</v>
      </c>
      <c r="C347">
        <v>316</v>
      </c>
      <c r="D347" t="s">
        <v>1686</v>
      </c>
      <c r="E347">
        <v>3472</v>
      </c>
      <c r="F347" t="s">
        <v>1716</v>
      </c>
      <c r="G347" t="s">
        <v>1013</v>
      </c>
      <c r="S347">
        <v>3</v>
      </c>
      <c r="Y347">
        <v>0</v>
      </c>
      <c r="AB347">
        <v>2</v>
      </c>
      <c r="AE347">
        <v>1</v>
      </c>
      <c r="AP347">
        <v>3</v>
      </c>
      <c r="AU347">
        <v>0</v>
      </c>
      <c r="AW347" t="s">
        <v>473</v>
      </c>
      <c r="AX347" t="s">
        <v>1233</v>
      </c>
      <c r="AY347" t="s">
        <v>441</v>
      </c>
      <c r="AZ347" t="s">
        <v>1306</v>
      </c>
    </row>
    <row r="348" spans="1:52">
      <c r="A348">
        <v>316</v>
      </c>
      <c r="B348" t="s">
        <v>1712</v>
      </c>
      <c r="C348">
        <v>316</v>
      </c>
      <c r="D348" t="s">
        <v>1686</v>
      </c>
      <c r="E348">
        <v>3517</v>
      </c>
      <c r="F348" t="s">
        <v>1717</v>
      </c>
      <c r="G348" t="s">
        <v>1013</v>
      </c>
      <c r="L348">
        <v>1</v>
      </c>
      <c r="S348">
        <v>1.5</v>
      </c>
      <c r="Y348">
        <v>0</v>
      </c>
      <c r="AA348">
        <v>1</v>
      </c>
      <c r="AI348">
        <v>1</v>
      </c>
      <c r="AP348">
        <v>2</v>
      </c>
      <c r="AU348">
        <v>0</v>
      </c>
      <c r="AW348" t="s">
        <v>473</v>
      </c>
      <c r="AX348" t="s">
        <v>1233</v>
      </c>
      <c r="AY348" t="s">
        <v>441</v>
      </c>
      <c r="AZ348" t="s">
        <v>1575</v>
      </c>
    </row>
    <row r="349" spans="1:52">
      <c r="A349">
        <v>316</v>
      </c>
      <c r="B349" t="s">
        <v>1712</v>
      </c>
      <c r="C349">
        <v>316</v>
      </c>
      <c r="D349" t="s">
        <v>1686</v>
      </c>
      <c r="E349">
        <v>38054</v>
      </c>
      <c r="F349" t="s">
        <v>1687</v>
      </c>
      <c r="G349" t="s">
        <v>1013</v>
      </c>
      <c r="J349">
        <v>2</v>
      </c>
      <c r="L349">
        <v>2</v>
      </c>
      <c r="S349">
        <v>4</v>
      </c>
      <c r="Y349">
        <v>0</v>
      </c>
      <c r="AG349">
        <v>2</v>
      </c>
      <c r="AI349">
        <v>2</v>
      </c>
      <c r="AP349">
        <v>4</v>
      </c>
      <c r="AU349">
        <v>0</v>
      </c>
      <c r="AW349" t="s">
        <v>473</v>
      </c>
      <c r="AX349" t="s">
        <v>1405</v>
      </c>
      <c r="AY349" t="s">
        <v>441</v>
      </c>
      <c r="AZ349" t="s">
        <v>1306</v>
      </c>
    </row>
    <row r="350" spans="1:52">
      <c r="A350">
        <v>316</v>
      </c>
      <c r="B350" t="s">
        <v>1712</v>
      </c>
      <c r="C350">
        <v>316</v>
      </c>
      <c r="D350" t="s">
        <v>1686</v>
      </c>
      <c r="E350">
        <v>50153</v>
      </c>
      <c r="F350" t="s">
        <v>1718</v>
      </c>
      <c r="G350" t="s">
        <v>1013</v>
      </c>
      <c r="S350">
        <v>2</v>
      </c>
      <c r="Y350">
        <v>0</v>
      </c>
      <c r="AD350">
        <v>1</v>
      </c>
      <c r="AE350">
        <v>1</v>
      </c>
      <c r="AP350">
        <v>2</v>
      </c>
      <c r="AU350">
        <v>0</v>
      </c>
      <c r="AW350" t="s">
        <v>473</v>
      </c>
      <c r="AX350" t="s">
        <v>1233</v>
      </c>
      <c r="AY350" t="s">
        <v>441</v>
      </c>
      <c r="AZ350" t="s">
        <v>1306</v>
      </c>
    </row>
    <row r="351" spans="1:52">
      <c r="A351">
        <v>316</v>
      </c>
      <c r="B351" t="s">
        <v>1712</v>
      </c>
      <c r="C351">
        <v>316</v>
      </c>
      <c r="D351" t="s">
        <v>1686</v>
      </c>
      <c r="E351">
        <v>5334</v>
      </c>
      <c r="F351" t="s">
        <v>1719</v>
      </c>
      <c r="G351" t="s">
        <v>1013</v>
      </c>
      <c r="I351">
        <v>1</v>
      </c>
      <c r="S351">
        <v>1</v>
      </c>
      <c r="Y351">
        <v>0</v>
      </c>
      <c r="AF351">
        <v>1</v>
      </c>
      <c r="AP351">
        <v>1</v>
      </c>
      <c r="AU351">
        <v>0</v>
      </c>
      <c r="AW351" t="s">
        <v>473</v>
      </c>
      <c r="AX351" t="s">
        <v>868</v>
      </c>
      <c r="AY351" t="s">
        <v>441</v>
      </c>
      <c r="AZ351" t="s">
        <v>1306</v>
      </c>
    </row>
    <row r="352" spans="1:52">
      <c r="A352">
        <v>316</v>
      </c>
      <c r="B352" t="s">
        <v>1712</v>
      </c>
      <c r="C352">
        <v>316</v>
      </c>
      <c r="D352" t="s">
        <v>1686</v>
      </c>
      <c r="E352">
        <v>5340</v>
      </c>
      <c r="F352" t="s">
        <v>1720</v>
      </c>
      <c r="G352" t="s">
        <v>1013</v>
      </c>
      <c r="J352">
        <v>1</v>
      </c>
      <c r="S352">
        <v>1</v>
      </c>
      <c r="Y352">
        <v>0</v>
      </c>
      <c r="AG352">
        <v>1</v>
      </c>
      <c r="AP352">
        <v>1</v>
      </c>
      <c r="AU352">
        <v>0</v>
      </c>
      <c r="AW352" t="s">
        <v>473</v>
      </c>
      <c r="AX352" t="s">
        <v>1388</v>
      </c>
      <c r="AY352" t="s">
        <v>441</v>
      </c>
      <c r="AZ352" t="s">
        <v>1306</v>
      </c>
    </row>
    <row r="353" spans="1:52">
      <c r="A353">
        <v>316</v>
      </c>
      <c r="B353" t="s">
        <v>1712</v>
      </c>
      <c r="C353">
        <v>316</v>
      </c>
      <c r="D353" t="s">
        <v>1686</v>
      </c>
      <c r="E353">
        <v>5351</v>
      </c>
      <c r="F353" t="s">
        <v>1721</v>
      </c>
      <c r="G353" t="s">
        <v>1013</v>
      </c>
      <c r="S353">
        <v>5</v>
      </c>
      <c r="Y353">
        <v>0</v>
      </c>
      <c r="AB353">
        <v>1</v>
      </c>
      <c r="AC353">
        <v>1</v>
      </c>
      <c r="AD353">
        <v>2</v>
      </c>
      <c r="AE353">
        <v>1</v>
      </c>
      <c r="AP353">
        <v>5</v>
      </c>
      <c r="AU353">
        <v>0</v>
      </c>
      <c r="AW353" t="s">
        <v>473</v>
      </c>
      <c r="AX353" t="s">
        <v>1388</v>
      </c>
      <c r="AY353" t="s">
        <v>441</v>
      </c>
      <c r="AZ353" t="s">
        <v>1306</v>
      </c>
    </row>
    <row r="354" spans="1:52">
      <c r="A354">
        <v>316</v>
      </c>
      <c r="B354" t="s">
        <v>1712</v>
      </c>
      <c r="C354">
        <v>316</v>
      </c>
      <c r="D354" t="s">
        <v>1686</v>
      </c>
      <c r="E354">
        <v>7934</v>
      </c>
      <c r="F354" t="s">
        <v>1722</v>
      </c>
      <c r="G354" t="s">
        <v>1013</v>
      </c>
      <c r="I354">
        <v>1</v>
      </c>
      <c r="S354">
        <v>1</v>
      </c>
      <c r="Y354">
        <v>0</v>
      </c>
      <c r="AF354">
        <v>1</v>
      </c>
      <c r="AP354">
        <v>1</v>
      </c>
      <c r="AU354">
        <v>0</v>
      </c>
      <c r="AW354" t="s">
        <v>473</v>
      </c>
      <c r="AX354" t="s">
        <v>1233</v>
      </c>
      <c r="AY354" t="s">
        <v>441</v>
      </c>
      <c r="AZ354" t="s">
        <v>1306</v>
      </c>
    </row>
    <row r="355" spans="1:52">
      <c r="A355">
        <v>316</v>
      </c>
      <c r="B355" t="s">
        <v>1712</v>
      </c>
      <c r="C355">
        <v>1112</v>
      </c>
      <c r="D355" t="s">
        <v>1723</v>
      </c>
      <c r="E355">
        <v>1048</v>
      </c>
      <c r="F355" t="s">
        <v>1055</v>
      </c>
      <c r="G355" t="s">
        <v>1013</v>
      </c>
      <c r="O355">
        <v>1</v>
      </c>
      <c r="S355">
        <v>1</v>
      </c>
      <c r="Y355">
        <v>0</v>
      </c>
      <c r="AL355">
        <v>1</v>
      </c>
      <c r="AP355">
        <v>1</v>
      </c>
      <c r="AU355">
        <v>0</v>
      </c>
      <c r="AW355" t="s">
        <v>473</v>
      </c>
      <c r="AX355" t="s">
        <v>1405</v>
      </c>
      <c r="AY355" t="s">
        <v>441</v>
      </c>
      <c r="AZ355" t="s">
        <v>1306</v>
      </c>
    </row>
    <row r="356" spans="1:52">
      <c r="A356">
        <v>316</v>
      </c>
      <c r="B356" t="s">
        <v>1712</v>
      </c>
      <c r="C356">
        <v>1112</v>
      </c>
      <c r="D356" t="s">
        <v>1723</v>
      </c>
      <c r="E356">
        <v>1050</v>
      </c>
      <c r="F356" t="s">
        <v>1724</v>
      </c>
      <c r="G356" t="s">
        <v>1013</v>
      </c>
      <c r="Q356">
        <v>1</v>
      </c>
      <c r="S356">
        <v>1</v>
      </c>
      <c r="Y356">
        <v>0</v>
      </c>
      <c r="AN356">
        <v>1</v>
      </c>
      <c r="AP356">
        <v>1</v>
      </c>
      <c r="AU356">
        <v>0</v>
      </c>
      <c r="AW356" t="s">
        <v>473</v>
      </c>
      <c r="AX356" t="s">
        <v>856</v>
      </c>
      <c r="AY356" t="s">
        <v>441</v>
      </c>
      <c r="AZ356" t="s">
        <v>1306</v>
      </c>
    </row>
    <row r="357" spans="1:52">
      <c r="A357">
        <v>316</v>
      </c>
      <c r="B357" t="s">
        <v>1712</v>
      </c>
      <c r="C357">
        <v>1112</v>
      </c>
      <c r="D357" t="s">
        <v>1723</v>
      </c>
      <c r="E357">
        <v>21636</v>
      </c>
      <c r="F357" t="s">
        <v>1714</v>
      </c>
      <c r="G357" t="s">
        <v>1013</v>
      </c>
      <c r="I357">
        <v>1</v>
      </c>
      <c r="S357">
        <v>2</v>
      </c>
      <c r="Y357">
        <v>0</v>
      </c>
      <c r="AC357">
        <v>1</v>
      </c>
      <c r="AF357">
        <v>1</v>
      </c>
      <c r="AP357">
        <v>2</v>
      </c>
      <c r="AU357">
        <v>0</v>
      </c>
      <c r="AW357" t="s">
        <v>473</v>
      </c>
      <c r="AX357" t="s">
        <v>1405</v>
      </c>
      <c r="AY357" t="s">
        <v>441</v>
      </c>
      <c r="AZ357" t="s">
        <v>1306</v>
      </c>
    </row>
    <row r="358" spans="1:52">
      <c r="A358">
        <v>316</v>
      </c>
      <c r="B358" t="s">
        <v>1712</v>
      </c>
      <c r="C358">
        <v>1112</v>
      </c>
      <c r="D358" t="s">
        <v>1723</v>
      </c>
      <c r="E358">
        <v>3304</v>
      </c>
      <c r="F358" t="s">
        <v>1494</v>
      </c>
      <c r="G358" t="s">
        <v>1013</v>
      </c>
      <c r="N358">
        <v>1</v>
      </c>
      <c r="S358">
        <v>1</v>
      </c>
      <c r="Y358">
        <v>0</v>
      </c>
      <c r="AK358">
        <v>1</v>
      </c>
      <c r="AP358">
        <v>1</v>
      </c>
      <c r="AU358">
        <v>0</v>
      </c>
      <c r="AW358" t="s">
        <v>473</v>
      </c>
      <c r="AX358" t="s">
        <v>852</v>
      </c>
      <c r="AY358" t="s">
        <v>441</v>
      </c>
      <c r="AZ358" t="s">
        <v>1306</v>
      </c>
    </row>
    <row r="359" spans="1:52">
      <c r="A359">
        <v>316</v>
      </c>
      <c r="B359" t="s">
        <v>1712</v>
      </c>
      <c r="C359">
        <v>1112</v>
      </c>
      <c r="D359" t="s">
        <v>1723</v>
      </c>
      <c r="E359">
        <v>3310</v>
      </c>
      <c r="F359" t="s">
        <v>1045</v>
      </c>
      <c r="G359" t="s">
        <v>1013</v>
      </c>
      <c r="N359">
        <v>2</v>
      </c>
      <c r="S359">
        <v>2</v>
      </c>
      <c r="Y359">
        <v>0</v>
      </c>
      <c r="AK359">
        <v>2</v>
      </c>
      <c r="AP359">
        <v>2</v>
      </c>
      <c r="AU359">
        <v>0</v>
      </c>
      <c r="AW359" t="s">
        <v>473</v>
      </c>
      <c r="AX359" t="s">
        <v>1233</v>
      </c>
      <c r="AY359" t="s">
        <v>441</v>
      </c>
      <c r="AZ359" t="s">
        <v>1306</v>
      </c>
    </row>
    <row r="360" spans="1:52">
      <c r="A360">
        <v>316</v>
      </c>
      <c r="B360" t="s">
        <v>1712</v>
      </c>
      <c r="C360">
        <v>1112</v>
      </c>
      <c r="D360" t="s">
        <v>1723</v>
      </c>
      <c r="E360">
        <v>3321</v>
      </c>
      <c r="F360" t="s">
        <v>1047</v>
      </c>
      <c r="G360" t="s">
        <v>1013</v>
      </c>
      <c r="O360">
        <v>1</v>
      </c>
      <c r="P360">
        <v>1</v>
      </c>
      <c r="Q360">
        <v>2</v>
      </c>
      <c r="S360">
        <v>4</v>
      </c>
      <c r="Y360">
        <v>0</v>
      </c>
      <c r="AL360">
        <v>1</v>
      </c>
      <c r="AM360">
        <v>1</v>
      </c>
      <c r="AN360">
        <v>2</v>
      </c>
      <c r="AP360">
        <v>4</v>
      </c>
      <c r="AU360">
        <v>0</v>
      </c>
      <c r="AW360" t="s">
        <v>473</v>
      </c>
      <c r="AX360" t="s">
        <v>1233</v>
      </c>
      <c r="AY360" t="s">
        <v>441</v>
      </c>
      <c r="AZ360" t="s">
        <v>1306</v>
      </c>
    </row>
    <row r="361" spans="1:52">
      <c r="A361">
        <v>316</v>
      </c>
      <c r="B361" t="s">
        <v>1712</v>
      </c>
      <c r="C361">
        <v>1112</v>
      </c>
      <c r="D361" t="s">
        <v>1723</v>
      </c>
      <c r="E361">
        <v>3323</v>
      </c>
      <c r="F361" t="s">
        <v>1689</v>
      </c>
      <c r="G361" t="s">
        <v>1013</v>
      </c>
      <c r="Q361">
        <v>1</v>
      </c>
      <c r="S361">
        <v>1</v>
      </c>
      <c r="Y361">
        <v>0</v>
      </c>
      <c r="AN361">
        <v>1</v>
      </c>
      <c r="AP361">
        <v>1</v>
      </c>
      <c r="AU361">
        <v>0</v>
      </c>
      <c r="AW361" t="s">
        <v>473</v>
      </c>
      <c r="AX361" t="s">
        <v>1233</v>
      </c>
      <c r="AY361" t="s">
        <v>441</v>
      </c>
      <c r="AZ361" t="s">
        <v>1306</v>
      </c>
    </row>
    <row r="362" spans="1:52">
      <c r="A362">
        <v>316</v>
      </c>
      <c r="B362" t="s">
        <v>1712</v>
      </c>
      <c r="C362">
        <v>1112</v>
      </c>
      <c r="D362" t="s">
        <v>1723</v>
      </c>
      <c r="E362">
        <v>3324</v>
      </c>
      <c r="F362" t="s">
        <v>1496</v>
      </c>
      <c r="G362" t="s">
        <v>1013</v>
      </c>
      <c r="K362">
        <v>1</v>
      </c>
      <c r="S362">
        <v>3.5</v>
      </c>
      <c r="Y362">
        <v>0</v>
      </c>
      <c r="AA362">
        <v>1</v>
      </c>
      <c r="AC362">
        <v>1</v>
      </c>
      <c r="AD362">
        <v>1</v>
      </c>
      <c r="AH362">
        <v>1</v>
      </c>
      <c r="AP362">
        <v>4</v>
      </c>
      <c r="AU362">
        <v>0</v>
      </c>
      <c r="AW362" t="s">
        <v>473</v>
      </c>
      <c r="AX362" t="s">
        <v>1463</v>
      </c>
      <c r="AY362" t="s">
        <v>441</v>
      </c>
      <c r="AZ362" t="s">
        <v>1575</v>
      </c>
    </row>
    <row r="363" spans="1:52">
      <c r="A363">
        <v>316</v>
      </c>
      <c r="B363" t="s">
        <v>1712</v>
      </c>
      <c r="C363">
        <v>1112</v>
      </c>
      <c r="D363" t="s">
        <v>1723</v>
      </c>
      <c r="E363">
        <v>3342</v>
      </c>
      <c r="F363" t="s">
        <v>1057</v>
      </c>
      <c r="G363" t="s">
        <v>1013</v>
      </c>
      <c r="P363">
        <v>1</v>
      </c>
      <c r="Q363">
        <v>1</v>
      </c>
      <c r="S363">
        <v>2</v>
      </c>
      <c r="Y363">
        <v>0</v>
      </c>
      <c r="AM363">
        <v>1</v>
      </c>
      <c r="AN363">
        <v>1</v>
      </c>
      <c r="AP363">
        <v>2</v>
      </c>
      <c r="AU363">
        <v>0</v>
      </c>
      <c r="AW363" t="s">
        <v>473</v>
      </c>
      <c r="AX363" t="s">
        <v>1388</v>
      </c>
      <c r="AY363" t="s">
        <v>441</v>
      </c>
      <c r="AZ363" t="s">
        <v>1306</v>
      </c>
    </row>
    <row r="364" spans="1:52">
      <c r="A364">
        <v>316</v>
      </c>
      <c r="B364" t="s">
        <v>1712</v>
      </c>
      <c r="C364">
        <v>1112</v>
      </c>
      <c r="D364" t="s">
        <v>1723</v>
      </c>
      <c r="E364">
        <v>3370</v>
      </c>
      <c r="F364" t="s">
        <v>1049</v>
      </c>
      <c r="G364" t="s">
        <v>1013</v>
      </c>
      <c r="O364">
        <v>1</v>
      </c>
      <c r="Q364">
        <v>1</v>
      </c>
      <c r="S364">
        <v>2</v>
      </c>
      <c r="Y364">
        <v>0</v>
      </c>
      <c r="AL364">
        <v>1</v>
      </c>
      <c r="AN364">
        <v>1</v>
      </c>
      <c r="AP364">
        <v>2</v>
      </c>
      <c r="AU364">
        <v>0</v>
      </c>
      <c r="AW364" t="s">
        <v>473</v>
      </c>
      <c r="AX364" t="s">
        <v>1233</v>
      </c>
      <c r="AY364" t="s">
        <v>441</v>
      </c>
      <c r="AZ364" t="s">
        <v>1306</v>
      </c>
    </row>
    <row r="365" spans="1:52">
      <c r="A365">
        <v>316</v>
      </c>
      <c r="B365" t="s">
        <v>1712</v>
      </c>
      <c r="C365">
        <v>1112</v>
      </c>
      <c r="D365" t="s">
        <v>1723</v>
      </c>
      <c r="E365">
        <v>3372</v>
      </c>
      <c r="F365" t="s">
        <v>976</v>
      </c>
      <c r="G365" t="s">
        <v>1013</v>
      </c>
      <c r="N365">
        <v>2</v>
      </c>
      <c r="Q365">
        <v>1</v>
      </c>
      <c r="S365">
        <v>3</v>
      </c>
      <c r="Y365">
        <v>0</v>
      </c>
      <c r="AK365">
        <v>2</v>
      </c>
      <c r="AN365">
        <v>1</v>
      </c>
      <c r="AP365">
        <v>3</v>
      </c>
      <c r="AU365">
        <v>0</v>
      </c>
      <c r="AW365" t="s">
        <v>473</v>
      </c>
      <c r="AX365" t="s">
        <v>1405</v>
      </c>
      <c r="AY365" t="s">
        <v>441</v>
      </c>
      <c r="AZ365" t="s">
        <v>1306</v>
      </c>
    </row>
    <row r="366" spans="1:52">
      <c r="A366">
        <v>316</v>
      </c>
      <c r="B366" t="s">
        <v>1712</v>
      </c>
      <c r="C366">
        <v>1112</v>
      </c>
      <c r="D366" t="s">
        <v>1723</v>
      </c>
      <c r="E366">
        <v>3378</v>
      </c>
      <c r="F366" t="s">
        <v>1725</v>
      </c>
      <c r="G366" t="s">
        <v>1013</v>
      </c>
      <c r="Q366">
        <v>1</v>
      </c>
      <c r="S366">
        <v>1</v>
      </c>
      <c r="Y366">
        <v>0</v>
      </c>
      <c r="AN366">
        <v>1</v>
      </c>
      <c r="AP366">
        <v>1</v>
      </c>
      <c r="AU366">
        <v>0</v>
      </c>
      <c r="AW366" t="s">
        <v>473</v>
      </c>
      <c r="AX366" s="485" t="s">
        <v>1633</v>
      </c>
      <c r="AY366" t="s">
        <v>441</v>
      </c>
      <c r="AZ366" t="s">
        <v>1306</v>
      </c>
    </row>
    <row r="367" spans="1:52">
      <c r="A367">
        <v>316</v>
      </c>
      <c r="B367" t="s">
        <v>1712</v>
      </c>
      <c r="C367">
        <v>1112</v>
      </c>
      <c r="D367" t="s">
        <v>1723</v>
      </c>
      <c r="E367">
        <v>3397</v>
      </c>
      <c r="F367" t="s">
        <v>1726</v>
      </c>
      <c r="G367" t="s">
        <v>1013</v>
      </c>
      <c r="N367">
        <v>1</v>
      </c>
      <c r="S367">
        <v>1</v>
      </c>
      <c r="Y367">
        <v>0</v>
      </c>
      <c r="AK367">
        <v>1</v>
      </c>
      <c r="AP367">
        <v>1</v>
      </c>
      <c r="AU367">
        <v>0</v>
      </c>
      <c r="AW367" t="s">
        <v>473</v>
      </c>
      <c r="AX367" t="s">
        <v>1233</v>
      </c>
      <c r="AY367" t="s">
        <v>441</v>
      </c>
      <c r="AZ367" t="s">
        <v>1306</v>
      </c>
    </row>
    <row r="368" spans="1:52">
      <c r="A368">
        <v>316</v>
      </c>
      <c r="B368" t="s">
        <v>1712</v>
      </c>
      <c r="C368">
        <v>1112</v>
      </c>
      <c r="D368" t="s">
        <v>1723</v>
      </c>
      <c r="E368">
        <v>3403</v>
      </c>
      <c r="F368" t="s">
        <v>1503</v>
      </c>
      <c r="G368" t="s">
        <v>1013</v>
      </c>
      <c r="N368">
        <v>1</v>
      </c>
      <c r="O368">
        <v>1</v>
      </c>
      <c r="Q368">
        <v>1</v>
      </c>
      <c r="S368">
        <v>3</v>
      </c>
      <c r="Y368">
        <v>0</v>
      </c>
      <c r="AK368">
        <v>1</v>
      </c>
      <c r="AL368">
        <v>1</v>
      </c>
      <c r="AN368">
        <v>1</v>
      </c>
      <c r="AP368">
        <v>3</v>
      </c>
      <c r="AU368">
        <v>0</v>
      </c>
      <c r="AW368" t="s">
        <v>473</v>
      </c>
      <c r="AX368" t="s">
        <v>856</v>
      </c>
      <c r="AY368" t="s">
        <v>441</v>
      </c>
      <c r="AZ368" t="s">
        <v>1306</v>
      </c>
    </row>
    <row r="369" spans="1:52">
      <c r="A369">
        <v>316</v>
      </c>
      <c r="B369" t="s">
        <v>1712</v>
      </c>
      <c r="C369">
        <v>1112</v>
      </c>
      <c r="D369" t="s">
        <v>1723</v>
      </c>
      <c r="E369">
        <v>3460</v>
      </c>
      <c r="F369" t="s">
        <v>1497</v>
      </c>
      <c r="G369" t="s">
        <v>1013</v>
      </c>
      <c r="O369">
        <v>1</v>
      </c>
      <c r="S369">
        <v>1</v>
      </c>
      <c r="Y369">
        <v>0</v>
      </c>
      <c r="AL369">
        <v>1</v>
      </c>
      <c r="AP369">
        <v>1</v>
      </c>
      <c r="AU369">
        <v>0</v>
      </c>
      <c r="AW369" t="s">
        <v>473</v>
      </c>
      <c r="AX369" t="s">
        <v>862</v>
      </c>
      <c r="AY369" t="s">
        <v>441</v>
      </c>
      <c r="AZ369" t="s">
        <v>1306</v>
      </c>
    </row>
    <row r="370" spans="1:52">
      <c r="A370">
        <v>316</v>
      </c>
      <c r="B370" t="s">
        <v>1712</v>
      </c>
      <c r="C370">
        <v>1112</v>
      </c>
      <c r="D370" t="s">
        <v>1723</v>
      </c>
      <c r="E370">
        <v>3524</v>
      </c>
      <c r="F370" t="s">
        <v>1498</v>
      </c>
      <c r="G370" t="s">
        <v>1013</v>
      </c>
      <c r="Q370">
        <v>1</v>
      </c>
      <c r="S370">
        <v>1</v>
      </c>
      <c r="Y370">
        <v>0</v>
      </c>
      <c r="AN370">
        <v>1</v>
      </c>
      <c r="AP370">
        <v>1</v>
      </c>
      <c r="AU370">
        <v>0</v>
      </c>
      <c r="AW370" t="s">
        <v>473</v>
      </c>
      <c r="AX370" t="s">
        <v>862</v>
      </c>
      <c r="AY370" t="s">
        <v>441</v>
      </c>
      <c r="AZ370" t="s">
        <v>1306</v>
      </c>
    </row>
    <row r="371" spans="1:52">
      <c r="A371">
        <v>316</v>
      </c>
      <c r="B371" t="s">
        <v>1712</v>
      </c>
      <c r="C371">
        <v>1112</v>
      </c>
      <c r="D371" t="s">
        <v>1723</v>
      </c>
      <c r="E371">
        <v>6003</v>
      </c>
      <c r="F371" t="s">
        <v>1066</v>
      </c>
      <c r="G371" t="s">
        <v>1013</v>
      </c>
      <c r="N371">
        <v>1</v>
      </c>
      <c r="P371">
        <v>1</v>
      </c>
      <c r="S371">
        <v>2</v>
      </c>
      <c r="Y371">
        <v>0</v>
      </c>
      <c r="AK371">
        <v>1</v>
      </c>
      <c r="AM371">
        <v>1</v>
      </c>
      <c r="AP371">
        <v>2</v>
      </c>
      <c r="AU371">
        <v>0</v>
      </c>
      <c r="AW371" t="s">
        <v>473</v>
      </c>
      <c r="AX371" s="485" t="s">
        <v>1633</v>
      </c>
      <c r="AY371" t="s">
        <v>441</v>
      </c>
      <c r="AZ371" t="s">
        <v>1306</v>
      </c>
    </row>
    <row r="372" spans="1:52">
      <c r="A372">
        <v>318</v>
      </c>
      <c r="B372" t="s">
        <v>1727</v>
      </c>
      <c r="C372">
        <v>318</v>
      </c>
      <c r="D372" t="s">
        <v>1692</v>
      </c>
      <c r="E372">
        <v>1758</v>
      </c>
      <c r="F372" t="s">
        <v>1020</v>
      </c>
      <c r="G372" t="s">
        <v>1013</v>
      </c>
      <c r="O372">
        <v>1</v>
      </c>
      <c r="P372">
        <v>8</v>
      </c>
      <c r="Q372">
        <v>12</v>
      </c>
      <c r="S372">
        <v>21</v>
      </c>
      <c r="Y372">
        <v>0</v>
      </c>
      <c r="AL372">
        <v>1</v>
      </c>
      <c r="AM372">
        <v>8</v>
      </c>
      <c r="AN372">
        <v>12</v>
      </c>
      <c r="AP372">
        <v>21</v>
      </c>
      <c r="AU372">
        <v>0</v>
      </c>
      <c r="AW372" t="s">
        <v>474</v>
      </c>
      <c r="AX372" t="s">
        <v>1463</v>
      </c>
      <c r="AY372" t="s">
        <v>441</v>
      </c>
      <c r="AZ372" t="s">
        <v>1306</v>
      </c>
    </row>
    <row r="373" spans="1:52">
      <c r="A373">
        <v>318</v>
      </c>
      <c r="B373" t="s">
        <v>1727</v>
      </c>
      <c r="C373">
        <v>318</v>
      </c>
      <c r="D373" t="s">
        <v>1692</v>
      </c>
      <c r="E373">
        <v>3282</v>
      </c>
      <c r="F373" t="s">
        <v>1022</v>
      </c>
      <c r="G373" t="s">
        <v>1013</v>
      </c>
      <c r="Q373">
        <v>1</v>
      </c>
      <c r="S373">
        <v>1</v>
      </c>
      <c r="Y373">
        <v>0</v>
      </c>
      <c r="AN373">
        <v>1</v>
      </c>
      <c r="AP373">
        <v>1</v>
      </c>
      <c r="AU373">
        <v>0</v>
      </c>
      <c r="AW373" t="s">
        <v>474</v>
      </c>
      <c r="AX373" t="s">
        <v>1233</v>
      </c>
      <c r="AY373" t="s">
        <v>441</v>
      </c>
      <c r="AZ373" t="s">
        <v>1306</v>
      </c>
    </row>
    <row r="374" spans="1:52">
      <c r="A374">
        <v>318</v>
      </c>
      <c r="B374" t="s">
        <v>1727</v>
      </c>
      <c r="C374">
        <v>318</v>
      </c>
      <c r="D374" t="s">
        <v>1692</v>
      </c>
      <c r="E374">
        <v>3303</v>
      </c>
      <c r="F374" t="s">
        <v>1493</v>
      </c>
      <c r="G374" t="s">
        <v>1013</v>
      </c>
      <c r="O374">
        <v>1</v>
      </c>
      <c r="S374">
        <v>1</v>
      </c>
      <c r="Y374">
        <v>0</v>
      </c>
      <c r="AL374">
        <v>1</v>
      </c>
      <c r="AP374">
        <v>1</v>
      </c>
      <c r="AU374">
        <v>0</v>
      </c>
      <c r="AW374" t="s">
        <v>474</v>
      </c>
      <c r="AX374" t="s">
        <v>845</v>
      </c>
      <c r="AY374" t="s">
        <v>441</v>
      </c>
      <c r="AZ374" t="s">
        <v>1306</v>
      </c>
    </row>
    <row r="375" spans="1:52">
      <c r="A375">
        <v>318</v>
      </c>
      <c r="B375" t="s">
        <v>1727</v>
      </c>
      <c r="C375">
        <v>318</v>
      </c>
      <c r="D375" t="s">
        <v>1692</v>
      </c>
      <c r="E375">
        <v>3548</v>
      </c>
      <c r="F375" t="s">
        <v>1081</v>
      </c>
      <c r="G375" t="s">
        <v>1013</v>
      </c>
      <c r="P375">
        <v>1</v>
      </c>
      <c r="Q375">
        <v>13</v>
      </c>
      <c r="S375">
        <v>14</v>
      </c>
      <c r="Y375">
        <v>0</v>
      </c>
      <c r="AM375">
        <v>1</v>
      </c>
      <c r="AN375">
        <v>13</v>
      </c>
      <c r="AP375">
        <v>14</v>
      </c>
      <c r="AU375">
        <v>0</v>
      </c>
      <c r="AW375" t="s">
        <v>474</v>
      </c>
      <c r="AX375" t="s">
        <v>854</v>
      </c>
      <c r="AY375" t="s">
        <v>441</v>
      </c>
      <c r="AZ375" t="s">
        <v>1306</v>
      </c>
    </row>
    <row r="376" spans="1:52">
      <c r="A376">
        <v>318</v>
      </c>
      <c r="B376" t="s">
        <v>1727</v>
      </c>
      <c r="C376">
        <v>318</v>
      </c>
      <c r="D376" t="s">
        <v>1692</v>
      </c>
      <c r="E376">
        <v>3557</v>
      </c>
      <c r="F376" t="s">
        <v>1693</v>
      </c>
      <c r="G376" t="s">
        <v>1013</v>
      </c>
      <c r="Q376">
        <v>1</v>
      </c>
      <c r="S376">
        <v>1</v>
      </c>
      <c r="Y376">
        <v>0</v>
      </c>
      <c r="AN376">
        <v>1</v>
      </c>
      <c r="AP376">
        <v>1</v>
      </c>
      <c r="AU376">
        <v>0</v>
      </c>
      <c r="AW376" t="s">
        <v>474</v>
      </c>
      <c r="AX376" t="s">
        <v>1463</v>
      </c>
      <c r="AY376" t="s">
        <v>441</v>
      </c>
      <c r="AZ376" t="s">
        <v>1306</v>
      </c>
    </row>
    <row r="377" spans="1:52">
      <c r="A377">
        <v>318</v>
      </c>
      <c r="B377" t="s">
        <v>1727</v>
      </c>
      <c r="C377">
        <v>318</v>
      </c>
      <c r="D377" t="s">
        <v>1692</v>
      </c>
      <c r="E377">
        <v>5725</v>
      </c>
      <c r="F377" t="s">
        <v>1038</v>
      </c>
      <c r="G377" t="s">
        <v>1013</v>
      </c>
      <c r="Q377">
        <v>1</v>
      </c>
      <c r="S377">
        <v>1</v>
      </c>
      <c r="Y377">
        <v>0</v>
      </c>
      <c r="AN377">
        <v>1</v>
      </c>
      <c r="AP377">
        <v>1</v>
      </c>
      <c r="AU377">
        <v>0</v>
      </c>
      <c r="AW377" t="s">
        <v>474</v>
      </c>
      <c r="AX377" t="s">
        <v>862</v>
      </c>
      <c r="AY377" t="s">
        <v>441</v>
      </c>
      <c r="AZ377" t="s">
        <v>1306</v>
      </c>
    </row>
    <row r="378" spans="1:52">
      <c r="A378">
        <v>318</v>
      </c>
      <c r="B378" t="s">
        <v>1727</v>
      </c>
      <c r="C378">
        <v>5070</v>
      </c>
      <c r="D378" t="s">
        <v>1377</v>
      </c>
      <c r="E378">
        <v>1523</v>
      </c>
      <c r="F378" t="s">
        <v>1728</v>
      </c>
      <c r="G378" t="s">
        <v>1013</v>
      </c>
      <c r="H378">
        <v>7</v>
      </c>
      <c r="I378">
        <v>26</v>
      </c>
      <c r="J378">
        <v>20</v>
      </c>
      <c r="K378">
        <v>19</v>
      </c>
      <c r="L378">
        <v>18</v>
      </c>
      <c r="N378">
        <v>26</v>
      </c>
      <c r="O378">
        <v>25</v>
      </c>
      <c r="S378">
        <v>236.5</v>
      </c>
      <c r="Y378">
        <v>0</v>
      </c>
      <c r="Z378">
        <v>14</v>
      </c>
      <c r="AA378">
        <v>23</v>
      </c>
      <c r="AB378">
        <v>14</v>
      </c>
      <c r="AC378">
        <v>19</v>
      </c>
      <c r="AD378">
        <v>22</v>
      </c>
      <c r="AE378">
        <v>29</v>
      </c>
      <c r="AF378">
        <v>26</v>
      </c>
      <c r="AG378">
        <v>20</v>
      </c>
      <c r="AH378">
        <v>19</v>
      </c>
      <c r="AI378">
        <v>18</v>
      </c>
      <c r="AK378">
        <v>26</v>
      </c>
      <c r="AL378">
        <v>25</v>
      </c>
      <c r="AP378">
        <v>255</v>
      </c>
      <c r="AU378">
        <v>0</v>
      </c>
      <c r="AW378" t="s">
        <v>474</v>
      </c>
      <c r="AX378" t="s">
        <v>1463</v>
      </c>
      <c r="AY378" t="s">
        <v>441</v>
      </c>
      <c r="AZ378" t="s">
        <v>1575</v>
      </c>
    </row>
    <row r="379" spans="1:52">
      <c r="A379">
        <v>318</v>
      </c>
      <c r="B379" t="s">
        <v>1727</v>
      </c>
      <c r="C379">
        <v>9011</v>
      </c>
      <c r="D379" t="s">
        <v>1576</v>
      </c>
      <c r="E379">
        <v>7502</v>
      </c>
      <c r="F379" t="s">
        <v>1026</v>
      </c>
      <c r="G379" t="s">
        <v>1027</v>
      </c>
      <c r="P379">
        <v>2</v>
      </c>
      <c r="Q379">
        <v>1</v>
      </c>
      <c r="S379">
        <v>3</v>
      </c>
      <c r="Y379">
        <v>0</v>
      </c>
      <c r="AM379">
        <v>2</v>
      </c>
      <c r="AN379">
        <v>1</v>
      </c>
      <c r="AP379">
        <v>3</v>
      </c>
      <c r="AU379">
        <v>0</v>
      </c>
      <c r="AW379" t="s">
        <v>474</v>
      </c>
      <c r="AX379" t="s">
        <v>1397</v>
      </c>
      <c r="AY379" t="s">
        <v>441</v>
      </c>
      <c r="AZ379" t="s">
        <v>1306</v>
      </c>
    </row>
    <row r="380" spans="1:52">
      <c r="A380">
        <v>323</v>
      </c>
      <c r="B380" t="s">
        <v>1729</v>
      </c>
      <c r="C380">
        <v>323</v>
      </c>
      <c r="D380" t="s">
        <v>1730</v>
      </c>
      <c r="E380">
        <v>3559</v>
      </c>
      <c r="F380" t="s">
        <v>1731</v>
      </c>
      <c r="G380" t="s">
        <v>1013</v>
      </c>
      <c r="H380">
        <v>1.5</v>
      </c>
      <c r="I380">
        <v>3</v>
      </c>
      <c r="J380">
        <v>2</v>
      </c>
      <c r="K380">
        <v>5</v>
      </c>
      <c r="L380">
        <v>3</v>
      </c>
      <c r="S380">
        <v>35</v>
      </c>
      <c r="Y380">
        <v>0</v>
      </c>
      <c r="Z380">
        <v>3</v>
      </c>
      <c r="AA380">
        <v>3</v>
      </c>
      <c r="AB380">
        <v>2</v>
      </c>
      <c r="AC380">
        <v>9</v>
      </c>
      <c r="AD380">
        <v>4</v>
      </c>
      <c r="AE380">
        <v>4</v>
      </c>
      <c r="AF380">
        <v>3</v>
      </c>
      <c r="AG380">
        <v>2</v>
      </c>
      <c r="AH380">
        <v>5</v>
      </c>
      <c r="AI380">
        <v>3</v>
      </c>
      <c r="AP380">
        <v>38</v>
      </c>
      <c r="AU380">
        <v>0</v>
      </c>
      <c r="AW380" t="s">
        <v>474</v>
      </c>
      <c r="AX380" t="s">
        <v>1463</v>
      </c>
      <c r="AY380" t="s">
        <v>441</v>
      </c>
      <c r="AZ380" t="s">
        <v>1575</v>
      </c>
    </row>
    <row r="381" spans="1:52">
      <c r="A381">
        <v>323</v>
      </c>
      <c r="B381" t="s">
        <v>1729</v>
      </c>
      <c r="C381">
        <v>1022</v>
      </c>
      <c r="D381" t="s">
        <v>1684</v>
      </c>
      <c r="E381">
        <v>3310</v>
      </c>
      <c r="F381" t="s">
        <v>1045</v>
      </c>
      <c r="G381" t="s">
        <v>1013</v>
      </c>
      <c r="P381">
        <v>1</v>
      </c>
      <c r="S381">
        <v>1</v>
      </c>
      <c r="Y381">
        <v>0</v>
      </c>
      <c r="AM381">
        <v>1</v>
      </c>
      <c r="AP381">
        <v>1</v>
      </c>
      <c r="AU381">
        <v>0</v>
      </c>
      <c r="AW381" t="s">
        <v>474</v>
      </c>
      <c r="AX381" t="s">
        <v>1233</v>
      </c>
      <c r="AY381" t="s">
        <v>441</v>
      </c>
      <c r="AZ381" t="s">
        <v>1306</v>
      </c>
    </row>
    <row r="382" spans="1:52">
      <c r="A382">
        <v>323</v>
      </c>
      <c r="B382" t="s">
        <v>1729</v>
      </c>
      <c r="C382">
        <v>1022</v>
      </c>
      <c r="D382" t="s">
        <v>1684</v>
      </c>
      <c r="E382">
        <v>3395</v>
      </c>
      <c r="F382" t="s">
        <v>1479</v>
      </c>
      <c r="G382" t="s">
        <v>1013</v>
      </c>
      <c r="N382">
        <v>1</v>
      </c>
      <c r="S382">
        <v>1</v>
      </c>
      <c r="Y382">
        <v>0</v>
      </c>
      <c r="AK382">
        <v>1</v>
      </c>
      <c r="AP382">
        <v>1</v>
      </c>
      <c r="AU382">
        <v>0</v>
      </c>
      <c r="AW382" t="s">
        <v>474</v>
      </c>
      <c r="AX382" t="s">
        <v>1233</v>
      </c>
      <c r="AY382" t="s">
        <v>441</v>
      </c>
      <c r="AZ382" t="s">
        <v>1306</v>
      </c>
    </row>
    <row r="383" spans="1:52">
      <c r="A383">
        <v>323</v>
      </c>
      <c r="B383" t="s">
        <v>1729</v>
      </c>
      <c r="C383">
        <v>1022</v>
      </c>
      <c r="D383" t="s">
        <v>1684</v>
      </c>
      <c r="E383">
        <v>3548</v>
      </c>
      <c r="F383" t="s">
        <v>1081</v>
      </c>
      <c r="G383" t="s">
        <v>1013</v>
      </c>
      <c r="N383">
        <v>1</v>
      </c>
      <c r="P383">
        <v>1</v>
      </c>
      <c r="S383">
        <v>2</v>
      </c>
      <c r="Y383">
        <v>0</v>
      </c>
      <c r="AK383">
        <v>1</v>
      </c>
      <c r="AM383">
        <v>1</v>
      </c>
      <c r="AP383">
        <v>2</v>
      </c>
      <c r="AU383">
        <v>0</v>
      </c>
      <c r="AW383" t="s">
        <v>474</v>
      </c>
      <c r="AX383" t="s">
        <v>854</v>
      </c>
      <c r="AY383" t="s">
        <v>441</v>
      </c>
      <c r="AZ383" t="s">
        <v>1306</v>
      </c>
    </row>
    <row r="384" spans="1:52">
      <c r="A384">
        <v>324</v>
      </c>
      <c r="B384" t="s">
        <v>1732</v>
      </c>
      <c r="C384">
        <v>324</v>
      </c>
      <c r="D384" t="s">
        <v>1711</v>
      </c>
      <c r="E384">
        <v>1758</v>
      </c>
      <c r="F384" t="s">
        <v>1020</v>
      </c>
      <c r="G384" t="s">
        <v>1013</v>
      </c>
      <c r="N384">
        <v>1</v>
      </c>
      <c r="P384">
        <v>2</v>
      </c>
      <c r="S384">
        <v>3</v>
      </c>
      <c r="Y384">
        <v>0</v>
      </c>
      <c r="AK384">
        <v>1</v>
      </c>
      <c r="AM384">
        <v>2</v>
      </c>
      <c r="AP384">
        <v>3</v>
      </c>
      <c r="AU384">
        <v>0</v>
      </c>
      <c r="AW384" t="s">
        <v>473</v>
      </c>
      <c r="AX384" t="s">
        <v>1463</v>
      </c>
      <c r="AY384" t="s">
        <v>441</v>
      </c>
      <c r="AZ384" t="s">
        <v>1306</v>
      </c>
    </row>
    <row r="385" spans="1:52">
      <c r="A385">
        <v>324</v>
      </c>
      <c r="B385" t="s">
        <v>1732</v>
      </c>
      <c r="C385">
        <v>324</v>
      </c>
      <c r="D385" t="s">
        <v>1711</v>
      </c>
      <c r="E385">
        <v>3305</v>
      </c>
      <c r="F385" t="s">
        <v>1024</v>
      </c>
      <c r="G385" t="s">
        <v>1013</v>
      </c>
      <c r="O385">
        <v>1</v>
      </c>
      <c r="S385">
        <v>1</v>
      </c>
      <c r="Y385">
        <v>0</v>
      </c>
      <c r="AL385">
        <v>1</v>
      </c>
      <c r="AP385">
        <v>1</v>
      </c>
      <c r="AU385">
        <v>0</v>
      </c>
      <c r="AW385" t="s">
        <v>473</v>
      </c>
      <c r="AX385" t="s">
        <v>1233</v>
      </c>
      <c r="AY385" t="s">
        <v>441</v>
      </c>
      <c r="AZ385" t="s">
        <v>1306</v>
      </c>
    </row>
    <row r="386" spans="1:52">
      <c r="A386">
        <v>324</v>
      </c>
      <c r="B386" t="s">
        <v>1732</v>
      </c>
      <c r="C386">
        <v>324</v>
      </c>
      <c r="D386" t="s">
        <v>1711</v>
      </c>
      <c r="E386">
        <v>3310</v>
      </c>
      <c r="F386" t="s">
        <v>1045</v>
      </c>
      <c r="G386" t="s">
        <v>1013</v>
      </c>
      <c r="Q386">
        <v>1</v>
      </c>
      <c r="S386">
        <v>1</v>
      </c>
      <c r="Y386">
        <v>0</v>
      </c>
      <c r="AN386">
        <v>1</v>
      </c>
      <c r="AP386">
        <v>1</v>
      </c>
      <c r="AU386">
        <v>0</v>
      </c>
      <c r="AW386" t="s">
        <v>473</v>
      </c>
      <c r="AX386" t="s">
        <v>1233</v>
      </c>
      <c r="AY386" t="s">
        <v>441</v>
      </c>
      <c r="AZ386" t="s">
        <v>1306</v>
      </c>
    </row>
    <row r="387" spans="1:52">
      <c r="A387">
        <v>324</v>
      </c>
      <c r="B387" t="s">
        <v>1732</v>
      </c>
      <c r="C387">
        <v>324</v>
      </c>
      <c r="D387" t="s">
        <v>1711</v>
      </c>
      <c r="E387">
        <v>3343</v>
      </c>
      <c r="F387" t="s">
        <v>1473</v>
      </c>
      <c r="G387" t="s">
        <v>1013</v>
      </c>
      <c r="N387">
        <v>1</v>
      </c>
      <c r="P387">
        <v>1</v>
      </c>
      <c r="S387">
        <v>2</v>
      </c>
      <c r="Y387">
        <v>0</v>
      </c>
      <c r="AK387">
        <v>1</v>
      </c>
      <c r="AM387">
        <v>1</v>
      </c>
      <c r="AP387">
        <v>2</v>
      </c>
      <c r="AU387">
        <v>0</v>
      </c>
      <c r="AW387" t="s">
        <v>473</v>
      </c>
      <c r="AX387" t="s">
        <v>1388</v>
      </c>
      <c r="AY387" t="s">
        <v>441</v>
      </c>
      <c r="AZ387" t="s">
        <v>1306</v>
      </c>
    </row>
    <row r="388" spans="1:52">
      <c r="A388">
        <v>324</v>
      </c>
      <c r="B388" t="s">
        <v>1732</v>
      </c>
      <c r="C388">
        <v>324</v>
      </c>
      <c r="D388" t="s">
        <v>1711</v>
      </c>
      <c r="E388">
        <v>3370</v>
      </c>
      <c r="F388" t="s">
        <v>1049</v>
      </c>
      <c r="G388" t="s">
        <v>1013</v>
      </c>
      <c r="N388">
        <v>1</v>
      </c>
      <c r="S388">
        <v>1</v>
      </c>
      <c r="Y388">
        <v>0</v>
      </c>
      <c r="AK388">
        <v>1</v>
      </c>
      <c r="AP388">
        <v>1</v>
      </c>
      <c r="AU388">
        <v>0</v>
      </c>
      <c r="AW388" t="s">
        <v>473</v>
      </c>
      <c r="AX388" t="s">
        <v>1233</v>
      </c>
      <c r="AY388" t="s">
        <v>441</v>
      </c>
      <c r="AZ388" t="s">
        <v>1306</v>
      </c>
    </row>
    <row r="389" spans="1:52">
      <c r="A389">
        <v>324</v>
      </c>
      <c r="B389" t="s">
        <v>1732</v>
      </c>
      <c r="C389">
        <v>324</v>
      </c>
      <c r="D389" t="s">
        <v>1711</v>
      </c>
      <c r="E389">
        <v>3383</v>
      </c>
      <c r="F389" t="s">
        <v>1709</v>
      </c>
      <c r="G389" t="s">
        <v>1013</v>
      </c>
      <c r="N389">
        <v>2</v>
      </c>
      <c r="O389">
        <v>3</v>
      </c>
      <c r="P389">
        <v>6</v>
      </c>
      <c r="Q389">
        <v>6</v>
      </c>
      <c r="S389">
        <v>17</v>
      </c>
      <c r="Y389">
        <v>0</v>
      </c>
      <c r="AK389">
        <v>2</v>
      </c>
      <c r="AL389">
        <v>3</v>
      </c>
      <c r="AM389">
        <v>6</v>
      </c>
      <c r="AN389">
        <v>6</v>
      </c>
      <c r="AP389">
        <v>17</v>
      </c>
      <c r="AU389">
        <v>0</v>
      </c>
      <c r="AW389" t="s">
        <v>473</v>
      </c>
      <c r="AX389" t="s">
        <v>865</v>
      </c>
      <c r="AY389" t="s">
        <v>441</v>
      </c>
      <c r="AZ389" t="s">
        <v>1306</v>
      </c>
    </row>
    <row r="390" spans="1:52">
      <c r="A390">
        <v>324</v>
      </c>
      <c r="B390" t="s">
        <v>1732</v>
      </c>
      <c r="C390">
        <v>324</v>
      </c>
      <c r="D390" t="s">
        <v>1711</v>
      </c>
      <c r="E390">
        <v>3397</v>
      </c>
      <c r="F390" t="s">
        <v>1726</v>
      </c>
      <c r="G390" t="s">
        <v>1013</v>
      </c>
      <c r="N390">
        <v>1</v>
      </c>
      <c r="S390">
        <v>1</v>
      </c>
      <c r="Y390">
        <v>0</v>
      </c>
      <c r="AK390">
        <v>1</v>
      </c>
      <c r="AP390">
        <v>1</v>
      </c>
      <c r="AU390">
        <v>0</v>
      </c>
      <c r="AW390" t="s">
        <v>473</v>
      </c>
      <c r="AX390" t="s">
        <v>1733</v>
      </c>
      <c r="AY390" t="s">
        <v>441</v>
      </c>
      <c r="AZ390" t="s">
        <v>1306</v>
      </c>
    </row>
    <row r="391" spans="1:52">
      <c r="A391">
        <v>324</v>
      </c>
      <c r="B391" t="s">
        <v>1732</v>
      </c>
      <c r="C391">
        <v>324</v>
      </c>
      <c r="D391" t="s">
        <v>1711</v>
      </c>
      <c r="E391">
        <v>9825</v>
      </c>
      <c r="F391" t="s">
        <v>1703</v>
      </c>
      <c r="G391" t="s">
        <v>1013</v>
      </c>
      <c r="P391">
        <v>1</v>
      </c>
      <c r="S391">
        <v>1</v>
      </c>
      <c r="Y391">
        <v>0</v>
      </c>
      <c r="AM391">
        <v>1</v>
      </c>
      <c r="AP391">
        <v>1</v>
      </c>
      <c r="AU391">
        <v>0</v>
      </c>
      <c r="AW391" t="s">
        <v>473</v>
      </c>
      <c r="AX391" t="s">
        <v>1704</v>
      </c>
      <c r="AY391" t="s">
        <v>441</v>
      </c>
      <c r="AZ391" t="s">
        <v>1306</v>
      </c>
    </row>
    <row r="392" spans="1:52">
      <c r="A392">
        <v>327</v>
      </c>
      <c r="B392" t="s">
        <v>638</v>
      </c>
      <c r="C392">
        <v>3548</v>
      </c>
      <c r="D392" t="s">
        <v>730</v>
      </c>
      <c r="E392">
        <v>8193</v>
      </c>
      <c r="F392" t="s">
        <v>1472</v>
      </c>
      <c r="G392" t="s">
        <v>1027</v>
      </c>
      <c r="N392">
        <v>1</v>
      </c>
      <c r="Q392">
        <v>3</v>
      </c>
      <c r="S392">
        <v>4</v>
      </c>
      <c r="V392">
        <v>16</v>
      </c>
      <c r="W392">
        <v>1</v>
      </c>
      <c r="Y392">
        <v>17</v>
      </c>
      <c r="AK392">
        <v>1</v>
      </c>
      <c r="AN392">
        <v>3</v>
      </c>
      <c r="AP392">
        <v>4</v>
      </c>
      <c r="AS392">
        <v>16</v>
      </c>
      <c r="AT392">
        <v>1</v>
      </c>
      <c r="AU392">
        <v>17</v>
      </c>
      <c r="AW392" t="s">
        <v>474</v>
      </c>
      <c r="AX392" t="s">
        <v>1233</v>
      </c>
      <c r="AY392" t="s">
        <v>441</v>
      </c>
      <c r="AZ392" t="s">
        <v>1306</v>
      </c>
    </row>
    <row r="393" spans="1:52">
      <c r="A393">
        <v>327</v>
      </c>
      <c r="B393" t="s">
        <v>638</v>
      </c>
      <c r="C393">
        <v>9011</v>
      </c>
      <c r="D393" t="s">
        <v>1576</v>
      </c>
      <c r="E393">
        <v>1758</v>
      </c>
      <c r="F393" t="s">
        <v>1020</v>
      </c>
      <c r="G393" t="s">
        <v>1013</v>
      </c>
      <c r="P393">
        <v>2</v>
      </c>
      <c r="Q393">
        <v>2</v>
      </c>
      <c r="S393">
        <v>4</v>
      </c>
      <c r="Y393">
        <v>0</v>
      </c>
      <c r="AM393">
        <v>2</v>
      </c>
      <c r="AN393">
        <v>2</v>
      </c>
      <c r="AP393">
        <v>4</v>
      </c>
      <c r="AU393">
        <v>0</v>
      </c>
      <c r="AW393" t="s">
        <v>474</v>
      </c>
      <c r="AX393" t="s">
        <v>1463</v>
      </c>
      <c r="AY393" t="s">
        <v>441</v>
      </c>
      <c r="AZ393" t="s">
        <v>1306</v>
      </c>
    </row>
    <row r="394" spans="1:52">
      <c r="A394">
        <v>327</v>
      </c>
      <c r="B394" t="s">
        <v>638</v>
      </c>
      <c r="C394">
        <v>9011</v>
      </c>
      <c r="D394" t="s">
        <v>1576</v>
      </c>
      <c r="E394">
        <v>3401</v>
      </c>
      <c r="F394" t="s">
        <v>1034</v>
      </c>
      <c r="G394" t="s">
        <v>1013</v>
      </c>
      <c r="Q394">
        <v>1</v>
      </c>
      <c r="S394">
        <v>1</v>
      </c>
      <c r="Y394">
        <v>0</v>
      </c>
      <c r="AN394">
        <v>1</v>
      </c>
      <c r="AP394">
        <v>1</v>
      </c>
      <c r="AU394">
        <v>0</v>
      </c>
      <c r="AW394" t="s">
        <v>474</v>
      </c>
      <c r="AX394" t="s">
        <v>856</v>
      </c>
      <c r="AY394" t="s">
        <v>441</v>
      </c>
      <c r="AZ394" t="s">
        <v>1306</v>
      </c>
    </row>
    <row r="395" spans="1:52">
      <c r="A395">
        <v>327</v>
      </c>
      <c r="B395" t="s">
        <v>638</v>
      </c>
      <c r="C395">
        <v>9011</v>
      </c>
      <c r="D395" t="s">
        <v>1576</v>
      </c>
      <c r="E395">
        <v>7502</v>
      </c>
      <c r="F395" t="s">
        <v>1026</v>
      </c>
      <c r="G395" t="s">
        <v>1027</v>
      </c>
      <c r="O395">
        <v>6</v>
      </c>
      <c r="P395">
        <v>8</v>
      </c>
      <c r="S395">
        <v>14</v>
      </c>
      <c r="Y395">
        <v>0</v>
      </c>
      <c r="AL395">
        <v>6</v>
      </c>
      <c r="AM395">
        <v>8</v>
      </c>
      <c r="AP395">
        <v>14</v>
      </c>
      <c r="AU395">
        <v>0</v>
      </c>
      <c r="AW395" t="s">
        <v>474</v>
      </c>
      <c r="AX395" t="s">
        <v>1397</v>
      </c>
      <c r="AY395" t="s">
        <v>441</v>
      </c>
      <c r="AZ395" t="s">
        <v>1306</v>
      </c>
    </row>
    <row r="396" spans="1:52">
      <c r="A396">
        <v>328</v>
      </c>
      <c r="B396" t="s">
        <v>1734</v>
      </c>
      <c r="C396">
        <v>5070</v>
      </c>
      <c r="D396" t="s">
        <v>1377</v>
      </c>
      <c r="E396">
        <v>3551</v>
      </c>
      <c r="F396" t="s">
        <v>1698</v>
      </c>
      <c r="G396" t="s">
        <v>1013</v>
      </c>
      <c r="I396">
        <v>1</v>
      </c>
      <c r="J396">
        <v>2</v>
      </c>
      <c r="L396">
        <v>2</v>
      </c>
      <c r="O396">
        <v>1</v>
      </c>
      <c r="P396">
        <v>6</v>
      </c>
      <c r="Q396">
        <v>4</v>
      </c>
      <c r="S396">
        <v>48</v>
      </c>
      <c r="Y396">
        <v>0</v>
      </c>
      <c r="AA396">
        <v>15</v>
      </c>
      <c r="AB396">
        <v>13</v>
      </c>
      <c r="AC396">
        <v>5</v>
      </c>
      <c r="AD396">
        <v>2</v>
      </c>
      <c r="AE396">
        <v>4</v>
      </c>
      <c r="AF396">
        <v>1</v>
      </c>
      <c r="AG396">
        <v>2</v>
      </c>
      <c r="AI396">
        <v>2</v>
      </c>
      <c r="AL396">
        <v>1</v>
      </c>
      <c r="AM396">
        <v>6</v>
      </c>
      <c r="AN396">
        <v>4</v>
      </c>
      <c r="AP396">
        <v>55</v>
      </c>
      <c r="AU396">
        <v>0</v>
      </c>
      <c r="AW396" s="383" t="s">
        <v>1735</v>
      </c>
      <c r="AX396" t="s">
        <v>1463</v>
      </c>
      <c r="AY396" t="s">
        <v>441</v>
      </c>
      <c r="AZ396" t="s">
        <v>1575</v>
      </c>
    </row>
    <row r="397" spans="1:52">
      <c r="A397" s="484">
        <v>340</v>
      </c>
      <c r="B397" s="484" t="s">
        <v>1736</v>
      </c>
      <c r="C397">
        <v>274</v>
      </c>
      <c r="D397" t="s">
        <v>1601</v>
      </c>
      <c r="E397">
        <v>3522</v>
      </c>
      <c r="F397" t="s">
        <v>1614</v>
      </c>
      <c r="G397" t="s">
        <v>1013</v>
      </c>
      <c r="I397">
        <v>1</v>
      </c>
      <c r="S397">
        <v>1</v>
      </c>
      <c r="Y397">
        <v>0</v>
      </c>
      <c r="AF397">
        <v>1</v>
      </c>
      <c r="AP397">
        <v>1</v>
      </c>
      <c r="AU397">
        <v>0</v>
      </c>
      <c r="AW397" s="383" t="s">
        <v>1735</v>
      </c>
      <c r="AX397" t="s">
        <v>1633</v>
      </c>
      <c r="AY397" t="s">
        <v>1735</v>
      </c>
      <c r="AZ397" t="s">
        <v>1306</v>
      </c>
    </row>
    <row r="398" spans="1:52">
      <c r="A398" s="484">
        <v>340</v>
      </c>
      <c r="B398" s="484" t="s">
        <v>1736</v>
      </c>
      <c r="C398">
        <v>282</v>
      </c>
      <c r="D398" t="s">
        <v>1646</v>
      </c>
      <c r="E398">
        <v>1150</v>
      </c>
      <c r="F398" t="s">
        <v>1647</v>
      </c>
      <c r="G398" t="s">
        <v>1013</v>
      </c>
      <c r="Q398">
        <v>1</v>
      </c>
      <c r="S398">
        <v>1</v>
      </c>
      <c r="Y398">
        <v>0</v>
      </c>
      <c r="AN398">
        <v>1</v>
      </c>
      <c r="AP398">
        <v>1</v>
      </c>
      <c r="AU398">
        <v>0</v>
      </c>
      <c r="AW398" s="383" t="s">
        <v>1735</v>
      </c>
      <c r="AX398" t="s">
        <v>1463</v>
      </c>
      <c r="AY398" t="s">
        <v>1735</v>
      </c>
      <c r="AZ398" t="s">
        <v>1306</v>
      </c>
    </row>
    <row r="399" spans="1:52">
      <c r="A399" s="484">
        <v>366</v>
      </c>
      <c r="B399" s="484" t="s">
        <v>1737</v>
      </c>
      <c r="C399">
        <v>3010</v>
      </c>
      <c r="D399" t="s">
        <v>1371</v>
      </c>
      <c r="E399">
        <v>3403</v>
      </c>
      <c r="F399" t="s">
        <v>1503</v>
      </c>
      <c r="G399" t="s">
        <v>1013</v>
      </c>
      <c r="Q399">
        <v>1</v>
      </c>
      <c r="S399">
        <v>1</v>
      </c>
      <c r="Y399">
        <v>0</v>
      </c>
      <c r="AN399">
        <v>1</v>
      </c>
      <c r="AP399">
        <v>1</v>
      </c>
      <c r="AU399">
        <v>0</v>
      </c>
      <c r="AW399" s="383" t="s">
        <v>1735</v>
      </c>
      <c r="AX399" t="s">
        <v>856</v>
      </c>
      <c r="AY399" t="s">
        <v>1735</v>
      </c>
      <c r="AZ399" t="s">
        <v>1306</v>
      </c>
    </row>
    <row r="400" spans="1:52">
      <c r="A400" s="484">
        <v>379</v>
      </c>
      <c r="B400" s="484" t="s">
        <v>1738</v>
      </c>
      <c r="C400">
        <v>5070</v>
      </c>
      <c r="D400" t="s">
        <v>1377</v>
      </c>
      <c r="E400">
        <v>1145</v>
      </c>
      <c r="F400" t="s">
        <v>1574</v>
      </c>
      <c r="G400" t="s">
        <v>1013</v>
      </c>
      <c r="S400">
        <v>1</v>
      </c>
      <c r="Y400">
        <v>0</v>
      </c>
      <c r="AE400">
        <v>1</v>
      </c>
      <c r="AP400">
        <v>1</v>
      </c>
      <c r="AU400">
        <v>0</v>
      </c>
      <c r="AW400" s="383" t="s">
        <v>1735</v>
      </c>
      <c r="AX400" t="s">
        <v>1463</v>
      </c>
      <c r="AY400" t="s">
        <v>1735</v>
      </c>
      <c r="AZ400" t="s">
        <v>1306</v>
      </c>
    </row>
    <row r="401" spans="1:52" ht="15">
      <c r="A401" s="487">
        <v>290</v>
      </c>
      <c r="B401" s="487" t="s">
        <v>1665</v>
      </c>
      <c r="C401" s="487"/>
      <c r="D401" s="487"/>
      <c r="E401" s="487"/>
      <c r="F401" s="487"/>
      <c r="G401" s="487" t="s">
        <v>1739</v>
      </c>
      <c r="H401" s="487"/>
      <c r="I401" s="487"/>
      <c r="J401" s="487"/>
      <c r="K401" s="487"/>
      <c r="L401" s="487"/>
      <c r="M401" s="487"/>
      <c r="N401" s="487"/>
      <c r="O401" s="488">
        <v>6</v>
      </c>
      <c r="P401" s="488">
        <v>7</v>
      </c>
      <c r="Q401" s="488">
        <v>1</v>
      </c>
      <c r="R401" s="487"/>
      <c r="S401">
        <v>14</v>
      </c>
      <c r="T401" s="487"/>
      <c r="U401" s="487"/>
      <c r="V401" s="487"/>
      <c r="W401" s="487"/>
      <c r="X401" s="487"/>
      <c r="Y401">
        <v>0</v>
      </c>
      <c r="Z401" s="487"/>
      <c r="AA401" s="487"/>
      <c r="AB401" s="487"/>
      <c r="AC401" s="487"/>
      <c r="AD401" s="487"/>
      <c r="AE401" s="487"/>
      <c r="AF401" s="487"/>
      <c r="AG401" s="487"/>
      <c r="AH401" s="487"/>
      <c r="AI401" s="487"/>
      <c r="AJ401" s="487"/>
      <c r="AK401" s="487"/>
      <c r="AL401" s="488">
        <v>6</v>
      </c>
      <c r="AM401" s="488">
        <v>7</v>
      </c>
      <c r="AN401" s="488">
        <v>1</v>
      </c>
      <c r="AO401" s="487"/>
      <c r="AP401">
        <v>14</v>
      </c>
      <c r="AQ401" s="487"/>
      <c r="AR401" s="487"/>
      <c r="AS401" s="487"/>
      <c r="AT401" s="487"/>
      <c r="AU401">
        <v>0</v>
      </c>
      <c r="AV401" s="487"/>
      <c r="AW401" t="s">
        <v>473</v>
      </c>
      <c r="AX401" t="s">
        <v>1633</v>
      </c>
      <c r="AY401" t="s">
        <v>440</v>
      </c>
      <c r="AZ401" t="s">
        <v>1306</v>
      </c>
    </row>
    <row r="402" spans="1:52" ht="16" thickBot="1">
      <c r="A402" s="489"/>
      <c r="B402" s="489"/>
      <c r="C402" s="489"/>
      <c r="D402" s="489"/>
      <c r="E402" s="489"/>
      <c r="F402" s="489"/>
      <c r="G402" s="489"/>
      <c r="H402" s="489">
        <v>173.5</v>
      </c>
      <c r="I402" s="489">
        <v>395</v>
      </c>
      <c r="J402" s="489">
        <v>384</v>
      </c>
      <c r="K402" s="489">
        <v>361</v>
      </c>
      <c r="L402" s="489">
        <v>369</v>
      </c>
      <c r="M402" s="489">
        <v>0</v>
      </c>
      <c r="N402" s="489">
        <v>462</v>
      </c>
      <c r="O402" s="489">
        <v>544</v>
      </c>
      <c r="P402" s="489">
        <v>609</v>
      </c>
      <c r="Q402" s="489">
        <v>627.5</v>
      </c>
      <c r="R402" s="489">
        <v>4</v>
      </c>
      <c r="S402" s="489">
        <v>5781.5</v>
      </c>
      <c r="T402" s="489">
        <v>3</v>
      </c>
      <c r="U402" s="489">
        <v>75</v>
      </c>
      <c r="V402" s="489">
        <v>99</v>
      </c>
      <c r="W402" s="489">
        <v>4</v>
      </c>
      <c r="X402" s="489">
        <v>0</v>
      </c>
      <c r="Y402" s="489">
        <v>181</v>
      </c>
      <c r="Z402" s="489">
        <v>347</v>
      </c>
      <c r="AA402" s="489">
        <v>387</v>
      </c>
      <c r="AB402" s="489">
        <v>403</v>
      </c>
      <c r="AC402" s="489">
        <v>412</v>
      </c>
      <c r="AD402" s="489">
        <v>418</v>
      </c>
      <c r="AE402" s="489">
        <v>424</v>
      </c>
      <c r="AF402" s="489">
        <v>395</v>
      </c>
      <c r="AG402" s="489">
        <v>384</v>
      </c>
      <c r="AH402" s="489">
        <v>361</v>
      </c>
      <c r="AI402" s="489">
        <v>369</v>
      </c>
      <c r="AJ402" s="489">
        <v>0</v>
      </c>
      <c r="AK402" s="489">
        <v>462</v>
      </c>
      <c r="AL402" s="489">
        <v>544</v>
      </c>
      <c r="AM402" s="489">
        <v>609</v>
      </c>
      <c r="AN402" s="489">
        <v>628</v>
      </c>
      <c r="AO402" s="489">
        <v>4</v>
      </c>
      <c r="AP402" s="489">
        <v>6147</v>
      </c>
      <c r="AQ402" s="489">
        <v>3</v>
      </c>
      <c r="AR402" s="489">
        <v>76</v>
      </c>
      <c r="AS402" s="489">
        <v>99</v>
      </c>
      <c r="AT402" s="489">
        <v>4</v>
      </c>
      <c r="AU402" s="489">
        <v>182</v>
      </c>
      <c r="AV402" s="489"/>
      <c r="AW402" s="489"/>
      <c r="AX402" s="489"/>
      <c r="AY402" s="489"/>
      <c r="AZ402" s="489"/>
    </row>
    <row r="403" spans="1:52">
      <c r="A403" t="s">
        <v>1740</v>
      </c>
      <c r="H403" s="490">
        <v>148</v>
      </c>
      <c r="I403" s="490">
        <v>382</v>
      </c>
      <c r="J403" s="490">
        <v>354</v>
      </c>
      <c r="K403" s="490">
        <v>373</v>
      </c>
      <c r="L403" s="490">
        <v>338</v>
      </c>
      <c r="M403" s="490">
        <v>2</v>
      </c>
      <c r="N403" s="490">
        <v>448</v>
      </c>
      <c r="O403" s="490">
        <v>596</v>
      </c>
      <c r="P403" s="490">
        <v>592</v>
      </c>
      <c r="Q403" s="490">
        <v>641</v>
      </c>
      <c r="R403" s="490">
        <v>7</v>
      </c>
      <c r="S403" s="490">
        <v>5674.5</v>
      </c>
      <c r="T403">
        <v>10</v>
      </c>
      <c r="U403">
        <v>22</v>
      </c>
      <c r="V403">
        <v>134.5</v>
      </c>
      <c r="W403">
        <v>26</v>
      </c>
      <c r="X403" s="490"/>
      <c r="Y403">
        <v>206.5</v>
      </c>
      <c r="Z403" s="490">
        <v>296</v>
      </c>
      <c r="AA403" s="490">
        <v>376</v>
      </c>
      <c r="AB403" s="490">
        <v>382</v>
      </c>
      <c r="AC403" s="490">
        <v>417</v>
      </c>
      <c r="AD403" s="490">
        <v>408</v>
      </c>
      <c r="AE403" s="490">
        <v>399</v>
      </c>
      <c r="AF403" s="490">
        <v>382</v>
      </c>
      <c r="AG403" s="490">
        <v>354</v>
      </c>
      <c r="AH403" s="490">
        <v>373</v>
      </c>
      <c r="AI403" s="490">
        <v>338</v>
      </c>
      <c r="AJ403" s="490">
        <v>2</v>
      </c>
      <c r="AK403" s="490">
        <v>448</v>
      </c>
      <c r="AL403" s="490">
        <v>596</v>
      </c>
      <c r="AM403" s="490">
        <v>592</v>
      </c>
      <c r="AN403" s="490">
        <v>641</v>
      </c>
      <c r="AO403" s="490">
        <v>7</v>
      </c>
      <c r="AP403" s="490">
        <v>6011</v>
      </c>
      <c r="AQ403">
        <v>10</v>
      </c>
      <c r="AR403">
        <v>22</v>
      </c>
      <c r="AS403">
        <v>135</v>
      </c>
      <c r="AT403">
        <v>26</v>
      </c>
      <c r="AU403">
        <v>207</v>
      </c>
    </row>
    <row r="404" spans="1:52" ht="15">
      <c r="H404" s="491">
        <v>25.5</v>
      </c>
      <c r="I404" s="491">
        <v>13</v>
      </c>
      <c r="J404" s="491">
        <v>30</v>
      </c>
      <c r="K404" s="491">
        <v>-12</v>
      </c>
      <c r="L404" s="491">
        <v>31</v>
      </c>
      <c r="M404" s="491">
        <v>-2</v>
      </c>
      <c r="N404" s="491">
        <v>14</v>
      </c>
      <c r="O404" s="491">
        <v>-52</v>
      </c>
      <c r="P404" s="491">
        <v>17</v>
      </c>
      <c r="Q404" s="491">
        <v>-13.5</v>
      </c>
      <c r="R404" s="491">
        <v>-3</v>
      </c>
      <c r="S404" s="491">
        <v>107</v>
      </c>
      <c r="T404" s="491">
        <v>-7</v>
      </c>
      <c r="U404" s="491">
        <v>53</v>
      </c>
      <c r="V404" s="491">
        <v>-35.5</v>
      </c>
      <c r="W404" s="491">
        <v>-22</v>
      </c>
      <c r="X404" s="491">
        <v>0</v>
      </c>
      <c r="Y404" s="491">
        <v>-25.5</v>
      </c>
      <c r="Z404" s="491">
        <v>51</v>
      </c>
      <c r="AA404" s="491">
        <v>11</v>
      </c>
      <c r="AB404" s="491">
        <v>21</v>
      </c>
      <c r="AC404" s="491">
        <v>-5</v>
      </c>
      <c r="AD404" s="491">
        <v>10</v>
      </c>
      <c r="AE404" s="491">
        <v>25</v>
      </c>
      <c r="AF404" s="491">
        <v>13</v>
      </c>
      <c r="AG404" s="491">
        <v>30</v>
      </c>
      <c r="AH404" s="491">
        <v>-12</v>
      </c>
      <c r="AI404" s="491">
        <v>31</v>
      </c>
      <c r="AJ404" s="491">
        <v>-2</v>
      </c>
      <c r="AK404" s="491">
        <v>14</v>
      </c>
      <c r="AL404" s="491">
        <v>-52</v>
      </c>
      <c r="AM404" s="491">
        <v>17</v>
      </c>
      <c r="AN404" s="491">
        <v>-13</v>
      </c>
      <c r="AO404" s="491">
        <v>-3</v>
      </c>
      <c r="AP404" s="491">
        <v>136</v>
      </c>
      <c r="AQ404" s="491">
        <v>-7</v>
      </c>
      <c r="AR404" s="491">
        <v>54</v>
      </c>
      <c r="AS404" s="491">
        <v>-36</v>
      </c>
      <c r="AT404" s="491">
        <v>-22</v>
      </c>
      <c r="AU404" s="491">
        <v>-25</v>
      </c>
      <c r="AV404" s="491"/>
    </row>
    <row r="417" spans="1:30">
      <c r="A417" t="s">
        <v>1741</v>
      </c>
    </row>
    <row r="419" spans="1:30">
      <c r="A419" t="s">
        <v>996</v>
      </c>
      <c r="B419" t="s">
        <v>1742</v>
      </c>
      <c r="I419" s="72"/>
      <c r="J419" s="72"/>
      <c r="K419" s="72"/>
      <c r="L419" s="72"/>
      <c r="M419" s="72"/>
      <c r="N419" s="72"/>
      <c r="O419" s="72"/>
      <c r="P419" s="72"/>
      <c r="Q419" s="72"/>
      <c r="R419" s="72"/>
      <c r="S419" s="72"/>
      <c r="T419" s="72"/>
      <c r="U419" s="72"/>
      <c r="V419" s="72"/>
      <c r="W419" s="72"/>
      <c r="X419" s="72"/>
      <c r="Y419" s="72"/>
      <c r="Z419" s="72"/>
      <c r="AA419" s="494"/>
      <c r="AB419" s="72"/>
      <c r="AC419" s="72"/>
    </row>
    <row r="420" spans="1:30">
      <c r="A420" t="s">
        <v>996</v>
      </c>
      <c r="B420" t="s">
        <v>1742</v>
      </c>
      <c r="I420" s="72"/>
      <c r="J420" s="72"/>
      <c r="K420" s="72"/>
      <c r="L420" s="72"/>
      <c r="M420" s="72"/>
      <c r="N420" s="72"/>
      <c r="O420" s="72"/>
      <c r="P420" s="72"/>
      <c r="Q420" s="72"/>
      <c r="R420" s="72"/>
      <c r="S420" s="72"/>
      <c r="T420" s="72"/>
      <c r="U420" s="72"/>
      <c r="V420" s="72"/>
      <c r="W420" s="72"/>
      <c r="X420" s="72"/>
      <c r="Y420" s="72"/>
      <c r="Z420" s="72"/>
      <c r="AA420" s="494"/>
      <c r="AB420" s="72"/>
      <c r="AC420" s="72"/>
    </row>
    <row r="421" spans="1:30" ht="15">
      <c r="A421" s="1732" t="s">
        <v>1743</v>
      </c>
      <c r="B421" s="1732"/>
      <c r="C421" s="1732"/>
      <c r="D421" s="1732"/>
      <c r="E421" s="1732"/>
      <c r="F421" s="1732"/>
      <c r="G421" s="1732"/>
      <c r="H421" s="1732"/>
      <c r="I421" s="1732"/>
      <c r="J421" s="1732"/>
      <c r="K421" s="1732"/>
      <c r="L421" s="1732"/>
      <c r="M421" s="1732"/>
      <c r="N421" s="1732"/>
      <c r="O421" s="1732"/>
      <c r="P421" s="1732"/>
      <c r="Q421" s="72"/>
      <c r="R421" s="72"/>
      <c r="S421" s="72"/>
      <c r="T421" s="72"/>
      <c r="U421" s="72"/>
      <c r="V421" s="72"/>
      <c r="W421" s="72"/>
      <c r="X421" s="72"/>
      <c r="Y421" s="72"/>
      <c r="Z421" s="72"/>
      <c r="AA421" s="494"/>
      <c r="AB421" s="72"/>
      <c r="AC421" s="72"/>
    </row>
    <row r="422" spans="1:30" ht="15">
      <c r="A422" s="457" t="s">
        <v>998</v>
      </c>
      <c r="B422" s="457"/>
      <c r="C422" s="457"/>
      <c r="D422" s="457"/>
      <c r="E422" s="457"/>
      <c r="F422" s="457"/>
      <c r="G422" s="457"/>
      <c r="H422" s="457"/>
      <c r="I422" s="457"/>
      <c r="J422" s="457"/>
      <c r="K422" s="457"/>
      <c r="L422" s="457"/>
      <c r="M422" s="457"/>
      <c r="N422" s="457"/>
      <c r="O422" s="457"/>
      <c r="P422" s="1733" t="s">
        <v>1744</v>
      </c>
      <c r="Q422" s="1733"/>
      <c r="R422" s="1733"/>
      <c r="S422" s="1733"/>
      <c r="T422" s="1733"/>
      <c r="U422" s="1733"/>
      <c r="V422" s="495"/>
      <c r="W422" s="495"/>
      <c r="X422" s="495"/>
      <c r="Y422" s="495"/>
      <c r="Z422" s="495"/>
      <c r="AA422" s="496"/>
      <c r="AB422" s="495"/>
      <c r="AC422" s="495"/>
    </row>
    <row r="423" spans="1:30" ht="85">
      <c r="A423" s="457"/>
      <c r="B423" s="457"/>
      <c r="C423" s="457"/>
      <c r="D423" s="457"/>
      <c r="E423" s="457"/>
      <c r="F423" s="457"/>
      <c r="G423" s="457"/>
      <c r="H423" s="458" t="s">
        <v>1508</v>
      </c>
      <c r="I423" s="460" t="s">
        <v>1001</v>
      </c>
      <c r="J423" s="460" t="s">
        <v>1001</v>
      </c>
      <c r="K423" s="460" t="s">
        <v>1001</v>
      </c>
      <c r="L423" s="460" t="s">
        <v>1001</v>
      </c>
      <c r="M423" s="460" t="s">
        <v>1001</v>
      </c>
      <c r="N423" s="460" t="s">
        <v>1002</v>
      </c>
      <c r="O423" s="461" t="s">
        <v>697</v>
      </c>
      <c r="P423" s="1734" t="s">
        <v>1745</v>
      </c>
      <c r="Q423" s="1734"/>
      <c r="R423" s="1734"/>
      <c r="S423" s="1734"/>
      <c r="T423" s="1734"/>
      <c r="U423" s="1734"/>
      <c r="V423" s="1735" t="s">
        <v>1001</v>
      </c>
      <c r="W423" s="1735"/>
      <c r="X423" s="1735"/>
      <c r="Y423" s="1735"/>
      <c r="Z423" s="1735"/>
      <c r="AA423" s="1736" t="s">
        <v>1746</v>
      </c>
      <c r="AB423" s="1737"/>
      <c r="AC423" s="1737"/>
      <c r="AD423" s="1737"/>
    </row>
    <row r="424" spans="1:30" ht="155">
      <c r="A424" s="1526" t="s">
        <v>1003</v>
      </c>
      <c r="B424" s="1526" t="s">
        <v>1004</v>
      </c>
      <c r="C424" s="1526" t="s">
        <v>373</v>
      </c>
      <c r="D424" s="1526" t="s">
        <v>374</v>
      </c>
      <c r="E424" s="1526" t="s">
        <v>375</v>
      </c>
      <c r="F424" s="1526" t="s">
        <v>331</v>
      </c>
      <c r="G424" s="1526" t="s">
        <v>1005</v>
      </c>
      <c r="H424" s="1526" t="s">
        <v>1510</v>
      </c>
      <c r="I424" s="1528" t="s">
        <v>1511</v>
      </c>
      <c r="J424" s="1528" t="s">
        <v>1006</v>
      </c>
      <c r="K424" s="1528" t="s">
        <v>1007</v>
      </c>
      <c r="L424" s="1528" t="s">
        <v>1512</v>
      </c>
      <c r="M424" s="1528" t="s">
        <v>1008</v>
      </c>
      <c r="N424" s="1529" t="s">
        <v>1006</v>
      </c>
      <c r="O424" s="1319"/>
      <c r="P424" s="1326" t="s">
        <v>1747</v>
      </c>
      <c r="Q424" s="1326" t="s">
        <v>487</v>
      </c>
      <c r="R424" s="1326" t="s">
        <v>488</v>
      </c>
      <c r="S424" s="1326" t="s">
        <v>479</v>
      </c>
      <c r="T424" s="1326" t="s">
        <v>489</v>
      </c>
      <c r="U424" s="1326" t="s">
        <v>1748</v>
      </c>
      <c r="V424" s="1327" t="s">
        <v>1749</v>
      </c>
      <c r="W424" s="1327" t="s">
        <v>487</v>
      </c>
      <c r="X424" s="1327" t="s">
        <v>488</v>
      </c>
      <c r="Y424" s="1327" t="s">
        <v>489</v>
      </c>
      <c r="Z424" s="1327" t="s">
        <v>994</v>
      </c>
      <c r="AA424" s="497" t="s">
        <v>1750</v>
      </c>
      <c r="AB424" s="1328" t="s">
        <v>1751</v>
      </c>
      <c r="AC424" s="1328" t="s">
        <v>1752</v>
      </c>
      <c r="AD424" s="498" t="s">
        <v>1753</v>
      </c>
    </row>
    <row r="425" spans="1:30" hidden="1">
      <c r="A425" s="462">
        <v>260</v>
      </c>
      <c r="B425" s="462" t="s">
        <v>1569</v>
      </c>
      <c r="C425">
        <v>260</v>
      </c>
      <c r="D425" s="462" t="s">
        <v>1570</v>
      </c>
      <c r="E425">
        <v>3395</v>
      </c>
      <c r="F425" s="462" t="s">
        <v>1479</v>
      </c>
      <c r="G425" t="s">
        <v>1013</v>
      </c>
      <c r="H425" t="s">
        <v>473</v>
      </c>
      <c r="J425">
        <v>1</v>
      </c>
      <c r="O425" s="72">
        <v>1</v>
      </c>
      <c r="P425">
        <v>0</v>
      </c>
      <c r="Q425" s="499">
        <v>0</v>
      </c>
      <c r="R425" s="499">
        <v>0</v>
      </c>
      <c r="S425" s="499">
        <v>0</v>
      </c>
      <c r="T425" s="500">
        <v>0</v>
      </c>
      <c r="U425" s="501">
        <v>0</v>
      </c>
      <c r="V425">
        <v>1</v>
      </c>
      <c r="W425" s="499">
        <v>13351</v>
      </c>
      <c r="X425" s="499">
        <v>1200</v>
      </c>
      <c r="Y425" s="500">
        <v>0</v>
      </c>
      <c r="Z425" s="501">
        <v>14551</v>
      </c>
      <c r="AA425" s="494">
        <v>1</v>
      </c>
      <c r="AB425" s="379">
        <v>6000</v>
      </c>
      <c r="AC425" s="501">
        <v>14551</v>
      </c>
      <c r="AD425" s="379">
        <v>8551</v>
      </c>
    </row>
    <row r="426" spans="1:30" hidden="1">
      <c r="A426" s="462">
        <v>260</v>
      </c>
      <c r="B426" s="462" t="s">
        <v>1569</v>
      </c>
      <c r="C426">
        <v>260</v>
      </c>
      <c r="D426" s="462" t="s">
        <v>1570</v>
      </c>
      <c r="E426">
        <v>5697</v>
      </c>
      <c r="F426" s="462" t="s">
        <v>1572</v>
      </c>
      <c r="G426" t="s">
        <v>1013</v>
      </c>
      <c r="H426" t="s">
        <v>473</v>
      </c>
      <c r="O426" s="72">
        <v>1</v>
      </c>
      <c r="P426">
        <v>1</v>
      </c>
      <c r="Q426" s="499">
        <v>13351</v>
      </c>
      <c r="R426" s="499">
        <v>1200</v>
      </c>
      <c r="S426" s="499">
        <v>150</v>
      </c>
      <c r="T426" s="500">
        <v>0</v>
      </c>
      <c r="U426" s="501">
        <v>14701</v>
      </c>
      <c r="V426">
        <v>0</v>
      </c>
      <c r="W426" s="499">
        <v>0</v>
      </c>
      <c r="X426" s="499">
        <v>0</v>
      </c>
      <c r="Y426" s="500">
        <v>0</v>
      </c>
      <c r="Z426" s="501">
        <v>0</v>
      </c>
      <c r="AA426" s="494">
        <v>1</v>
      </c>
      <c r="AB426" s="379">
        <v>6000</v>
      </c>
      <c r="AC426" s="501">
        <v>14701</v>
      </c>
      <c r="AD426" s="379">
        <v>8701</v>
      </c>
    </row>
    <row r="427" spans="1:30" hidden="1">
      <c r="A427" s="463">
        <v>260</v>
      </c>
      <c r="B427" s="462" t="s">
        <v>1569</v>
      </c>
      <c r="C427">
        <v>260</v>
      </c>
      <c r="D427" s="462" t="s">
        <v>1570</v>
      </c>
      <c r="E427">
        <v>8193</v>
      </c>
      <c r="F427" s="462" t="s">
        <v>1472</v>
      </c>
      <c r="G427" t="s">
        <v>1027</v>
      </c>
      <c r="H427" t="s">
        <v>473</v>
      </c>
      <c r="O427" s="72">
        <v>1</v>
      </c>
      <c r="P427">
        <v>1</v>
      </c>
      <c r="Q427" s="499">
        <v>13351</v>
      </c>
      <c r="R427" s="499">
        <v>1200</v>
      </c>
      <c r="S427" s="499">
        <v>150</v>
      </c>
      <c r="T427" s="500">
        <v>0</v>
      </c>
      <c r="U427" s="501">
        <v>14701</v>
      </c>
      <c r="V427">
        <v>0</v>
      </c>
      <c r="W427" s="499">
        <v>0</v>
      </c>
      <c r="X427" s="499">
        <v>0</v>
      </c>
      <c r="Y427" s="500">
        <v>0</v>
      </c>
      <c r="Z427" s="501">
        <v>0</v>
      </c>
      <c r="AA427" s="494">
        <v>1</v>
      </c>
      <c r="AB427" s="379">
        <v>6000</v>
      </c>
      <c r="AC427" s="501">
        <v>14701</v>
      </c>
      <c r="AD427" s="379">
        <v>8701</v>
      </c>
    </row>
    <row r="428" spans="1:30" hidden="1">
      <c r="A428" s="462">
        <v>261</v>
      </c>
      <c r="B428" s="462" t="s">
        <v>733</v>
      </c>
      <c r="C428">
        <v>3548</v>
      </c>
      <c r="D428" s="462" t="s">
        <v>730</v>
      </c>
      <c r="E428">
        <v>3310</v>
      </c>
      <c r="F428" s="462" t="s">
        <v>1045</v>
      </c>
      <c r="G428" t="s">
        <v>1013</v>
      </c>
      <c r="H428" t="s">
        <v>473</v>
      </c>
      <c r="O428" s="72">
        <v>1</v>
      </c>
      <c r="P428">
        <v>1</v>
      </c>
      <c r="Q428" s="499">
        <v>13351</v>
      </c>
      <c r="R428" s="499">
        <v>1200</v>
      </c>
      <c r="S428" s="499">
        <v>150</v>
      </c>
      <c r="T428" s="500">
        <v>0</v>
      </c>
      <c r="U428" s="501">
        <v>14701</v>
      </c>
      <c r="V428">
        <v>0</v>
      </c>
      <c r="W428" s="499">
        <v>0</v>
      </c>
      <c r="X428" s="499">
        <v>0</v>
      </c>
      <c r="Y428" s="500">
        <v>0</v>
      </c>
      <c r="Z428" s="501">
        <v>0</v>
      </c>
      <c r="AA428" s="494">
        <v>1</v>
      </c>
      <c r="AB428" s="379">
        <v>6000</v>
      </c>
      <c r="AC428" s="501">
        <v>14701</v>
      </c>
      <c r="AD428" s="379">
        <v>8701</v>
      </c>
    </row>
    <row r="429" spans="1:30">
      <c r="A429" s="462">
        <v>261</v>
      </c>
      <c r="B429" s="462" t="s">
        <v>733</v>
      </c>
      <c r="C429">
        <v>3548</v>
      </c>
      <c r="D429" s="462" t="s">
        <v>730</v>
      </c>
      <c r="E429">
        <v>3330</v>
      </c>
      <c r="F429" s="462" t="s">
        <v>1012</v>
      </c>
      <c r="G429" t="s">
        <v>1013</v>
      </c>
      <c r="H429" t="s">
        <v>473</v>
      </c>
      <c r="J429">
        <v>1</v>
      </c>
      <c r="O429" s="72">
        <v>1</v>
      </c>
      <c r="P429">
        <v>0</v>
      </c>
      <c r="Q429" s="499">
        <v>0</v>
      </c>
      <c r="R429" s="499">
        <v>0</v>
      </c>
      <c r="S429" s="499">
        <v>0</v>
      </c>
      <c r="T429" s="500">
        <v>0</v>
      </c>
      <c r="U429" s="501">
        <v>0</v>
      </c>
      <c r="V429">
        <v>1</v>
      </c>
      <c r="W429" s="499">
        <v>13351</v>
      </c>
      <c r="X429" s="499">
        <v>1200</v>
      </c>
      <c r="Y429" s="500">
        <v>0</v>
      </c>
      <c r="Z429" s="501">
        <v>14551</v>
      </c>
      <c r="AA429" s="494">
        <v>1</v>
      </c>
      <c r="AB429" s="379">
        <v>6000</v>
      </c>
      <c r="AC429" s="501">
        <v>14551</v>
      </c>
      <c r="AD429" s="379">
        <v>8551</v>
      </c>
    </row>
    <row r="430" spans="1:30" hidden="1">
      <c r="A430" s="462">
        <v>261</v>
      </c>
      <c r="B430" s="462" t="s">
        <v>733</v>
      </c>
      <c r="C430">
        <v>3548</v>
      </c>
      <c r="D430" s="462" t="s">
        <v>730</v>
      </c>
      <c r="E430">
        <v>3449</v>
      </c>
      <c r="F430" s="462" t="s">
        <v>1015</v>
      </c>
      <c r="G430" t="s">
        <v>1013</v>
      </c>
      <c r="H430" t="s">
        <v>473</v>
      </c>
      <c r="M430">
        <v>1</v>
      </c>
      <c r="O430" s="72">
        <v>3</v>
      </c>
      <c r="P430">
        <v>2</v>
      </c>
      <c r="Q430" s="499">
        <v>26702</v>
      </c>
      <c r="R430" s="499">
        <v>2400</v>
      </c>
      <c r="S430" s="499">
        <v>300</v>
      </c>
      <c r="T430" s="500">
        <v>0</v>
      </c>
      <c r="U430" s="501">
        <v>29402</v>
      </c>
      <c r="V430">
        <v>1</v>
      </c>
      <c r="W430" s="499">
        <v>13351</v>
      </c>
      <c r="X430" s="499">
        <v>1200</v>
      </c>
      <c r="Y430" s="500">
        <v>0</v>
      </c>
      <c r="Z430" s="501">
        <v>14551</v>
      </c>
      <c r="AA430" s="494">
        <v>3</v>
      </c>
      <c r="AB430" s="379">
        <v>18000</v>
      </c>
      <c r="AC430" s="501">
        <v>43953</v>
      </c>
      <c r="AD430" s="379">
        <v>25953</v>
      </c>
    </row>
    <row r="431" spans="1:30" hidden="1">
      <c r="A431" s="463">
        <v>261</v>
      </c>
      <c r="B431" s="462" t="s">
        <v>733</v>
      </c>
      <c r="C431">
        <v>3548</v>
      </c>
      <c r="D431" s="462" t="s">
        <v>730</v>
      </c>
      <c r="E431">
        <v>3483</v>
      </c>
      <c r="F431" s="462" t="s">
        <v>1471</v>
      </c>
      <c r="G431" t="s">
        <v>1013</v>
      </c>
      <c r="H431" t="s">
        <v>473</v>
      </c>
      <c r="O431" s="72">
        <v>1</v>
      </c>
      <c r="P431">
        <v>1</v>
      </c>
      <c r="Q431" s="499">
        <v>13351</v>
      </c>
      <c r="R431" s="499">
        <v>1200</v>
      </c>
      <c r="S431" s="499">
        <v>150</v>
      </c>
      <c r="T431" s="500">
        <v>0</v>
      </c>
      <c r="U431" s="501">
        <v>14701</v>
      </c>
      <c r="V431">
        <v>0</v>
      </c>
      <c r="W431" s="499">
        <v>0</v>
      </c>
      <c r="X431" s="499">
        <v>0</v>
      </c>
      <c r="Y431" s="500">
        <v>0</v>
      </c>
      <c r="Z431" s="501">
        <v>0</v>
      </c>
      <c r="AA431" s="494">
        <v>1</v>
      </c>
      <c r="AB431" s="379">
        <v>6000</v>
      </c>
      <c r="AC431" s="501">
        <v>14701</v>
      </c>
      <c r="AD431" s="379">
        <v>8701</v>
      </c>
    </row>
    <row r="432" spans="1:30" hidden="1">
      <c r="A432" s="463">
        <v>263</v>
      </c>
      <c r="B432" s="462" t="s">
        <v>1579</v>
      </c>
      <c r="C432">
        <v>9011</v>
      </c>
      <c r="D432" s="462" t="s">
        <v>1576</v>
      </c>
      <c r="E432">
        <v>3395</v>
      </c>
      <c r="F432" s="462" t="s">
        <v>1479</v>
      </c>
      <c r="G432" t="s">
        <v>1013</v>
      </c>
      <c r="H432" t="s">
        <v>473</v>
      </c>
      <c r="O432" s="72">
        <v>1</v>
      </c>
      <c r="P432">
        <v>1</v>
      </c>
      <c r="Q432" s="499">
        <v>13351</v>
      </c>
      <c r="R432" s="499">
        <v>1200</v>
      </c>
      <c r="S432" s="499">
        <v>150</v>
      </c>
      <c r="T432" s="500">
        <v>0</v>
      </c>
      <c r="U432" s="501">
        <v>14701</v>
      </c>
      <c r="V432">
        <v>0</v>
      </c>
      <c r="W432" s="499">
        <v>0</v>
      </c>
      <c r="X432" s="499">
        <v>0</v>
      </c>
      <c r="Y432" s="500">
        <v>0</v>
      </c>
      <c r="Z432" s="501">
        <v>0</v>
      </c>
      <c r="AA432" s="494">
        <v>1</v>
      </c>
      <c r="AB432" s="379">
        <v>6000</v>
      </c>
      <c r="AC432" s="501">
        <v>14701</v>
      </c>
      <c r="AD432" s="379">
        <v>8701</v>
      </c>
    </row>
    <row r="433" spans="1:30" hidden="1">
      <c r="A433" s="462">
        <v>266</v>
      </c>
      <c r="B433" s="462" t="s">
        <v>1587</v>
      </c>
      <c r="C433">
        <v>266</v>
      </c>
      <c r="D433" s="462" t="s">
        <v>1588</v>
      </c>
      <c r="E433">
        <v>1526</v>
      </c>
      <c r="F433" s="462" t="s">
        <v>1581</v>
      </c>
      <c r="G433" t="s">
        <v>1013</v>
      </c>
      <c r="H433" t="s">
        <v>474</v>
      </c>
      <c r="O433" s="72">
        <v>1</v>
      </c>
      <c r="P433">
        <v>1</v>
      </c>
      <c r="Q433" s="499">
        <v>13351</v>
      </c>
      <c r="R433" s="499">
        <v>4000</v>
      </c>
      <c r="S433" s="499">
        <v>500</v>
      </c>
      <c r="T433" s="500">
        <v>0</v>
      </c>
      <c r="U433" s="501">
        <v>17851</v>
      </c>
      <c r="V433">
        <v>0</v>
      </c>
      <c r="W433" s="499">
        <v>0</v>
      </c>
      <c r="X433" s="499">
        <v>0</v>
      </c>
      <c r="Y433" s="500">
        <v>0</v>
      </c>
      <c r="Z433" s="501">
        <v>0</v>
      </c>
      <c r="AA433" s="494">
        <v>1</v>
      </c>
      <c r="AB433" s="379">
        <v>6000</v>
      </c>
      <c r="AC433" s="501">
        <v>17851</v>
      </c>
      <c r="AD433" s="379">
        <v>11851</v>
      </c>
    </row>
    <row r="434" spans="1:30" hidden="1">
      <c r="A434" s="462">
        <v>266</v>
      </c>
      <c r="B434" s="462" t="s">
        <v>1587</v>
      </c>
      <c r="C434">
        <v>266</v>
      </c>
      <c r="D434" s="462" t="s">
        <v>1588</v>
      </c>
      <c r="E434">
        <v>1758</v>
      </c>
      <c r="F434" s="462" t="s">
        <v>1020</v>
      </c>
      <c r="G434" t="s">
        <v>1013</v>
      </c>
      <c r="H434" t="s">
        <v>474</v>
      </c>
      <c r="I434">
        <v>3</v>
      </c>
      <c r="O434" s="72">
        <v>13</v>
      </c>
      <c r="P434">
        <v>10</v>
      </c>
      <c r="Q434" s="499">
        <v>133510</v>
      </c>
      <c r="R434" s="499">
        <v>40000</v>
      </c>
      <c r="S434" s="499">
        <v>5000</v>
      </c>
      <c r="T434" s="500">
        <v>0</v>
      </c>
      <c r="U434" s="501">
        <v>178510</v>
      </c>
      <c r="V434">
        <v>3</v>
      </c>
      <c r="W434" s="499">
        <v>40053</v>
      </c>
      <c r="X434" s="499">
        <v>12000</v>
      </c>
      <c r="Y434" s="500">
        <v>0</v>
      </c>
      <c r="Z434" s="501">
        <v>52053</v>
      </c>
      <c r="AA434" s="494">
        <v>13</v>
      </c>
      <c r="AB434" s="379">
        <v>78000</v>
      </c>
      <c r="AC434" s="501">
        <v>230563</v>
      </c>
      <c r="AD434" s="379">
        <v>152563</v>
      </c>
    </row>
    <row r="435" spans="1:30" hidden="1">
      <c r="A435" s="462">
        <v>266</v>
      </c>
      <c r="B435" s="462" t="s">
        <v>1587</v>
      </c>
      <c r="C435">
        <v>266</v>
      </c>
      <c r="D435" s="462" t="s">
        <v>1588</v>
      </c>
      <c r="E435">
        <v>3282</v>
      </c>
      <c r="F435" s="462" t="s">
        <v>1022</v>
      </c>
      <c r="G435" t="s">
        <v>1013</v>
      </c>
      <c r="H435" t="s">
        <v>474</v>
      </c>
      <c r="J435">
        <v>1</v>
      </c>
      <c r="O435" s="72">
        <v>3</v>
      </c>
      <c r="P435">
        <v>2</v>
      </c>
      <c r="Q435" s="499">
        <v>26702</v>
      </c>
      <c r="R435" s="499">
        <v>8000</v>
      </c>
      <c r="S435" s="499">
        <v>1000</v>
      </c>
      <c r="T435" s="500">
        <v>0</v>
      </c>
      <c r="U435" s="501">
        <v>35702</v>
      </c>
      <c r="V435">
        <v>1</v>
      </c>
      <c r="W435" s="499">
        <v>13351</v>
      </c>
      <c r="X435" s="499">
        <v>4000</v>
      </c>
      <c r="Y435" s="500">
        <v>0</v>
      </c>
      <c r="Z435" s="501">
        <v>17351</v>
      </c>
      <c r="AA435" s="494">
        <v>3</v>
      </c>
      <c r="AB435" s="379">
        <v>18000</v>
      </c>
      <c r="AC435" s="501">
        <v>53053</v>
      </c>
      <c r="AD435" s="379">
        <v>35053</v>
      </c>
    </row>
    <row r="436" spans="1:30" hidden="1">
      <c r="A436" s="462">
        <v>266</v>
      </c>
      <c r="B436" s="462" t="s">
        <v>1587</v>
      </c>
      <c r="C436">
        <v>266</v>
      </c>
      <c r="D436" s="462" t="s">
        <v>1588</v>
      </c>
      <c r="E436">
        <v>3300</v>
      </c>
      <c r="F436" s="462" t="s">
        <v>1589</v>
      </c>
      <c r="G436" t="s">
        <v>1013</v>
      </c>
      <c r="H436" t="s">
        <v>474</v>
      </c>
      <c r="J436">
        <v>2</v>
      </c>
      <c r="O436" s="72">
        <v>2</v>
      </c>
      <c r="P436">
        <v>0</v>
      </c>
      <c r="Q436" s="499">
        <v>0</v>
      </c>
      <c r="R436" s="499">
        <v>0</v>
      </c>
      <c r="S436" s="499">
        <v>0</v>
      </c>
      <c r="T436" s="500">
        <v>0</v>
      </c>
      <c r="U436" s="501">
        <v>0</v>
      </c>
      <c r="V436">
        <v>2</v>
      </c>
      <c r="W436" s="499">
        <v>26702</v>
      </c>
      <c r="X436" s="499">
        <v>8000</v>
      </c>
      <c r="Y436" s="500">
        <v>0</v>
      </c>
      <c r="Z436" s="501">
        <v>34702</v>
      </c>
      <c r="AA436" s="494">
        <v>2</v>
      </c>
      <c r="AB436" s="379">
        <v>12000</v>
      </c>
      <c r="AC436" s="501">
        <v>34702</v>
      </c>
      <c r="AD436" s="379">
        <v>22702</v>
      </c>
    </row>
    <row r="437" spans="1:30" hidden="1">
      <c r="A437" s="462">
        <v>266</v>
      </c>
      <c r="B437" s="462" t="s">
        <v>1587</v>
      </c>
      <c r="C437">
        <v>266</v>
      </c>
      <c r="D437" s="462" t="s">
        <v>1588</v>
      </c>
      <c r="E437">
        <v>3304</v>
      </c>
      <c r="F437" s="462" t="s">
        <v>1494</v>
      </c>
      <c r="G437" t="s">
        <v>1013</v>
      </c>
      <c r="H437" t="s">
        <v>474</v>
      </c>
      <c r="O437" s="72">
        <v>1</v>
      </c>
      <c r="P437">
        <v>1</v>
      </c>
      <c r="Q437" s="499">
        <v>13351</v>
      </c>
      <c r="R437" s="499">
        <v>4000</v>
      </c>
      <c r="S437" s="499">
        <v>500</v>
      </c>
      <c r="T437" s="500">
        <v>0</v>
      </c>
      <c r="U437" s="501">
        <v>17851</v>
      </c>
      <c r="V437">
        <v>0</v>
      </c>
      <c r="W437" s="499">
        <v>0</v>
      </c>
      <c r="X437" s="499">
        <v>0</v>
      </c>
      <c r="Y437" s="500">
        <v>0</v>
      </c>
      <c r="Z437" s="501">
        <v>0</v>
      </c>
      <c r="AA437" s="494">
        <v>1</v>
      </c>
      <c r="AB437" s="379">
        <v>6000</v>
      </c>
      <c r="AC437" s="501">
        <v>17851</v>
      </c>
      <c r="AD437" s="379">
        <v>11851</v>
      </c>
    </row>
    <row r="438" spans="1:30" hidden="1">
      <c r="A438" s="462">
        <v>266</v>
      </c>
      <c r="B438" s="462" t="s">
        <v>1587</v>
      </c>
      <c r="C438">
        <v>266</v>
      </c>
      <c r="D438" s="462" t="s">
        <v>1588</v>
      </c>
      <c r="E438">
        <v>3305</v>
      </c>
      <c r="F438" s="462" t="s">
        <v>1024</v>
      </c>
      <c r="G438" t="s">
        <v>1013</v>
      </c>
      <c r="H438" t="s">
        <v>474</v>
      </c>
      <c r="J438">
        <v>1</v>
      </c>
      <c r="O438" s="72">
        <v>3</v>
      </c>
      <c r="P438">
        <v>2</v>
      </c>
      <c r="Q438" s="499">
        <v>26702</v>
      </c>
      <c r="R438" s="499">
        <v>8000</v>
      </c>
      <c r="S438" s="499">
        <v>1000</v>
      </c>
      <c r="T438" s="500">
        <v>0</v>
      </c>
      <c r="U438" s="501">
        <v>35702</v>
      </c>
      <c r="V438">
        <v>1</v>
      </c>
      <c r="W438" s="499">
        <v>13351</v>
      </c>
      <c r="X438" s="499">
        <v>4000</v>
      </c>
      <c r="Y438" s="500">
        <v>0</v>
      </c>
      <c r="Z438" s="501">
        <v>17351</v>
      </c>
      <c r="AA438" s="494">
        <v>3</v>
      </c>
      <c r="AB438" s="379">
        <v>18000</v>
      </c>
      <c r="AC438" s="501">
        <v>53053</v>
      </c>
      <c r="AD438" s="379">
        <v>35053</v>
      </c>
    </row>
    <row r="439" spans="1:30" hidden="1">
      <c r="A439" s="462">
        <v>266</v>
      </c>
      <c r="B439" s="462" t="s">
        <v>1587</v>
      </c>
      <c r="C439">
        <v>266</v>
      </c>
      <c r="D439" s="462" t="s">
        <v>1588</v>
      </c>
      <c r="E439">
        <v>3310</v>
      </c>
      <c r="F439" s="462" t="s">
        <v>1045</v>
      </c>
      <c r="G439" t="s">
        <v>1013</v>
      </c>
      <c r="H439" t="s">
        <v>474</v>
      </c>
      <c r="O439" s="72">
        <v>2</v>
      </c>
      <c r="P439">
        <v>2</v>
      </c>
      <c r="Q439" s="499">
        <v>26702</v>
      </c>
      <c r="R439" s="499">
        <v>8000</v>
      </c>
      <c r="S439" s="499">
        <v>1000</v>
      </c>
      <c r="T439" s="500">
        <v>0</v>
      </c>
      <c r="U439" s="501">
        <v>35702</v>
      </c>
      <c r="V439">
        <v>0</v>
      </c>
      <c r="W439" s="499">
        <v>0</v>
      </c>
      <c r="X439" s="499">
        <v>0</v>
      </c>
      <c r="Y439" s="500">
        <v>0</v>
      </c>
      <c r="Z439" s="501">
        <v>0</v>
      </c>
      <c r="AA439" s="494">
        <v>2</v>
      </c>
      <c r="AB439" s="379">
        <v>12000</v>
      </c>
      <c r="AC439" s="501">
        <v>35702</v>
      </c>
      <c r="AD439" s="379">
        <v>23702</v>
      </c>
    </row>
    <row r="440" spans="1:30" hidden="1">
      <c r="A440" s="462">
        <v>266</v>
      </c>
      <c r="B440" s="462" t="s">
        <v>1587</v>
      </c>
      <c r="C440">
        <v>266</v>
      </c>
      <c r="D440" s="462" t="s">
        <v>1588</v>
      </c>
      <c r="E440">
        <v>3342</v>
      </c>
      <c r="F440" s="462" t="s">
        <v>1057</v>
      </c>
      <c r="G440" t="s">
        <v>1013</v>
      </c>
      <c r="H440" t="s">
        <v>474</v>
      </c>
      <c r="J440">
        <v>1</v>
      </c>
      <c r="O440" s="72">
        <v>3</v>
      </c>
      <c r="P440">
        <v>2</v>
      </c>
      <c r="Q440" s="499">
        <v>26702</v>
      </c>
      <c r="R440" s="499">
        <v>8000</v>
      </c>
      <c r="S440" s="499">
        <v>1000</v>
      </c>
      <c r="T440" s="500">
        <v>0</v>
      </c>
      <c r="U440" s="501">
        <v>35702</v>
      </c>
      <c r="V440">
        <v>1</v>
      </c>
      <c r="W440" s="499">
        <v>13351</v>
      </c>
      <c r="X440" s="499">
        <v>4000</v>
      </c>
      <c r="Y440" s="500">
        <v>0</v>
      </c>
      <c r="Z440" s="501">
        <v>17351</v>
      </c>
      <c r="AA440" s="494">
        <v>3</v>
      </c>
      <c r="AB440" s="379">
        <v>18000</v>
      </c>
      <c r="AC440" s="501">
        <v>53053</v>
      </c>
      <c r="AD440" s="379">
        <v>35053</v>
      </c>
    </row>
    <row r="441" spans="1:30" hidden="1">
      <c r="A441" s="462">
        <v>266</v>
      </c>
      <c r="B441" s="462" t="s">
        <v>1587</v>
      </c>
      <c r="C441">
        <v>266</v>
      </c>
      <c r="D441" s="462" t="s">
        <v>1588</v>
      </c>
      <c r="E441">
        <v>3343</v>
      </c>
      <c r="F441" s="462" t="s">
        <v>1473</v>
      </c>
      <c r="G441" t="s">
        <v>1013</v>
      </c>
      <c r="H441" t="s">
        <v>474</v>
      </c>
      <c r="O441" s="72">
        <v>2</v>
      </c>
      <c r="P441">
        <v>2</v>
      </c>
      <c r="Q441" s="499">
        <v>26702</v>
      </c>
      <c r="R441" s="499">
        <v>8000</v>
      </c>
      <c r="S441" s="499">
        <v>1000</v>
      </c>
      <c r="T441" s="500">
        <v>0</v>
      </c>
      <c r="U441" s="501">
        <v>35702</v>
      </c>
      <c r="V441">
        <v>0</v>
      </c>
      <c r="W441" s="499">
        <v>0</v>
      </c>
      <c r="X441" s="499">
        <v>0</v>
      </c>
      <c r="Y441" s="500">
        <v>0</v>
      </c>
      <c r="Z441" s="501">
        <v>0</v>
      </c>
      <c r="AA441" s="494">
        <v>2</v>
      </c>
      <c r="AB441" s="379">
        <v>12000</v>
      </c>
      <c r="AC441" s="501">
        <v>35702</v>
      </c>
      <c r="AD441" s="379">
        <v>23702</v>
      </c>
    </row>
    <row r="442" spans="1:30" hidden="1">
      <c r="A442" s="462">
        <v>266</v>
      </c>
      <c r="B442" s="462" t="s">
        <v>1587</v>
      </c>
      <c r="C442">
        <v>266</v>
      </c>
      <c r="D442" s="462" t="s">
        <v>1588</v>
      </c>
      <c r="E442">
        <v>3372</v>
      </c>
      <c r="F442" s="462" t="s">
        <v>976</v>
      </c>
      <c r="G442" t="s">
        <v>1013</v>
      </c>
      <c r="H442" t="s">
        <v>474</v>
      </c>
      <c r="J442">
        <v>1</v>
      </c>
      <c r="O442" s="72">
        <v>2</v>
      </c>
      <c r="P442">
        <v>1</v>
      </c>
      <c r="Q442" s="499">
        <v>13351</v>
      </c>
      <c r="R442" s="499">
        <v>4000</v>
      </c>
      <c r="S442" s="499">
        <v>500</v>
      </c>
      <c r="T442" s="500">
        <v>0</v>
      </c>
      <c r="U442" s="501">
        <v>17851</v>
      </c>
      <c r="V442">
        <v>1</v>
      </c>
      <c r="W442" s="499">
        <v>13351</v>
      </c>
      <c r="X442" s="499">
        <v>4000</v>
      </c>
      <c r="Y442" s="500">
        <v>0</v>
      </c>
      <c r="Z442" s="501">
        <v>17351</v>
      </c>
      <c r="AA442" s="494">
        <v>2</v>
      </c>
      <c r="AB442" s="379">
        <v>12000</v>
      </c>
      <c r="AC442" s="501">
        <v>35202</v>
      </c>
      <c r="AD442" s="379">
        <v>23202</v>
      </c>
    </row>
    <row r="443" spans="1:30" hidden="1">
      <c r="A443" s="462">
        <v>266</v>
      </c>
      <c r="B443" s="462" t="s">
        <v>1587</v>
      </c>
      <c r="C443">
        <v>266</v>
      </c>
      <c r="D443" s="462" t="s">
        <v>1588</v>
      </c>
      <c r="E443">
        <v>3379</v>
      </c>
      <c r="F443" s="462" t="s">
        <v>1051</v>
      </c>
      <c r="G443" t="s">
        <v>1013</v>
      </c>
      <c r="H443" t="s">
        <v>474</v>
      </c>
      <c r="O443" s="72">
        <v>1</v>
      </c>
      <c r="P443">
        <v>1</v>
      </c>
      <c r="Q443" s="499">
        <v>13351</v>
      </c>
      <c r="R443" s="499">
        <v>4000</v>
      </c>
      <c r="S443" s="499">
        <v>500</v>
      </c>
      <c r="T443" s="500">
        <v>0</v>
      </c>
      <c r="U443" s="501">
        <v>17851</v>
      </c>
      <c r="V443">
        <v>0</v>
      </c>
      <c r="W443" s="499">
        <v>0</v>
      </c>
      <c r="X443" s="499">
        <v>0</v>
      </c>
      <c r="Y443" s="500">
        <v>0</v>
      </c>
      <c r="Z443" s="501">
        <v>0</v>
      </c>
      <c r="AA443" s="494">
        <v>1</v>
      </c>
      <c r="AB443" s="379">
        <v>6000</v>
      </c>
      <c r="AC443" s="501">
        <v>17851</v>
      </c>
      <c r="AD443" s="379">
        <v>11851</v>
      </c>
    </row>
    <row r="444" spans="1:30" hidden="1">
      <c r="A444" s="462">
        <v>266</v>
      </c>
      <c r="B444" s="462" t="s">
        <v>1587</v>
      </c>
      <c r="C444">
        <v>266</v>
      </c>
      <c r="D444" s="462" t="s">
        <v>1588</v>
      </c>
      <c r="E444">
        <v>3388</v>
      </c>
      <c r="F444" s="462" t="s">
        <v>1590</v>
      </c>
      <c r="G444" t="s">
        <v>1013</v>
      </c>
      <c r="H444" t="s">
        <v>474</v>
      </c>
      <c r="O444" s="72">
        <v>2</v>
      </c>
      <c r="P444">
        <v>2</v>
      </c>
      <c r="Q444" s="499">
        <v>26702</v>
      </c>
      <c r="R444" s="499">
        <v>8000</v>
      </c>
      <c r="S444" s="499">
        <v>1000</v>
      </c>
      <c r="T444" s="500">
        <v>0</v>
      </c>
      <c r="U444" s="501">
        <v>35702</v>
      </c>
      <c r="V444">
        <v>0</v>
      </c>
      <c r="W444" s="499">
        <v>0</v>
      </c>
      <c r="X444" s="499">
        <v>0</v>
      </c>
      <c r="Y444" s="500">
        <v>0</v>
      </c>
      <c r="Z444" s="501">
        <v>0</v>
      </c>
      <c r="AA444" s="494">
        <v>2</v>
      </c>
      <c r="AB444" s="379">
        <v>12000</v>
      </c>
      <c r="AC444" s="501">
        <v>35702</v>
      </c>
      <c r="AD444" s="379">
        <v>23702</v>
      </c>
    </row>
    <row r="445" spans="1:30" hidden="1">
      <c r="A445" s="462">
        <v>266</v>
      </c>
      <c r="B445" s="462" t="s">
        <v>1587</v>
      </c>
      <c r="C445">
        <v>266</v>
      </c>
      <c r="D445" s="462" t="s">
        <v>1588</v>
      </c>
      <c r="E445">
        <v>3395</v>
      </c>
      <c r="F445" s="462" t="s">
        <v>1479</v>
      </c>
      <c r="G445" t="s">
        <v>1013</v>
      </c>
      <c r="H445" t="s">
        <v>474</v>
      </c>
      <c r="J445">
        <v>3</v>
      </c>
      <c r="O445" s="72">
        <v>6</v>
      </c>
      <c r="P445">
        <v>3</v>
      </c>
      <c r="Q445" s="499">
        <v>40053</v>
      </c>
      <c r="R445" s="499">
        <v>12000</v>
      </c>
      <c r="S445" s="499">
        <v>1500</v>
      </c>
      <c r="T445" s="500">
        <v>0</v>
      </c>
      <c r="U445" s="501">
        <v>53553</v>
      </c>
      <c r="V445">
        <v>3</v>
      </c>
      <c r="W445" s="499">
        <v>40053</v>
      </c>
      <c r="X445" s="499">
        <v>12000</v>
      </c>
      <c r="Y445" s="500">
        <v>0</v>
      </c>
      <c r="Z445" s="501">
        <v>52053</v>
      </c>
      <c r="AA445" s="494">
        <v>6</v>
      </c>
      <c r="AB445" s="379">
        <v>36000</v>
      </c>
      <c r="AC445" s="501">
        <v>105606</v>
      </c>
      <c r="AD445" s="379">
        <v>69606</v>
      </c>
    </row>
    <row r="446" spans="1:30" hidden="1">
      <c r="A446" s="462">
        <v>266</v>
      </c>
      <c r="B446" s="462" t="s">
        <v>1587</v>
      </c>
      <c r="C446">
        <v>266</v>
      </c>
      <c r="D446" s="462" t="s">
        <v>1588</v>
      </c>
      <c r="E446">
        <v>3449</v>
      </c>
      <c r="F446" s="462" t="s">
        <v>1015</v>
      </c>
      <c r="G446" t="s">
        <v>1013</v>
      </c>
      <c r="H446" t="s">
        <v>474</v>
      </c>
      <c r="J446">
        <v>1</v>
      </c>
      <c r="O446" s="72">
        <v>2</v>
      </c>
      <c r="P446">
        <v>1</v>
      </c>
      <c r="Q446" s="499">
        <v>13351</v>
      </c>
      <c r="R446" s="499">
        <v>4000</v>
      </c>
      <c r="S446" s="499">
        <v>500</v>
      </c>
      <c r="T446" s="500">
        <v>0</v>
      </c>
      <c r="U446" s="501">
        <v>17851</v>
      </c>
      <c r="V446">
        <v>1</v>
      </c>
      <c r="W446" s="499">
        <v>13351</v>
      </c>
      <c r="X446" s="499">
        <v>4000</v>
      </c>
      <c r="Y446" s="500">
        <v>0</v>
      </c>
      <c r="Z446" s="501">
        <v>17351</v>
      </c>
      <c r="AA446" s="494">
        <v>2</v>
      </c>
      <c r="AB446" s="379">
        <v>12000</v>
      </c>
      <c r="AC446" s="501">
        <v>35202</v>
      </c>
      <c r="AD446" s="379">
        <v>23202</v>
      </c>
    </row>
    <row r="447" spans="1:30" hidden="1">
      <c r="A447" s="462">
        <v>266</v>
      </c>
      <c r="B447" s="462" t="s">
        <v>1587</v>
      </c>
      <c r="C447">
        <v>266</v>
      </c>
      <c r="D447" s="462" t="s">
        <v>1588</v>
      </c>
      <c r="E447">
        <v>3460</v>
      </c>
      <c r="F447" s="462" t="s">
        <v>1497</v>
      </c>
      <c r="G447" t="s">
        <v>1013</v>
      </c>
      <c r="H447" t="s">
        <v>474</v>
      </c>
      <c r="J447">
        <v>1</v>
      </c>
      <c r="O447" s="72">
        <v>2</v>
      </c>
      <c r="P447">
        <v>1</v>
      </c>
      <c r="Q447" s="499">
        <v>13351</v>
      </c>
      <c r="R447" s="499">
        <v>4000</v>
      </c>
      <c r="S447" s="499">
        <v>500</v>
      </c>
      <c r="T447" s="500">
        <v>0</v>
      </c>
      <c r="U447" s="501">
        <v>17851</v>
      </c>
      <c r="V447">
        <v>1</v>
      </c>
      <c r="W447" s="499">
        <v>13351</v>
      </c>
      <c r="X447" s="499">
        <v>4000</v>
      </c>
      <c r="Y447" s="500">
        <v>0</v>
      </c>
      <c r="Z447" s="501">
        <v>17351</v>
      </c>
      <c r="AA447" s="494">
        <v>2</v>
      </c>
      <c r="AB447" s="379">
        <v>12000</v>
      </c>
      <c r="AC447" s="501">
        <v>35202</v>
      </c>
      <c r="AD447" s="379">
        <v>23202</v>
      </c>
    </row>
    <row r="448" spans="1:30" hidden="1">
      <c r="A448" s="462">
        <v>266</v>
      </c>
      <c r="B448" s="462" t="s">
        <v>1587</v>
      </c>
      <c r="C448">
        <v>266</v>
      </c>
      <c r="D448" s="462" t="s">
        <v>1588</v>
      </c>
      <c r="E448">
        <v>3491</v>
      </c>
      <c r="F448" s="462" t="s">
        <v>1474</v>
      </c>
      <c r="G448" t="s">
        <v>1013</v>
      </c>
      <c r="H448" t="s">
        <v>474</v>
      </c>
      <c r="J448">
        <v>3</v>
      </c>
      <c r="O448" s="72">
        <v>12</v>
      </c>
      <c r="P448">
        <v>9</v>
      </c>
      <c r="Q448" s="499">
        <v>120159</v>
      </c>
      <c r="R448" s="499">
        <v>36000</v>
      </c>
      <c r="S448" s="499">
        <v>4500</v>
      </c>
      <c r="T448" s="500">
        <v>0</v>
      </c>
      <c r="U448" s="501">
        <v>160659</v>
      </c>
      <c r="V448">
        <v>3</v>
      </c>
      <c r="W448" s="499">
        <v>40053</v>
      </c>
      <c r="X448" s="499">
        <v>12000</v>
      </c>
      <c r="Y448" s="500">
        <v>0</v>
      </c>
      <c r="Z448" s="501">
        <v>52053</v>
      </c>
      <c r="AA448" s="494">
        <v>12</v>
      </c>
      <c r="AB448" s="379">
        <v>72000</v>
      </c>
      <c r="AC448" s="501">
        <v>212712</v>
      </c>
      <c r="AD448" s="379">
        <v>140712</v>
      </c>
    </row>
    <row r="449" spans="1:30" hidden="1">
      <c r="A449" s="462">
        <v>266</v>
      </c>
      <c r="B449" s="462" t="s">
        <v>1587</v>
      </c>
      <c r="C449">
        <v>266</v>
      </c>
      <c r="D449" s="462" t="s">
        <v>1588</v>
      </c>
      <c r="E449">
        <v>3536</v>
      </c>
      <c r="F449" s="462" t="s">
        <v>1592</v>
      </c>
      <c r="G449" t="s">
        <v>1013</v>
      </c>
      <c r="H449" t="s">
        <v>474</v>
      </c>
      <c r="J449">
        <v>1</v>
      </c>
      <c r="O449" s="72">
        <v>1</v>
      </c>
      <c r="P449">
        <v>0</v>
      </c>
      <c r="Q449" s="499">
        <v>0</v>
      </c>
      <c r="R449" s="499">
        <v>0</v>
      </c>
      <c r="S449" s="499">
        <v>0</v>
      </c>
      <c r="T449" s="500">
        <v>0</v>
      </c>
      <c r="U449" s="501">
        <v>0</v>
      </c>
      <c r="V449">
        <v>1</v>
      </c>
      <c r="W449" s="499">
        <v>13351</v>
      </c>
      <c r="X449" s="499">
        <v>4000</v>
      </c>
      <c r="Y449" s="500">
        <v>0</v>
      </c>
      <c r="Z449" s="501">
        <v>17351</v>
      </c>
      <c r="AA449" s="494">
        <v>1</v>
      </c>
      <c r="AB449" s="379">
        <v>6000</v>
      </c>
      <c r="AC449" s="501">
        <v>17351</v>
      </c>
      <c r="AD449" s="379">
        <v>11351</v>
      </c>
    </row>
    <row r="450" spans="1:30" hidden="1">
      <c r="A450" s="462">
        <v>266</v>
      </c>
      <c r="B450" s="462" t="s">
        <v>1587</v>
      </c>
      <c r="C450">
        <v>266</v>
      </c>
      <c r="D450" s="462" t="s">
        <v>1588</v>
      </c>
      <c r="E450">
        <v>5725</v>
      </c>
      <c r="F450" s="462" t="s">
        <v>1038</v>
      </c>
      <c r="G450" t="s">
        <v>1013</v>
      </c>
      <c r="H450" t="s">
        <v>474</v>
      </c>
      <c r="J450">
        <v>8</v>
      </c>
      <c r="O450" s="72">
        <v>21</v>
      </c>
      <c r="P450">
        <v>13</v>
      </c>
      <c r="Q450" s="499">
        <v>173563</v>
      </c>
      <c r="R450" s="499">
        <v>52000</v>
      </c>
      <c r="S450" s="499">
        <v>6500</v>
      </c>
      <c r="T450" s="500">
        <v>0</v>
      </c>
      <c r="U450" s="501">
        <v>232063</v>
      </c>
      <c r="V450">
        <v>8</v>
      </c>
      <c r="W450" s="499">
        <v>106808</v>
      </c>
      <c r="X450" s="499">
        <v>32000</v>
      </c>
      <c r="Y450" s="500">
        <v>0</v>
      </c>
      <c r="Z450" s="501">
        <v>138808</v>
      </c>
      <c r="AA450" s="494">
        <v>21</v>
      </c>
      <c r="AB450" s="379">
        <v>126000</v>
      </c>
      <c r="AC450" s="501">
        <v>370871</v>
      </c>
      <c r="AD450" s="379">
        <v>244871</v>
      </c>
    </row>
    <row r="451" spans="1:30" hidden="1">
      <c r="A451" s="462">
        <v>266</v>
      </c>
      <c r="B451" s="462" t="s">
        <v>1587</v>
      </c>
      <c r="C451">
        <v>266</v>
      </c>
      <c r="D451" s="462" t="s">
        <v>1588</v>
      </c>
      <c r="E451">
        <v>8193</v>
      </c>
      <c r="F451" s="462" t="s">
        <v>1472</v>
      </c>
      <c r="G451" t="s">
        <v>1027</v>
      </c>
      <c r="H451" t="s">
        <v>474</v>
      </c>
      <c r="O451" s="72">
        <v>4</v>
      </c>
      <c r="P451">
        <v>4</v>
      </c>
      <c r="Q451" s="499">
        <v>53404</v>
      </c>
      <c r="R451" s="499">
        <v>16000</v>
      </c>
      <c r="S451" s="499">
        <v>2000</v>
      </c>
      <c r="T451" s="500">
        <v>0</v>
      </c>
      <c r="U451" s="501">
        <v>71404</v>
      </c>
      <c r="V451">
        <v>0</v>
      </c>
      <c r="W451" s="499">
        <v>0</v>
      </c>
      <c r="X451" s="499">
        <v>0</v>
      </c>
      <c r="Y451" s="500">
        <v>0</v>
      </c>
      <c r="Z451" s="501">
        <v>0</v>
      </c>
      <c r="AA451" s="494">
        <v>4</v>
      </c>
      <c r="AB451" s="379">
        <v>24000</v>
      </c>
      <c r="AC451" s="501">
        <v>71404</v>
      </c>
      <c r="AD451" s="379">
        <v>47404</v>
      </c>
    </row>
    <row r="452" spans="1:30" hidden="1">
      <c r="A452" s="463">
        <v>266</v>
      </c>
      <c r="B452" s="462" t="s">
        <v>1587</v>
      </c>
      <c r="C452">
        <v>9011</v>
      </c>
      <c r="D452" s="462" t="s">
        <v>1576</v>
      </c>
      <c r="E452">
        <v>7502</v>
      </c>
      <c r="F452" s="462" t="s">
        <v>1026</v>
      </c>
      <c r="G452" t="s">
        <v>1027</v>
      </c>
      <c r="H452" t="s">
        <v>474</v>
      </c>
      <c r="O452" s="72">
        <v>7</v>
      </c>
      <c r="P452">
        <v>7</v>
      </c>
      <c r="Q452" s="499">
        <v>93457</v>
      </c>
      <c r="R452" s="499">
        <v>28000</v>
      </c>
      <c r="S452" s="499">
        <v>3500</v>
      </c>
      <c r="T452" s="500">
        <v>0</v>
      </c>
      <c r="U452" s="501">
        <v>124957</v>
      </c>
      <c r="V452">
        <v>0</v>
      </c>
      <c r="W452" s="499">
        <v>0</v>
      </c>
      <c r="X452" s="499">
        <v>0</v>
      </c>
      <c r="Y452" s="500">
        <v>0</v>
      </c>
      <c r="Z452" s="501">
        <v>0</v>
      </c>
      <c r="AA452" s="494">
        <v>7</v>
      </c>
      <c r="AB452" s="379">
        <v>42000</v>
      </c>
      <c r="AC452" s="501">
        <v>124957</v>
      </c>
      <c r="AD452" s="379">
        <v>82957</v>
      </c>
    </row>
    <row r="453" spans="1:30">
      <c r="A453" s="462">
        <v>267</v>
      </c>
      <c r="B453" s="462" t="s">
        <v>392</v>
      </c>
      <c r="C453">
        <v>3548</v>
      </c>
      <c r="D453" s="462" t="s">
        <v>730</v>
      </c>
      <c r="E453">
        <v>1306</v>
      </c>
      <c r="F453" s="462" t="s">
        <v>1018</v>
      </c>
      <c r="G453" t="s">
        <v>1013</v>
      </c>
      <c r="H453" t="s">
        <v>473</v>
      </c>
      <c r="J453">
        <v>4</v>
      </c>
      <c r="O453" s="72">
        <v>4</v>
      </c>
      <c r="P453">
        <v>0</v>
      </c>
      <c r="Q453" s="499">
        <v>0</v>
      </c>
      <c r="R453" s="499">
        <v>0</v>
      </c>
      <c r="S453" s="499">
        <v>0</v>
      </c>
      <c r="T453" s="500">
        <v>0</v>
      </c>
      <c r="U453" s="501">
        <v>0</v>
      </c>
      <c r="V453">
        <v>4</v>
      </c>
      <c r="W453" s="499">
        <v>53404</v>
      </c>
      <c r="X453" s="499">
        <v>4800</v>
      </c>
      <c r="Y453" s="500">
        <v>0</v>
      </c>
      <c r="Z453" s="501">
        <v>58204</v>
      </c>
      <c r="AA453" s="494">
        <v>4</v>
      </c>
      <c r="AB453" s="379">
        <v>24000</v>
      </c>
      <c r="AC453" s="501">
        <v>58204</v>
      </c>
      <c r="AD453" s="379">
        <v>34204</v>
      </c>
    </row>
    <row r="454" spans="1:30" hidden="1">
      <c r="A454" s="462">
        <v>267</v>
      </c>
      <c r="B454" s="462" t="s">
        <v>392</v>
      </c>
      <c r="C454">
        <v>3548</v>
      </c>
      <c r="D454" s="462" t="s">
        <v>730</v>
      </c>
      <c r="E454">
        <v>1758</v>
      </c>
      <c r="F454" s="462" t="s">
        <v>1020</v>
      </c>
      <c r="G454" t="s">
        <v>1013</v>
      </c>
      <c r="H454" t="s">
        <v>473</v>
      </c>
      <c r="M454">
        <v>2</v>
      </c>
      <c r="O454" s="72">
        <v>7</v>
      </c>
      <c r="P454">
        <v>5</v>
      </c>
      <c r="Q454" s="499">
        <v>66755</v>
      </c>
      <c r="R454" s="499">
        <v>6000</v>
      </c>
      <c r="S454" s="499">
        <v>750</v>
      </c>
      <c r="T454" s="500">
        <v>0</v>
      </c>
      <c r="U454" s="501">
        <v>73505</v>
      </c>
      <c r="V454">
        <v>2</v>
      </c>
      <c r="W454" s="499">
        <v>26702</v>
      </c>
      <c r="X454" s="499">
        <v>2400</v>
      </c>
      <c r="Y454" s="500">
        <v>0</v>
      </c>
      <c r="Z454" s="501">
        <v>29102</v>
      </c>
      <c r="AA454" s="494">
        <v>7</v>
      </c>
      <c r="AB454" s="379">
        <v>42000</v>
      </c>
      <c r="AC454" s="501">
        <v>102607</v>
      </c>
      <c r="AD454" s="379">
        <v>60607</v>
      </c>
    </row>
    <row r="455" spans="1:30">
      <c r="A455" s="462">
        <v>267</v>
      </c>
      <c r="B455" s="462" t="s">
        <v>392</v>
      </c>
      <c r="C455">
        <v>3548</v>
      </c>
      <c r="D455" s="462" t="s">
        <v>730</v>
      </c>
      <c r="E455">
        <v>3282</v>
      </c>
      <c r="F455" s="462" t="s">
        <v>1022</v>
      </c>
      <c r="G455" t="s">
        <v>1013</v>
      </c>
      <c r="H455" t="s">
        <v>473</v>
      </c>
      <c r="J455">
        <v>3</v>
      </c>
      <c r="O455" s="72">
        <v>5</v>
      </c>
      <c r="P455">
        <v>2</v>
      </c>
      <c r="Q455" s="499">
        <v>26702</v>
      </c>
      <c r="R455" s="499">
        <v>2400</v>
      </c>
      <c r="S455" s="499">
        <v>300</v>
      </c>
      <c r="T455" s="500">
        <v>0</v>
      </c>
      <c r="U455" s="501">
        <v>29402</v>
      </c>
      <c r="V455">
        <v>3</v>
      </c>
      <c r="W455" s="499">
        <v>40053</v>
      </c>
      <c r="X455" s="499">
        <v>3600</v>
      </c>
      <c r="Y455" s="500">
        <v>0</v>
      </c>
      <c r="Z455" s="501">
        <v>43653</v>
      </c>
      <c r="AA455" s="494">
        <v>5</v>
      </c>
      <c r="AB455" s="379">
        <v>30000</v>
      </c>
      <c r="AC455" s="501">
        <v>73055</v>
      </c>
      <c r="AD455" s="379">
        <v>43055</v>
      </c>
    </row>
    <row r="456" spans="1:30">
      <c r="A456" s="462">
        <v>267</v>
      </c>
      <c r="B456" s="462" t="s">
        <v>392</v>
      </c>
      <c r="C456">
        <v>3548</v>
      </c>
      <c r="D456" s="462" t="s">
        <v>730</v>
      </c>
      <c r="E456">
        <v>3305</v>
      </c>
      <c r="F456" s="462" t="s">
        <v>1024</v>
      </c>
      <c r="G456" t="s">
        <v>1013</v>
      </c>
      <c r="H456" t="s">
        <v>473</v>
      </c>
      <c r="J456">
        <v>1</v>
      </c>
      <c r="O456" s="72">
        <v>2</v>
      </c>
      <c r="P456">
        <v>1</v>
      </c>
      <c r="Q456" s="499">
        <v>13351</v>
      </c>
      <c r="R456" s="499">
        <v>1200</v>
      </c>
      <c r="S456" s="499">
        <v>150</v>
      </c>
      <c r="T456" s="500">
        <v>0</v>
      </c>
      <c r="U456" s="501">
        <v>14701</v>
      </c>
      <c r="V456">
        <v>1</v>
      </c>
      <c r="W456" s="499">
        <v>13351</v>
      </c>
      <c r="X456" s="499">
        <v>1200</v>
      </c>
      <c r="Y456" s="500">
        <v>0</v>
      </c>
      <c r="Z456" s="501">
        <v>14551</v>
      </c>
      <c r="AA456" s="494">
        <v>2</v>
      </c>
      <c r="AB456" s="379">
        <v>12000</v>
      </c>
      <c r="AC456" s="501">
        <v>29252</v>
      </c>
      <c r="AD456" s="379">
        <v>17252</v>
      </c>
    </row>
    <row r="457" spans="1:30" hidden="1">
      <c r="A457" s="462">
        <v>267</v>
      </c>
      <c r="B457" s="462" t="s">
        <v>392</v>
      </c>
      <c r="C457">
        <v>3548</v>
      </c>
      <c r="D457" s="462" t="s">
        <v>730</v>
      </c>
      <c r="E457">
        <v>3343</v>
      </c>
      <c r="F457" s="462" t="s">
        <v>1473</v>
      </c>
      <c r="G457" t="s">
        <v>1013</v>
      </c>
      <c r="H457" t="s">
        <v>473</v>
      </c>
      <c r="O457" s="72">
        <v>1</v>
      </c>
      <c r="P457">
        <v>1</v>
      </c>
      <c r="Q457" s="499">
        <v>13351</v>
      </c>
      <c r="R457" s="499">
        <v>1200</v>
      </c>
      <c r="S457" s="499">
        <v>150</v>
      </c>
      <c r="T457" s="500">
        <v>0</v>
      </c>
      <c r="U457" s="501">
        <v>14701</v>
      </c>
      <c r="V457">
        <v>0</v>
      </c>
      <c r="W457" s="499">
        <v>0</v>
      </c>
      <c r="X457" s="499">
        <v>0</v>
      </c>
      <c r="Y457" s="500">
        <v>0</v>
      </c>
      <c r="Z457" s="501">
        <v>0</v>
      </c>
      <c r="AA457" s="494">
        <v>1</v>
      </c>
      <c r="AB457" s="379">
        <v>6000</v>
      </c>
      <c r="AC457" s="501">
        <v>14701</v>
      </c>
      <c r="AD457" s="379">
        <v>8701</v>
      </c>
    </row>
    <row r="458" spans="1:30" hidden="1">
      <c r="A458" s="462">
        <v>267</v>
      </c>
      <c r="B458" s="462" t="s">
        <v>392</v>
      </c>
      <c r="C458">
        <v>3548</v>
      </c>
      <c r="D458" s="462" t="s">
        <v>730</v>
      </c>
      <c r="E458">
        <v>6912</v>
      </c>
      <c r="F458" s="462" t="s">
        <v>1475</v>
      </c>
      <c r="G458" t="s">
        <v>1013</v>
      </c>
      <c r="H458" t="s">
        <v>473</v>
      </c>
      <c r="O458" s="72">
        <v>1</v>
      </c>
      <c r="P458">
        <v>1</v>
      </c>
      <c r="Q458" s="499">
        <v>13351</v>
      </c>
      <c r="R458" s="499">
        <v>1200</v>
      </c>
      <c r="S458" s="499">
        <v>150</v>
      </c>
      <c r="T458" s="500">
        <v>0</v>
      </c>
      <c r="U458" s="501">
        <v>14701</v>
      </c>
      <c r="V458">
        <v>0</v>
      </c>
      <c r="W458" s="499">
        <v>0</v>
      </c>
      <c r="X458" s="499">
        <v>0</v>
      </c>
      <c r="Y458" s="500">
        <v>0</v>
      </c>
      <c r="Z458" s="501">
        <v>0</v>
      </c>
      <c r="AA458" s="494">
        <v>1</v>
      </c>
      <c r="AB458" s="379">
        <v>6000</v>
      </c>
      <c r="AC458" s="501">
        <v>14701</v>
      </c>
      <c r="AD458" s="379">
        <v>8701</v>
      </c>
    </row>
    <row r="459" spans="1:30" hidden="1">
      <c r="A459" s="462">
        <v>267</v>
      </c>
      <c r="B459" s="462" t="s">
        <v>392</v>
      </c>
      <c r="C459">
        <v>3548</v>
      </c>
      <c r="D459" s="462" t="s">
        <v>730</v>
      </c>
      <c r="E459">
        <v>7502</v>
      </c>
      <c r="F459" s="462" t="s">
        <v>1026</v>
      </c>
      <c r="G459" t="s">
        <v>1027</v>
      </c>
      <c r="H459" t="s">
        <v>473</v>
      </c>
      <c r="M459">
        <v>2</v>
      </c>
      <c r="O459" s="72">
        <v>7</v>
      </c>
      <c r="P459">
        <v>5</v>
      </c>
      <c r="Q459" s="499">
        <v>66755</v>
      </c>
      <c r="R459" s="499">
        <v>6000</v>
      </c>
      <c r="S459" s="499">
        <v>750</v>
      </c>
      <c r="T459" s="500">
        <v>0</v>
      </c>
      <c r="U459" s="501">
        <v>73505</v>
      </c>
      <c r="V459">
        <v>2</v>
      </c>
      <c r="W459" s="499">
        <v>26702</v>
      </c>
      <c r="X459" s="499">
        <v>2400</v>
      </c>
      <c r="Y459" s="500">
        <v>0</v>
      </c>
      <c r="Z459" s="501">
        <v>29102</v>
      </c>
      <c r="AA459" s="494">
        <v>7</v>
      </c>
      <c r="AB459" s="379">
        <v>42000</v>
      </c>
      <c r="AC459" s="501">
        <v>102607</v>
      </c>
      <c r="AD459" s="379">
        <v>60607</v>
      </c>
    </row>
    <row r="460" spans="1:30">
      <c r="A460" s="463">
        <v>267</v>
      </c>
      <c r="B460" s="462" t="s">
        <v>392</v>
      </c>
      <c r="C460">
        <v>3548</v>
      </c>
      <c r="D460" s="462" t="s">
        <v>730</v>
      </c>
      <c r="E460">
        <v>8230</v>
      </c>
      <c r="F460" s="462" t="s">
        <v>1029</v>
      </c>
      <c r="G460" t="s">
        <v>1013</v>
      </c>
      <c r="H460" t="s">
        <v>473</v>
      </c>
      <c r="J460">
        <v>2</v>
      </c>
      <c r="O460" s="72">
        <v>2</v>
      </c>
      <c r="P460">
        <v>0</v>
      </c>
      <c r="Q460" s="499">
        <v>0</v>
      </c>
      <c r="R460" s="499">
        <v>0</v>
      </c>
      <c r="S460" s="499">
        <v>0</v>
      </c>
      <c r="T460" s="500">
        <v>0</v>
      </c>
      <c r="U460" s="501">
        <v>0</v>
      </c>
      <c r="V460">
        <v>2</v>
      </c>
      <c r="W460" s="499">
        <v>26702</v>
      </c>
      <c r="X460" s="499">
        <v>2400</v>
      </c>
      <c r="Y460" s="500">
        <v>0</v>
      </c>
      <c r="Z460" s="501">
        <v>29102</v>
      </c>
      <c r="AA460" s="494">
        <v>2</v>
      </c>
      <c r="AB460" s="379">
        <v>12000</v>
      </c>
      <c r="AC460" s="501">
        <v>29102</v>
      </c>
      <c r="AD460" s="379">
        <v>17102</v>
      </c>
    </row>
    <row r="461" spans="1:30" hidden="1">
      <c r="A461" s="462">
        <v>268</v>
      </c>
      <c r="B461" s="462" t="s">
        <v>1596</v>
      </c>
      <c r="C461">
        <v>268</v>
      </c>
      <c r="D461" s="462" t="s">
        <v>1597</v>
      </c>
      <c r="E461">
        <v>1045</v>
      </c>
      <c r="F461" s="462" t="s">
        <v>1476</v>
      </c>
      <c r="G461" t="s">
        <v>1013</v>
      </c>
      <c r="H461" t="s">
        <v>473</v>
      </c>
      <c r="K461">
        <v>1</v>
      </c>
      <c r="O461" s="72">
        <v>1</v>
      </c>
      <c r="P461">
        <v>0</v>
      </c>
      <c r="Q461" s="499">
        <v>0</v>
      </c>
      <c r="R461" s="499">
        <v>0</v>
      </c>
      <c r="S461" s="499">
        <v>0</v>
      </c>
      <c r="T461" s="500">
        <v>0</v>
      </c>
      <c r="U461" s="501">
        <v>0</v>
      </c>
      <c r="V461">
        <v>1</v>
      </c>
      <c r="W461" s="499">
        <v>0</v>
      </c>
      <c r="X461" s="499">
        <v>0</v>
      </c>
      <c r="Y461" s="500">
        <v>7208</v>
      </c>
      <c r="Z461" s="501">
        <v>7208</v>
      </c>
      <c r="AA461" s="494">
        <v>1</v>
      </c>
      <c r="AB461" s="379">
        <v>6000</v>
      </c>
      <c r="AC461" s="501">
        <v>7208</v>
      </c>
      <c r="AD461" s="379">
        <v>1208</v>
      </c>
    </row>
    <row r="462" spans="1:30" hidden="1">
      <c r="A462" s="462">
        <v>268</v>
      </c>
      <c r="B462" s="462" t="s">
        <v>1596</v>
      </c>
      <c r="C462">
        <v>268</v>
      </c>
      <c r="D462" s="462" t="s">
        <v>1597</v>
      </c>
      <c r="E462">
        <v>3282</v>
      </c>
      <c r="F462" s="462" t="s">
        <v>1022</v>
      </c>
      <c r="G462" t="s">
        <v>1013</v>
      </c>
      <c r="H462" t="s">
        <v>473</v>
      </c>
      <c r="K462">
        <v>1</v>
      </c>
      <c r="O462" s="72">
        <v>1</v>
      </c>
      <c r="P462">
        <v>0</v>
      </c>
      <c r="Q462" s="499">
        <v>0</v>
      </c>
      <c r="R462" s="499">
        <v>0</v>
      </c>
      <c r="S462" s="499">
        <v>0</v>
      </c>
      <c r="T462" s="500">
        <v>0</v>
      </c>
      <c r="U462" s="501">
        <v>0</v>
      </c>
      <c r="V462">
        <v>1</v>
      </c>
      <c r="W462" s="499">
        <v>0</v>
      </c>
      <c r="X462" s="499">
        <v>0</v>
      </c>
      <c r="Y462" s="500">
        <v>7208</v>
      </c>
      <c r="Z462" s="501">
        <v>7208</v>
      </c>
      <c r="AA462" s="494">
        <v>1</v>
      </c>
      <c r="AB462" s="379">
        <v>6000</v>
      </c>
      <c r="AC462" s="501">
        <v>7208</v>
      </c>
      <c r="AD462" s="379">
        <v>1208</v>
      </c>
    </row>
    <row r="463" spans="1:30" hidden="1">
      <c r="A463" s="462">
        <v>268</v>
      </c>
      <c r="B463" s="462" t="s">
        <v>1596</v>
      </c>
      <c r="C463">
        <v>268</v>
      </c>
      <c r="D463" s="462" t="s">
        <v>1597</v>
      </c>
      <c r="E463">
        <v>3310</v>
      </c>
      <c r="F463" s="462" t="s">
        <v>1045</v>
      </c>
      <c r="G463" t="s">
        <v>1013</v>
      </c>
      <c r="H463" t="s">
        <v>473</v>
      </c>
      <c r="J463">
        <v>1</v>
      </c>
      <c r="O463" s="72">
        <v>1</v>
      </c>
      <c r="P463">
        <v>0</v>
      </c>
      <c r="Q463" s="499">
        <v>0</v>
      </c>
      <c r="R463" s="499">
        <v>0</v>
      </c>
      <c r="S463" s="499">
        <v>0</v>
      </c>
      <c r="T463" s="500">
        <v>0</v>
      </c>
      <c r="U463" s="501">
        <v>0</v>
      </c>
      <c r="V463">
        <v>1</v>
      </c>
      <c r="W463" s="499">
        <v>13351</v>
      </c>
      <c r="X463" s="499">
        <v>1200</v>
      </c>
      <c r="Y463" s="500">
        <v>0</v>
      </c>
      <c r="Z463" s="501">
        <v>14551</v>
      </c>
      <c r="AA463" s="494">
        <v>1</v>
      </c>
      <c r="AB463" s="379">
        <v>6000</v>
      </c>
      <c r="AC463" s="501">
        <v>14551</v>
      </c>
      <c r="AD463" s="379">
        <v>8551</v>
      </c>
    </row>
    <row r="464" spans="1:30" hidden="1">
      <c r="A464" s="462">
        <v>268</v>
      </c>
      <c r="B464" s="462" t="s">
        <v>1596</v>
      </c>
      <c r="C464">
        <v>268</v>
      </c>
      <c r="D464" s="462" t="s">
        <v>1597</v>
      </c>
      <c r="E464">
        <v>3313</v>
      </c>
      <c r="F464" s="462" t="s">
        <v>1495</v>
      </c>
      <c r="G464" t="s">
        <v>1013</v>
      </c>
      <c r="H464" t="s">
        <v>473</v>
      </c>
      <c r="O464" s="72">
        <v>1</v>
      </c>
      <c r="P464">
        <v>1</v>
      </c>
      <c r="Q464" s="499">
        <v>0</v>
      </c>
      <c r="R464" s="499">
        <v>0</v>
      </c>
      <c r="S464" s="499">
        <v>0</v>
      </c>
      <c r="T464" s="500">
        <v>7208</v>
      </c>
      <c r="U464" s="501">
        <v>7208</v>
      </c>
      <c r="V464">
        <v>0</v>
      </c>
      <c r="W464" s="499">
        <v>0</v>
      </c>
      <c r="X464" s="499">
        <v>0</v>
      </c>
      <c r="Y464" s="500">
        <v>0</v>
      </c>
      <c r="Z464" s="501">
        <v>0</v>
      </c>
      <c r="AA464" s="494">
        <v>1</v>
      </c>
      <c r="AB464" s="379">
        <v>6000</v>
      </c>
      <c r="AC464" s="501">
        <v>7208</v>
      </c>
      <c r="AD464" s="379">
        <v>1208</v>
      </c>
    </row>
    <row r="465" spans="1:30" hidden="1">
      <c r="A465" s="462">
        <v>268</v>
      </c>
      <c r="B465" s="462" t="s">
        <v>1596</v>
      </c>
      <c r="C465">
        <v>268</v>
      </c>
      <c r="D465" s="462" t="s">
        <v>1597</v>
      </c>
      <c r="E465">
        <v>3321</v>
      </c>
      <c r="F465" s="462" t="s">
        <v>1047</v>
      </c>
      <c r="G465" t="s">
        <v>1013</v>
      </c>
      <c r="H465" t="s">
        <v>473</v>
      </c>
      <c r="K465">
        <v>2</v>
      </c>
      <c r="O465" s="72">
        <v>2</v>
      </c>
      <c r="P465">
        <v>0</v>
      </c>
      <c r="Q465" s="499">
        <v>0</v>
      </c>
      <c r="R465" s="499">
        <v>0</v>
      </c>
      <c r="S465" s="499">
        <v>0</v>
      </c>
      <c r="T465" s="500">
        <v>0</v>
      </c>
      <c r="U465" s="501">
        <v>0</v>
      </c>
      <c r="V465">
        <v>2</v>
      </c>
      <c r="W465" s="499">
        <v>0</v>
      </c>
      <c r="X465" s="499">
        <v>0</v>
      </c>
      <c r="Y465" s="500">
        <v>14416</v>
      </c>
      <c r="Z465" s="501">
        <v>14416</v>
      </c>
      <c r="AA465" s="494">
        <v>2</v>
      </c>
      <c r="AB465" s="379">
        <v>12000</v>
      </c>
      <c r="AC465" s="501">
        <v>14416</v>
      </c>
      <c r="AD465" s="379">
        <v>2416</v>
      </c>
    </row>
    <row r="466" spans="1:30" hidden="1">
      <c r="A466" s="462">
        <v>268</v>
      </c>
      <c r="B466" s="462" t="s">
        <v>1596</v>
      </c>
      <c r="C466">
        <v>268</v>
      </c>
      <c r="D466" s="462" t="s">
        <v>1597</v>
      </c>
      <c r="E466">
        <v>3395</v>
      </c>
      <c r="F466" s="462" t="s">
        <v>1479</v>
      </c>
      <c r="G466" t="s">
        <v>1013</v>
      </c>
      <c r="H466" t="s">
        <v>473</v>
      </c>
      <c r="K466">
        <v>1</v>
      </c>
      <c r="O466" s="72">
        <v>2</v>
      </c>
      <c r="P466">
        <v>1</v>
      </c>
      <c r="Q466" s="499">
        <v>0</v>
      </c>
      <c r="R466" s="499">
        <v>0</v>
      </c>
      <c r="S466" s="499">
        <v>0</v>
      </c>
      <c r="T466" s="500">
        <v>7208</v>
      </c>
      <c r="U466" s="501">
        <v>7208</v>
      </c>
      <c r="V466">
        <v>1</v>
      </c>
      <c r="W466" s="499">
        <v>0</v>
      </c>
      <c r="X466" s="499">
        <v>0</v>
      </c>
      <c r="Y466" s="500">
        <v>7208</v>
      </c>
      <c r="Z466" s="501">
        <v>7208</v>
      </c>
      <c r="AA466" s="494">
        <v>2</v>
      </c>
      <c r="AB466" s="379">
        <v>12000</v>
      </c>
      <c r="AC466" s="501">
        <v>14416</v>
      </c>
      <c r="AD466" s="379">
        <v>2416</v>
      </c>
    </row>
    <row r="467" spans="1:30" hidden="1">
      <c r="A467" s="463">
        <v>268</v>
      </c>
      <c r="B467" s="462" t="s">
        <v>1596</v>
      </c>
      <c r="C467">
        <v>268</v>
      </c>
      <c r="D467" s="462" t="s">
        <v>1597</v>
      </c>
      <c r="E467">
        <v>5725</v>
      </c>
      <c r="F467" s="462" t="s">
        <v>1038</v>
      </c>
      <c r="G467" t="s">
        <v>1013</v>
      </c>
      <c r="H467" t="s">
        <v>473</v>
      </c>
      <c r="K467">
        <v>1</v>
      </c>
      <c r="O467" s="72">
        <v>3</v>
      </c>
      <c r="P467">
        <v>2</v>
      </c>
      <c r="Q467" s="499">
        <v>0</v>
      </c>
      <c r="R467" s="499">
        <v>0</v>
      </c>
      <c r="S467" s="499">
        <v>0</v>
      </c>
      <c r="T467" s="500">
        <v>14416</v>
      </c>
      <c r="U467" s="501">
        <v>14416</v>
      </c>
      <c r="V467">
        <v>1</v>
      </c>
      <c r="W467" s="499">
        <v>0</v>
      </c>
      <c r="X467" s="499">
        <v>0</v>
      </c>
      <c r="Y467" s="500">
        <v>7208</v>
      </c>
      <c r="Z467" s="501">
        <v>7208</v>
      </c>
      <c r="AA467" s="494">
        <v>3</v>
      </c>
      <c r="AB467" s="379">
        <v>18000</v>
      </c>
      <c r="AC467" s="501">
        <v>21624</v>
      </c>
      <c r="AD467" s="379">
        <v>3624</v>
      </c>
    </row>
    <row r="468" spans="1:30" hidden="1">
      <c r="A468" s="462">
        <v>270</v>
      </c>
      <c r="B468" s="462" t="s">
        <v>637</v>
      </c>
      <c r="C468">
        <v>9011</v>
      </c>
      <c r="D468" s="462" t="s">
        <v>1576</v>
      </c>
      <c r="E468">
        <v>1758</v>
      </c>
      <c r="F468" s="462" t="s">
        <v>1020</v>
      </c>
      <c r="G468" t="s">
        <v>1013</v>
      </c>
      <c r="H468" s="383" t="s">
        <v>474</v>
      </c>
      <c r="M468">
        <v>2</v>
      </c>
      <c r="O468" s="72">
        <v>6</v>
      </c>
      <c r="P468">
        <v>4</v>
      </c>
      <c r="Q468" s="499">
        <v>53404</v>
      </c>
      <c r="R468" s="499">
        <v>16000</v>
      </c>
      <c r="S468" s="499">
        <v>2000</v>
      </c>
      <c r="T468" s="500">
        <v>0</v>
      </c>
      <c r="U468" s="501">
        <v>71404</v>
      </c>
      <c r="V468">
        <v>2</v>
      </c>
      <c r="W468" s="499">
        <v>26702</v>
      </c>
      <c r="X468" s="499">
        <v>8000</v>
      </c>
      <c r="Y468" s="500">
        <v>0</v>
      </c>
      <c r="Z468" s="501">
        <v>34702</v>
      </c>
      <c r="AA468" s="494">
        <v>6</v>
      </c>
      <c r="AB468" s="379">
        <v>36000</v>
      </c>
      <c r="AC468" s="501">
        <v>106106</v>
      </c>
      <c r="AD468" s="379">
        <v>70106</v>
      </c>
    </row>
    <row r="469" spans="1:30" hidden="1">
      <c r="A469" s="462">
        <v>270</v>
      </c>
      <c r="B469" s="462" t="s">
        <v>637</v>
      </c>
      <c r="C469">
        <v>9011</v>
      </c>
      <c r="D469" s="462" t="s">
        <v>1576</v>
      </c>
      <c r="E469">
        <v>3305</v>
      </c>
      <c r="F469" s="462" t="s">
        <v>1024</v>
      </c>
      <c r="G469" t="s">
        <v>1013</v>
      </c>
      <c r="H469" s="383" t="s">
        <v>474</v>
      </c>
      <c r="J469">
        <v>1</v>
      </c>
      <c r="O469" s="72">
        <v>1</v>
      </c>
      <c r="P469">
        <v>0</v>
      </c>
      <c r="Q469" s="499">
        <v>0</v>
      </c>
      <c r="R469" s="499">
        <v>0</v>
      </c>
      <c r="S469" s="499">
        <v>0</v>
      </c>
      <c r="T469" s="500">
        <v>0</v>
      </c>
      <c r="U469" s="501">
        <v>0</v>
      </c>
      <c r="V469">
        <v>1</v>
      </c>
      <c r="W469" s="499">
        <v>13351</v>
      </c>
      <c r="X469" s="499">
        <v>4000</v>
      </c>
      <c r="Y469" s="500">
        <v>0</v>
      </c>
      <c r="Z469" s="501">
        <v>17351</v>
      </c>
      <c r="AA469" s="494">
        <v>1</v>
      </c>
      <c r="AB469" s="379">
        <v>6000</v>
      </c>
      <c r="AC469" s="501">
        <v>17351</v>
      </c>
      <c r="AD469" s="379">
        <v>11351</v>
      </c>
    </row>
    <row r="470" spans="1:30" hidden="1">
      <c r="A470" s="462">
        <v>270</v>
      </c>
      <c r="B470" s="462" t="s">
        <v>637</v>
      </c>
      <c r="C470">
        <v>9011</v>
      </c>
      <c r="D470" s="462" t="s">
        <v>1576</v>
      </c>
      <c r="E470">
        <v>3372</v>
      </c>
      <c r="F470" s="462" t="s">
        <v>976</v>
      </c>
      <c r="G470" t="s">
        <v>1013</v>
      </c>
      <c r="H470" s="383" t="s">
        <v>474</v>
      </c>
      <c r="O470" s="72">
        <v>1</v>
      </c>
      <c r="P470">
        <v>1</v>
      </c>
      <c r="Q470" s="499">
        <v>13351</v>
      </c>
      <c r="R470" s="499">
        <v>4000</v>
      </c>
      <c r="S470" s="499">
        <v>500</v>
      </c>
      <c r="T470" s="500">
        <v>0</v>
      </c>
      <c r="U470" s="501">
        <v>17851</v>
      </c>
      <c r="V470">
        <v>0</v>
      </c>
      <c r="W470" s="499">
        <v>0</v>
      </c>
      <c r="X470" s="499">
        <v>0</v>
      </c>
      <c r="Y470" s="500">
        <v>0</v>
      </c>
      <c r="Z470" s="501">
        <v>0</v>
      </c>
      <c r="AA470" s="494">
        <v>1</v>
      </c>
      <c r="AB470" s="379">
        <v>6000</v>
      </c>
      <c r="AC470" s="501">
        <v>17851</v>
      </c>
      <c r="AD470" s="379">
        <v>11851</v>
      </c>
    </row>
    <row r="471" spans="1:30" hidden="1">
      <c r="A471" s="462">
        <v>270</v>
      </c>
      <c r="B471" s="462" t="s">
        <v>637</v>
      </c>
      <c r="C471">
        <v>9011</v>
      </c>
      <c r="D471" s="462" t="s">
        <v>1576</v>
      </c>
      <c r="E471">
        <v>3395</v>
      </c>
      <c r="F471" s="462" t="s">
        <v>1479</v>
      </c>
      <c r="G471" t="s">
        <v>1013</v>
      </c>
      <c r="H471" s="383" t="s">
        <v>474</v>
      </c>
      <c r="J471">
        <v>3</v>
      </c>
      <c r="O471" s="72">
        <v>6</v>
      </c>
      <c r="P471">
        <v>3</v>
      </c>
      <c r="Q471" s="499">
        <v>40053</v>
      </c>
      <c r="R471" s="499">
        <v>12000</v>
      </c>
      <c r="S471" s="499">
        <v>1500</v>
      </c>
      <c r="T471" s="500">
        <v>0</v>
      </c>
      <c r="U471" s="501">
        <v>53553</v>
      </c>
      <c r="V471">
        <v>3</v>
      </c>
      <c r="W471" s="499">
        <v>40053</v>
      </c>
      <c r="X471" s="499">
        <v>12000</v>
      </c>
      <c r="Y471" s="500">
        <v>0</v>
      </c>
      <c r="Z471" s="501">
        <v>52053</v>
      </c>
      <c r="AA471" s="494">
        <v>6</v>
      </c>
      <c r="AB471" s="379">
        <v>36000</v>
      </c>
      <c r="AC471" s="501">
        <v>105606</v>
      </c>
      <c r="AD471" s="379">
        <v>69606</v>
      </c>
    </row>
    <row r="472" spans="1:30" hidden="1">
      <c r="A472" s="462">
        <v>270</v>
      </c>
      <c r="B472" s="462" t="s">
        <v>637</v>
      </c>
      <c r="C472">
        <v>9011</v>
      </c>
      <c r="D472" s="462" t="s">
        <v>1576</v>
      </c>
      <c r="E472">
        <v>3401</v>
      </c>
      <c r="F472" s="462" t="s">
        <v>1034</v>
      </c>
      <c r="G472" t="s">
        <v>1013</v>
      </c>
      <c r="H472" s="383" t="s">
        <v>474</v>
      </c>
      <c r="J472">
        <v>4</v>
      </c>
      <c r="O472" s="72">
        <v>4</v>
      </c>
      <c r="P472">
        <v>0</v>
      </c>
      <c r="Q472" s="499">
        <v>0</v>
      </c>
      <c r="R472" s="499">
        <v>0</v>
      </c>
      <c r="S472" s="499">
        <v>0</v>
      </c>
      <c r="T472" s="500">
        <v>0</v>
      </c>
      <c r="U472" s="501">
        <v>0</v>
      </c>
      <c r="V472">
        <v>4</v>
      </c>
      <c r="W472" s="499">
        <v>53404</v>
      </c>
      <c r="X472" s="499">
        <v>16000</v>
      </c>
      <c r="Y472" s="500">
        <v>0</v>
      </c>
      <c r="Z472" s="501">
        <v>69404</v>
      </c>
      <c r="AA472" s="494">
        <v>4</v>
      </c>
      <c r="AB472" s="379">
        <v>24000</v>
      </c>
      <c r="AC472" s="501">
        <v>69404</v>
      </c>
      <c r="AD472" s="379">
        <v>45404</v>
      </c>
    </row>
    <row r="473" spans="1:30" hidden="1">
      <c r="A473" s="462">
        <v>270</v>
      </c>
      <c r="B473" s="462" t="s">
        <v>637</v>
      </c>
      <c r="C473">
        <v>9011</v>
      </c>
      <c r="D473" s="462" t="s">
        <v>1576</v>
      </c>
      <c r="E473">
        <v>3449</v>
      </c>
      <c r="F473" s="462" t="s">
        <v>1015</v>
      </c>
      <c r="G473" t="s">
        <v>1013</v>
      </c>
      <c r="H473" s="383" t="s">
        <v>474</v>
      </c>
      <c r="O473" s="72">
        <v>1</v>
      </c>
      <c r="P473">
        <v>1</v>
      </c>
      <c r="Q473" s="499">
        <v>13351</v>
      </c>
      <c r="R473" s="499">
        <v>4000</v>
      </c>
      <c r="S473" s="499">
        <v>500</v>
      </c>
      <c r="T473" s="500">
        <v>0</v>
      </c>
      <c r="U473" s="501">
        <v>17851</v>
      </c>
      <c r="V473">
        <v>0</v>
      </c>
      <c r="W473" s="499">
        <v>0</v>
      </c>
      <c r="X473" s="499">
        <v>0</v>
      </c>
      <c r="Y473" s="500">
        <v>0</v>
      </c>
      <c r="Z473" s="501">
        <v>0</v>
      </c>
      <c r="AA473" s="494">
        <v>1</v>
      </c>
      <c r="AB473" s="379">
        <v>6000</v>
      </c>
      <c r="AC473" s="501">
        <v>17851</v>
      </c>
      <c r="AD473" s="379">
        <v>11851</v>
      </c>
    </row>
    <row r="474" spans="1:30" hidden="1">
      <c r="A474" s="462">
        <v>270</v>
      </c>
      <c r="B474" s="462" t="s">
        <v>637</v>
      </c>
      <c r="C474">
        <v>9011</v>
      </c>
      <c r="D474" s="462" t="s">
        <v>1576</v>
      </c>
      <c r="E474">
        <v>7017</v>
      </c>
      <c r="F474" s="462" t="s">
        <v>1599</v>
      </c>
      <c r="G474" t="s">
        <v>1027</v>
      </c>
      <c r="H474" s="383" t="s">
        <v>474</v>
      </c>
      <c r="O474" s="72">
        <v>1</v>
      </c>
      <c r="P474">
        <v>1</v>
      </c>
      <c r="Q474" s="499">
        <v>13351</v>
      </c>
      <c r="R474" s="499">
        <v>4000</v>
      </c>
      <c r="S474" s="499">
        <v>500</v>
      </c>
      <c r="T474" s="500">
        <v>0</v>
      </c>
      <c r="U474" s="501">
        <v>17851</v>
      </c>
      <c r="V474">
        <v>0</v>
      </c>
      <c r="W474" s="499">
        <v>0</v>
      </c>
      <c r="X474" s="499">
        <v>0</v>
      </c>
      <c r="Y474" s="500">
        <v>0</v>
      </c>
      <c r="Z474" s="501">
        <v>0</v>
      </c>
      <c r="AA474" s="494">
        <v>1</v>
      </c>
      <c r="AB474" s="379">
        <v>6000</v>
      </c>
      <c r="AC474" s="501">
        <v>17851</v>
      </c>
      <c r="AD474" s="379">
        <v>11851</v>
      </c>
    </row>
    <row r="475" spans="1:30" hidden="1">
      <c r="A475" s="462">
        <v>270</v>
      </c>
      <c r="B475" s="462" t="s">
        <v>637</v>
      </c>
      <c r="C475">
        <v>9011</v>
      </c>
      <c r="D475" s="462" t="s">
        <v>1576</v>
      </c>
      <c r="E475">
        <v>7502</v>
      </c>
      <c r="F475" s="462" t="s">
        <v>1026</v>
      </c>
      <c r="G475" t="s">
        <v>1027</v>
      </c>
      <c r="H475" s="383" t="s">
        <v>474</v>
      </c>
      <c r="M475">
        <v>2</v>
      </c>
      <c r="O475" s="72">
        <v>7</v>
      </c>
      <c r="P475">
        <v>5</v>
      </c>
      <c r="Q475" s="499">
        <v>66755</v>
      </c>
      <c r="R475" s="499">
        <v>20000</v>
      </c>
      <c r="S475" s="499">
        <v>2500</v>
      </c>
      <c r="T475" s="500">
        <v>0</v>
      </c>
      <c r="U475" s="501">
        <v>89255</v>
      </c>
      <c r="V475">
        <v>2</v>
      </c>
      <c r="W475" s="499">
        <v>26702</v>
      </c>
      <c r="X475" s="499">
        <v>8000</v>
      </c>
      <c r="Y475" s="500">
        <v>0</v>
      </c>
      <c r="Z475" s="501">
        <v>34702</v>
      </c>
      <c r="AA475" s="494">
        <v>7</v>
      </c>
      <c r="AB475" s="379">
        <v>42000</v>
      </c>
      <c r="AC475" s="501">
        <v>123957</v>
      </c>
      <c r="AD475" s="379">
        <v>81957</v>
      </c>
    </row>
    <row r="476" spans="1:30" hidden="1">
      <c r="A476" s="463">
        <v>270</v>
      </c>
      <c r="B476" s="462" t="s">
        <v>637</v>
      </c>
      <c r="C476">
        <v>9011</v>
      </c>
      <c r="D476" s="462" t="s">
        <v>1576</v>
      </c>
      <c r="E476">
        <v>8930</v>
      </c>
      <c r="F476" s="462" t="s">
        <v>1040</v>
      </c>
      <c r="G476" t="s">
        <v>1013</v>
      </c>
      <c r="H476" s="383" t="s">
        <v>474</v>
      </c>
      <c r="J476">
        <v>1</v>
      </c>
      <c r="O476" s="72">
        <v>1</v>
      </c>
      <c r="P476">
        <v>0</v>
      </c>
      <c r="Q476" s="499">
        <v>0</v>
      </c>
      <c r="R476" s="499">
        <v>0</v>
      </c>
      <c r="S476" s="499">
        <v>0</v>
      </c>
      <c r="T476" s="500">
        <v>0</v>
      </c>
      <c r="U476" s="501">
        <v>0</v>
      </c>
      <c r="V476">
        <v>1</v>
      </c>
      <c r="W476" s="499">
        <v>13351</v>
      </c>
      <c r="X476" s="499">
        <v>4000</v>
      </c>
      <c r="Y476" s="500">
        <v>0</v>
      </c>
      <c r="Z476" s="501">
        <v>17351</v>
      </c>
      <c r="AA476" s="494">
        <v>1</v>
      </c>
      <c r="AB476" s="379">
        <v>6000</v>
      </c>
      <c r="AC476" s="501">
        <v>17351</v>
      </c>
      <c r="AD476" s="379">
        <v>11351</v>
      </c>
    </row>
    <row r="477" spans="1:30">
      <c r="A477" s="462">
        <v>271</v>
      </c>
      <c r="B477" s="462" t="s">
        <v>396</v>
      </c>
      <c r="C477">
        <v>3548</v>
      </c>
      <c r="D477" s="462" t="s">
        <v>730</v>
      </c>
      <c r="E477">
        <v>2198</v>
      </c>
      <c r="F477" s="462" t="s">
        <v>1032</v>
      </c>
      <c r="G477" t="s">
        <v>1013</v>
      </c>
      <c r="H477" t="s">
        <v>473</v>
      </c>
      <c r="J477">
        <v>1</v>
      </c>
      <c r="O477" s="72">
        <v>1</v>
      </c>
      <c r="P477">
        <v>0</v>
      </c>
      <c r="Q477" s="499">
        <v>0</v>
      </c>
      <c r="R477" s="499">
        <v>0</v>
      </c>
      <c r="S477" s="499">
        <v>0</v>
      </c>
      <c r="T477" s="500">
        <v>0</v>
      </c>
      <c r="U477" s="501">
        <v>0</v>
      </c>
      <c r="V477">
        <v>1</v>
      </c>
      <c r="W477" s="499">
        <v>13351</v>
      </c>
      <c r="X477" s="499">
        <v>1200</v>
      </c>
      <c r="Y477" s="500">
        <v>0</v>
      </c>
      <c r="Z477" s="501">
        <v>14551</v>
      </c>
      <c r="AA477" s="494">
        <v>1</v>
      </c>
      <c r="AB477" s="379">
        <v>6000</v>
      </c>
      <c r="AC477" s="501">
        <v>14551</v>
      </c>
      <c r="AD477" s="379">
        <v>8551</v>
      </c>
    </row>
    <row r="478" spans="1:30" hidden="1">
      <c r="A478" s="462">
        <v>271</v>
      </c>
      <c r="B478" s="462" t="s">
        <v>396</v>
      </c>
      <c r="C478">
        <v>3548</v>
      </c>
      <c r="D478" s="462" t="s">
        <v>730</v>
      </c>
      <c r="E478">
        <v>3321</v>
      </c>
      <c r="F478" s="462" t="s">
        <v>1047</v>
      </c>
      <c r="G478" t="s">
        <v>1013</v>
      </c>
      <c r="H478" t="s">
        <v>473</v>
      </c>
      <c r="O478" s="72">
        <v>3</v>
      </c>
      <c r="P478">
        <v>3</v>
      </c>
      <c r="Q478" s="499">
        <v>40053</v>
      </c>
      <c r="R478" s="499">
        <v>3600</v>
      </c>
      <c r="S478" s="499">
        <v>450</v>
      </c>
      <c r="T478" s="500">
        <v>0</v>
      </c>
      <c r="U478" s="501">
        <v>44103</v>
      </c>
      <c r="V478">
        <v>0</v>
      </c>
      <c r="W478" s="499">
        <v>0</v>
      </c>
      <c r="X478" s="499">
        <v>0</v>
      </c>
      <c r="Y478" s="500">
        <v>0</v>
      </c>
      <c r="Z478" s="501">
        <v>0</v>
      </c>
      <c r="AA478" s="494">
        <v>3</v>
      </c>
      <c r="AB478" s="379">
        <v>18000</v>
      </c>
      <c r="AC478" s="501">
        <v>44103</v>
      </c>
      <c r="AD478" s="379">
        <v>26103</v>
      </c>
    </row>
    <row r="479" spans="1:30" hidden="1">
      <c r="A479" s="462">
        <v>271</v>
      </c>
      <c r="B479" s="462" t="s">
        <v>396</v>
      </c>
      <c r="C479">
        <v>3548</v>
      </c>
      <c r="D479" s="462" t="s">
        <v>730</v>
      </c>
      <c r="E479">
        <v>3349</v>
      </c>
      <c r="F479" s="462" t="s">
        <v>1478</v>
      </c>
      <c r="G479" t="s">
        <v>1013</v>
      </c>
      <c r="H479" t="s">
        <v>473</v>
      </c>
      <c r="O479" s="72">
        <v>1</v>
      </c>
      <c r="P479">
        <v>1</v>
      </c>
      <c r="Q479" s="499">
        <v>13351</v>
      </c>
      <c r="R479" s="499">
        <v>1200</v>
      </c>
      <c r="S479" s="499">
        <v>150</v>
      </c>
      <c r="T479" s="500">
        <v>0</v>
      </c>
      <c r="U479" s="501">
        <v>14701</v>
      </c>
      <c r="V479">
        <v>0</v>
      </c>
      <c r="W479" s="499">
        <v>0</v>
      </c>
      <c r="X479" s="499">
        <v>0</v>
      </c>
      <c r="Y479" s="500">
        <v>0</v>
      </c>
      <c r="Z479" s="501">
        <v>0</v>
      </c>
      <c r="AA479" s="494">
        <v>1</v>
      </c>
      <c r="AB479" s="379">
        <v>6000</v>
      </c>
      <c r="AC479" s="501">
        <v>14701</v>
      </c>
      <c r="AD479" s="379">
        <v>8701</v>
      </c>
    </row>
    <row r="480" spans="1:30" hidden="1">
      <c r="A480" s="462">
        <v>271</v>
      </c>
      <c r="B480" s="462" t="s">
        <v>396</v>
      </c>
      <c r="C480">
        <v>3548</v>
      </c>
      <c r="D480" s="462" t="s">
        <v>730</v>
      </c>
      <c r="E480">
        <v>3379</v>
      </c>
      <c r="F480" s="462" t="s">
        <v>1051</v>
      </c>
      <c r="G480" t="s">
        <v>1013</v>
      </c>
      <c r="H480" t="s">
        <v>473</v>
      </c>
      <c r="O480" s="72">
        <v>2</v>
      </c>
      <c r="P480">
        <v>2</v>
      </c>
      <c r="Q480" s="499">
        <v>26702</v>
      </c>
      <c r="R480" s="499">
        <v>2400</v>
      </c>
      <c r="S480" s="499">
        <v>300</v>
      </c>
      <c r="T480" s="500">
        <v>0</v>
      </c>
      <c r="U480" s="501">
        <v>29402</v>
      </c>
      <c r="V480">
        <v>0</v>
      </c>
      <c r="W480" s="499">
        <v>0</v>
      </c>
      <c r="X480" s="499">
        <v>0</v>
      </c>
      <c r="Y480" s="500">
        <v>0</v>
      </c>
      <c r="Z480" s="501">
        <v>0</v>
      </c>
      <c r="AA480" s="494">
        <v>2</v>
      </c>
      <c r="AB480" s="379">
        <v>12000</v>
      </c>
      <c r="AC480" s="501">
        <v>29402</v>
      </c>
      <c r="AD480" s="379">
        <v>17402</v>
      </c>
    </row>
    <row r="481" spans="1:30" hidden="1">
      <c r="A481" s="462">
        <v>271</v>
      </c>
      <c r="B481" s="462" t="s">
        <v>396</v>
      </c>
      <c r="C481">
        <v>3548</v>
      </c>
      <c r="D481" s="462" t="s">
        <v>730</v>
      </c>
      <c r="E481">
        <v>3395</v>
      </c>
      <c r="F481" s="462" t="s">
        <v>1479</v>
      </c>
      <c r="G481" t="s">
        <v>1013</v>
      </c>
      <c r="H481" t="s">
        <v>473</v>
      </c>
      <c r="O481" s="72">
        <v>1</v>
      </c>
      <c r="P481">
        <v>1</v>
      </c>
      <c r="Q481" s="499">
        <v>13351</v>
      </c>
      <c r="R481" s="499">
        <v>1200</v>
      </c>
      <c r="S481" s="499">
        <v>150</v>
      </c>
      <c r="T481" s="500">
        <v>0</v>
      </c>
      <c r="U481" s="501">
        <v>14701</v>
      </c>
      <c r="V481">
        <v>0</v>
      </c>
      <c r="W481" s="499">
        <v>0</v>
      </c>
      <c r="X481" s="499">
        <v>0</v>
      </c>
      <c r="Y481" s="500">
        <v>0</v>
      </c>
      <c r="Z481" s="501">
        <v>0</v>
      </c>
      <c r="AA481" s="494">
        <v>1</v>
      </c>
      <c r="AB481" s="379">
        <v>6000</v>
      </c>
      <c r="AC481" s="501">
        <v>14701</v>
      </c>
      <c r="AD481" s="379">
        <v>8701</v>
      </c>
    </row>
    <row r="482" spans="1:30">
      <c r="A482" s="462">
        <v>271</v>
      </c>
      <c r="B482" s="462" t="s">
        <v>396</v>
      </c>
      <c r="C482">
        <v>3548</v>
      </c>
      <c r="D482" s="462" t="s">
        <v>730</v>
      </c>
      <c r="E482">
        <v>3401</v>
      </c>
      <c r="F482" s="462" t="s">
        <v>1034</v>
      </c>
      <c r="G482" t="s">
        <v>1013</v>
      </c>
      <c r="H482" t="s">
        <v>473</v>
      </c>
      <c r="J482">
        <v>1</v>
      </c>
      <c r="O482" s="72">
        <v>1</v>
      </c>
      <c r="P482">
        <v>0</v>
      </c>
      <c r="Q482" s="499">
        <v>0</v>
      </c>
      <c r="R482" s="499">
        <v>0</v>
      </c>
      <c r="S482" s="499">
        <v>0</v>
      </c>
      <c r="T482" s="500">
        <v>0</v>
      </c>
      <c r="U482" s="501">
        <v>0</v>
      </c>
      <c r="V482">
        <v>1</v>
      </c>
      <c r="W482" s="499">
        <v>13351</v>
      </c>
      <c r="X482" s="499">
        <v>1200</v>
      </c>
      <c r="Y482" s="500">
        <v>0</v>
      </c>
      <c r="Z482" s="501">
        <v>14551</v>
      </c>
      <c r="AA482" s="494">
        <v>1</v>
      </c>
      <c r="AB482" s="379">
        <v>6000</v>
      </c>
      <c r="AC482" s="501">
        <v>14551</v>
      </c>
      <c r="AD482" s="379">
        <v>8551</v>
      </c>
    </row>
    <row r="483" spans="1:30">
      <c r="A483" s="462">
        <v>271</v>
      </c>
      <c r="B483" s="462" t="s">
        <v>396</v>
      </c>
      <c r="C483">
        <v>3548</v>
      </c>
      <c r="D483" s="462" t="s">
        <v>730</v>
      </c>
      <c r="E483">
        <v>3411</v>
      </c>
      <c r="F483" s="462" t="s">
        <v>1036</v>
      </c>
      <c r="G483" t="s">
        <v>1013</v>
      </c>
      <c r="H483" t="s">
        <v>473</v>
      </c>
      <c r="J483">
        <v>1</v>
      </c>
      <c r="O483" s="72">
        <v>2</v>
      </c>
      <c r="P483">
        <v>1</v>
      </c>
      <c r="Q483" s="499">
        <v>13351</v>
      </c>
      <c r="R483" s="499">
        <v>1200</v>
      </c>
      <c r="S483" s="499">
        <v>150</v>
      </c>
      <c r="T483" s="500">
        <v>0</v>
      </c>
      <c r="U483" s="501">
        <v>14701</v>
      </c>
      <c r="V483">
        <v>1</v>
      </c>
      <c r="W483" s="499">
        <v>13351</v>
      </c>
      <c r="X483" s="499">
        <v>1200</v>
      </c>
      <c r="Y483" s="500">
        <v>0</v>
      </c>
      <c r="Z483" s="501">
        <v>14551</v>
      </c>
      <c r="AA483" s="494">
        <v>2</v>
      </c>
      <c r="AB483" s="379">
        <v>12000</v>
      </c>
      <c r="AC483" s="501">
        <v>29252</v>
      </c>
      <c r="AD483" s="379">
        <v>17252</v>
      </c>
    </row>
    <row r="484" spans="1:30" hidden="1">
      <c r="A484" s="462">
        <v>271</v>
      </c>
      <c r="B484" s="462" t="s">
        <v>396</v>
      </c>
      <c r="C484">
        <v>3548</v>
      </c>
      <c r="D484" s="462" t="s">
        <v>730</v>
      </c>
      <c r="E484">
        <v>5725</v>
      </c>
      <c r="F484" s="462" t="s">
        <v>1038</v>
      </c>
      <c r="G484" t="s">
        <v>1013</v>
      </c>
      <c r="H484" t="s">
        <v>473</v>
      </c>
      <c r="K484">
        <v>1</v>
      </c>
      <c r="O484" s="72">
        <v>1</v>
      </c>
      <c r="P484">
        <v>0</v>
      </c>
      <c r="Q484" s="499">
        <v>0</v>
      </c>
      <c r="R484" s="499">
        <v>0</v>
      </c>
      <c r="S484" s="499">
        <v>0</v>
      </c>
      <c r="T484" s="500">
        <v>0</v>
      </c>
      <c r="U484" s="501">
        <v>0</v>
      </c>
      <c r="V484">
        <v>1</v>
      </c>
      <c r="W484" s="499">
        <v>0</v>
      </c>
      <c r="X484" s="499">
        <v>0</v>
      </c>
      <c r="Y484" s="500">
        <v>7208</v>
      </c>
      <c r="Z484" s="501">
        <v>7208</v>
      </c>
      <c r="AA484" s="494">
        <v>1</v>
      </c>
      <c r="AB484" s="379">
        <v>6000</v>
      </c>
      <c r="AC484" s="501">
        <v>7208</v>
      </c>
      <c r="AD484" s="379">
        <v>1208</v>
      </c>
    </row>
    <row r="485" spans="1:30" hidden="1">
      <c r="A485" s="462">
        <v>271</v>
      </c>
      <c r="B485" s="462" t="s">
        <v>396</v>
      </c>
      <c r="C485">
        <v>3548</v>
      </c>
      <c r="D485" s="462" t="s">
        <v>730</v>
      </c>
      <c r="E485">
        <v>7045</v>
      </c>
      <c r="F485" s="462" t="s">
        <v>1481</v>
      </c>
      <c r="G485" t="s">
        <v>1013</v>
      </c>
      <c r="H485" t="s">
        <v>473</v>
      </c>
      <c r="O485" s="72">
        <v>1</v>
      </c>
      <c r="P485">
        <v>1</v>
      </c>
      <c r="Q485" s="499">
        <v>13351</v>
      </c>
      <c r="R485" s="499">
        <v>1200</v>
      </c>
      <c r="S485" s="499">
        <v>150</v>
      </c>
      <c r="T485" s="500">
        <v>0</v>
      </c>
      <c r="U485" s="501">
        <v>14701</v>
      </c>
      <c r="V485">
        <v>0</v>
      </c>
      <c r="W485" s="499">
        <v>0</v>
      </c>
      <c r="X485" s="499">
        <v>0</v>
      </c>
      <c r="Y485" s="500">
        <v>0</v>
      </c>
      <c r="Z485" s="501">
        <v>0</v>
      </c>
      <c r="AA485" s="494">
        <v>1</v>
      </c>
      <c r="AB485" s="379">
        <v>6000</v>
      </c>
      <c r="AC485" s="501">
        <v>14701</v>
      </c>
      <c r="AD485" s="379">
        <v>8701</v>
      </c>
    </row>
    <row r="486" spans="1:30" hidden="1">
      <c r="A486" s="462">
        <v>271</v>
      </c>
      <c r="B486" s="462" t="s">
        <v>396</v>
      </c>
      <c r="C486">
        <v>3548</v>
      </c>
      <c r="D486" s="462" t="s">
        <v>730</v>
      </c>
      <c r="E486">
        <v>7592</v>
      </c>
      <c r="F486" s="462" t="s">
        <v>1483</v>
      </c>
      <c r="G486" t="s">
        <v>1013</v>
      </c>
      <c r="H486" t="s">
        <v>473</v>
      </c>
      <c r="O486" s="72">
        <v>2</v>
      </c>
      <c r="P486">
        <v>2</v>
      </c>
      <c r="Q486" s="499">
        <v>26702</v>
      </c>
      <c r="R486" s="499">
        <v>2400</v>
      </c>
      <c r="S486" s="499">
        <v>300</v>
      </c>
      <c r="T486" s="500">
        <v>0</v>
      </c>
      <c r="U486" s="501">
        <v>29402</v>
      </c>
      <c r="V486">
        <v>0</v>
      </c>
      <c r="W486" s="499">
        <v>0</v>
      </c>
      <c r="X486" s="499">
        <v>0</v>
      </c>
      <c r="Y486" s="500">
        <v>0</v>
      </c>
      <c r="Z486" s="501">
        <v>0</v>
      </c>
      <c r="AA486" s="494">
        <v>2</v>
      </c>
      <c r="AB486" s="379">
        <v>12000</v>
      </c>
      <c r="AC486" s="501">
        <v>29402</v>
      </c>
      <c r="AD486" s="379">
        <v>17402</v>
      </c>
    </row>
    <row r="487" spans="1:30" hidden="1">
      <c r="A487" s="462">
        <v>271</v>
      </c>
      <c r="B487" s="462" t="s">
        <v>396</v>
      </c>
      <c r="C487">
        <v>3548</v>
      </c>
      <c r="D487" s="462" t="s">
        <v>730</v>
      </c>
      <c r="E487">
        <v>8193</v>
      </c>
      <c r="F487" s="462" t="s">
        <v>1472</v>
      </c>
      <c r="G487" t="s">
        <v>1027</v>
      </c>
      <c r="H487" t="s">
        <v>473</v>
      </c>
      <c r="O487" s="72">
        <v>1</v>
      </c>
      <c r="P487">
        <v>1</v>
      </c>
      <c r="Q487" s="499">
        <v>13351</v>
      </c>
      <c r="R487" s="499">
        <v>1200</v>
      </c>
      <c r="S487" s="499">
        <v>150</v>
      </c>
      <c r="T487" s="500">
        <v>0</v>
      </c>
      <c r="U487" s="501">
        <v>14701</v>
      </c>
      <c r="V487">
        <v>0</v>
      </c>
      <c r="W487" s="499">
        <v>0</v>
      </c>
      <c r="X487" s="499">
        <v>0</v>
      </c>
      <c r="Y487" s="500">
        <v>0</v>
      </c>
      <c r="Z487" s="501">
        <v>0</v>
      </c>
      <c r="AA487" s="494">
        <v>1</v>
      </c>
      <c r="AB487" s="379">
        <v>6000</v>
      </c>
      <c r="AC487" s="501">
        <v>14701</v>
      </c>
      <c r="AD487" s="379">
        <v>8701</v>
      </c>
    </row>
    <row r="488" spans="1:30">
      <c r="A488" s="463">
        <v>271</v>
      </c>
      <c r="B488" s="462" t="s">
        <v>396</v>
      </c>
      <c r="C488">
        <v>3548</v>
      </c>
      <c r="D488" s="462" t="s">
        <v>730</v>
      </c>
      <c r="E488">
        <v>8930</v>
      </c>
      <c r="F488" s="462" t="s">
        <v>1040</v>
      </c>
      <c r="G488" t="s">
        <v>1013</v>
      </c>
      <c r="H488" t="s">
        <v>473</v>
      </c>
      <c r="J488">
        <v>3</v>
      </c>
      <c r="O488" s="72">
        <v>3</v>
      </c>
      <c r="P488">
        <v>0</v>
      </c>
      <c r="Q488" s="499">
        <v>0</v>
      </c>
      <c r="R488" s="499">
        <v>0</v>
      </c>
      <c r="S488" s="499">
        <v>0</v>
      </c>
      <c r="T488" s="500">
        <v>0</v>
      </c>
      <c r="U488" s="501">
        <v>0</v>
      </c>
      <c r="V488">
        <v>3</v>
      </c>
      <c r="W488" s="499">
        <v>40053</v>
      </c>
      <c r="X488" s="499">
        <v>3600</v>
      </c>
      <c r="Y488" s="500">
        <v>0</v>
      </c>
      <c r="Z488" s="501">
        <v>43653</v>
      </c>
      <c r="AA488" s="494">
        <v>3</v>
      </c>
      <c r="AB488" s="379">
        <v>18000</v>
      </c>
      <c r="AC488" s="501">
        <v>43653</v>
      </c>
      <c r="AD488" s="379">
        <v>25653</v>
      </c>
    </row>
    <row r="489" spans="1:30">
      <c r="A489" s="462">
        <v>272</v>
      </c>
      <c r="B489" s="462" t="s">
        <v>734</v>
      </c>
      <c r="C489">
        <v>3548</v>
      </c>
      <c r="D489" s="462" t="s">
        <v>730</v>
      </c>
      <c r="E489">
        <v>1283</v>
      </c>
      <c r="F489" s="462" t="s">
        <v>1043</v>
      </c>
      <c r="G489" t="s">
        <v>1013</v>
      </c>
      <c r="H489" t="s">
        <v>473</v>
      </c>
      <c r="J489">
        <v>1</v>
      </c>
      <c r="O489" s="72">
        <v>1</v>
      </c>
      <c r="P489">
        <v>0</v>
      </c>
      <c r="Q489" s="499">
        <v>0</v>
      </c>
      <c r="R489" s="499">
        <v>0</v>
      </c>
      <c r="S489" s="499">
        <v>0</v>
      </c>
      <c r="T489" s="500">
        <v>0</v>
      </c>
      <c r="U489" s="501">
        <v>0</v>
      </c>
      <c r="V489">
        <v>1</v>
      </c>
      <c r="W489" s="499">
        <v>13351</v>
      </c>
      <c r="X489" s="499">
        <v>1200</v>
      </c>
      <c r="Y489" s="500">
        <v>0</v>
      </c>
      <c r="Z489" s="501">
        <v>14551</v>
      </c>
      <c r="AA489" s="494">
        <v>1</v>
      </c>
      <c r="AB489" s="379">
        <v>6000</v>
      </c>
      <c r="AC489" s="501">
        <v>14551</v>
      </c>
      <c r="AD489" s="379">
        <v>8551</v>
      </c>
    </row>
    <row r="490" spans="1:30" hidden="1">
      <c r="A490" s="462">
        <v>272</v>
      </c>
      <c r="B490" s="462" t="s">
        <v>734</v>
      </c>
      <c r="C490">
        <v>3548</v>
      </c>
      <c r="D490" s="462" t="s">
        <v>730</v>
      </c>
      <c r="E490">
        <v>3282</v>
      </c>
      <c r="F490" s="462" t="s">
        <v>1022</v>
      </c>
      <c r="G490" t="s">
        <v>1013</v>
      </c>
      <c r="H490" t="s">
        <v>473</v>
      </c>
      <c r="O490" s="72">
        <v>1</v>
      </c>
      <c r="P490">
        <v>1</v>
      </c>
      <c r="Q490" s="499">
        <v>13351</v>
      </c>
      <c r="R490" s="499">
        <v>1200</v>
      </c>
      <c r="S490" s="499">
        <v>150</v>
      </c>
      <c r="T490" s="500">
        <v>0</v>
      </c>
      <c r="U490" s="501">
        <v>14701</v>
      </c>
      <c r="V490">
        <v>0</v>
      </c>
      <c r="W490" s="499">
        <v>0</v>
      </c>
      <c r="X490" s="499">
        <v>0</v>
      </c>
      <c r="Y490" s="500">
        <v>0</v>
      </c>
      <c r="Z490" s="501">
        <v>0</v>
      </c>
      <c r="AA490" s="494">
        <v>1</v>
      </c>
      <c r="AB490" s="379">
        <v>6000</v>
      </c>
      <c r="AC490" s="501">
        <v>14701</v>
      </c>
      <c r="AD490" s="379">
        <v>8701</v>
      </c>
    </row>
    <row r="491" spans="1:30">
      <c r="A491" s="462">
        <v>272</v>
      </c>
      <c r="B491" s="462" t="s">
        <v>734</v>
      </c>
      <c r="C491">
        <v>3548</v>
      </c>
      <c r="D491" s="462" t="s">
        <v>730</v>
      </c>
      <c r="E491">
        <v>3310</v>
      </c>
      <c r="F491" s="462" t="s">
        <v>1045</v>
      </c>
      <c r="G491" t="s">
        <v>1013</v>
      </c>
      <c r="H491" t="s">
        <v>473</v>
      </c>
      <c r="J491">
        <v>1</v>
      </c>
      <c r="O491" s="72">
        <v>2</v>
      </c>
      <c r="P491">
        <v>1</v>
      </c>
      <c r="Q491" s="499">
        <v>13351</v>
      </c>
      <c r="R491" s="499">
        <v>1200</v>
      </c>
      <c r="S491" s="499">
        <v>150</v>
      </c>
      <c r="T491" s="500">
        <v>0</v>
      </c>
      <c r="U491" s="501">
        <v>14701</v>
      </c>
      <c r="V491">
        <v>1</v>
      </c>
      <c r="W491" s="499">
        <v>13351</v>
      </c>
      <c r="X491" s="499">
        <v>1200</v>
      </c>
      <c r="Y491" s="500">
        <v>0</v>
      </c>
      <c r="Z491" s="501">
        <v>14551</v>
      </c>
      <c r="AA491" s="494">
        <v>2</v>
      </c>
      <c r="AB491" s="379">
        <v>12000</v>
      </c>
      <c r="AC491" s="501">
        <v>29252</v>
      </c>
      <c r="AD491" s="379">
        <v>17252</v>
      </c>
    </row>
    <row r="492" spans="1:30">
      <c r="A492" s="462">
        <v>272</v>
      </c>
      <c r="B492" s="462" t="s">
        <v>734</v>
      </c>
      <c r="C492">
        <v>3548</v>
      </c>
      <c r="D492" s="462" t="s">
        <v>730</v>
      </c>
      <c r="E492">
        <v>3321</v>
      </c>
      <c r="F492" s="462" t="s">
        <v>1047</v>
      </c>
      <c r="G492" t="s">
        <v>1013</v>
      </c>
      <c r="H492" t="s">
        <v>473</v>
      </c>
      <c r="J492">
        <v>1</v>
      </c>
      <c r="O492" s="72">
        <v>1</v>
      </c>
      <c r="P492">
        <v>0</v>
      </c>
      <c r="Q492" s="499">
        <v>0</v>
      </c>
      <c r="R492" s="499">
        <v>0</v>
      </c>
      <c r="S492" s="499">
        <v>0</v>
      </c>
      <c r="T492" s="500">
        <v>0</v>
      </c>
      <c r="U492" s="501">
        <v>0</v>
      </c>
      <c r="V492">
        <v>1</v>
      </c>
      <c r="W492" s="499">
        <v>13351</v>
      </c>
      <c r="X492" s="499">
        <v>1200</v>
      </c>
      <c r="Y492" s="500">
        <v>0</v>
      </c>
      <c r="Z492" s="501">
        <v>14551</v>
      </c>
      <c r="AA492" s="494">
        <v>1</v>
      </c>
      <c r="AB492" s="379">
        <v>6000</v>
      </c>
      <c r="AC492" s="501">
        <v>14551</v>
      </c>
      <c r="AD492" s="379">
        <v>8551</v>
      </c>
    </row>
    <row r="493" spans="1:30" hidden="1">
      <c r="A493" s="462">
        <v>272</v>
      </c>
      <c r="B493" s="462" t="s">
        <v>734</v>
      </c>
      <c r="C493">
        <v>3548</v>
      </c>
      <c r="D493" s="462" t="s">
        <v>730</v>
      </c>
      <c r="E493">
        <v>3351</v>
      </c>
      <c r="F493" s="462" t="s">
        <v>1486</v>
      </c>
      <c r="G493" t="s">
        <v>1013</v>
      </c>
      <c r="H493" t="s">
        <v>473</v>
      </c>
      <c r="O493" s="72">
        <v>1</v>
      </c>
      <c r="P493">
        <v>1</v>
      </c>
      <c r="Q493" s="499">
        <v>13351</v>
      </c>
      <c r="R493" s="499">
        <v>1200</v>
      </c>
      <c r="S493" s="499">
        <v>150</v>
      </c>
      <c r="T493" s="500">
        <v>0</v>
      </c>
      <c r="U493" s="501">
        <v>14701</v>
      </c>
      <c r="V493">
        <v>0</v>
      </c>
      <c r="W493" s="499">
        <v>0</v>
      </c>
      <c r="X493" s="499">
        <v>0</v>
      </c>
      <c r="Y493" s="500">
        <v>0</v>
      </c>
      <c r="Z493" s="501">
        <v>0</v>
      </c>
      <c r="AA493" s="494">
        <v>1</v>
      </c>
      <c r="AB493" s="379">
        <v>6000</v>
      </c>
      <c r="AC493" s="501">
        <v>14701</v>
      </c>
      <c r="AD493" s="379">
        <v>8701</v>
      </c>
    </row>
    <row r="494" spans="1:30">
      <c r="A494" s="462">
        <v>272</v>
      </c>
      <c r="B494" s="462" t="s">
        <v>734</v>
      </c>
      <c r="C494">
        <v>3548</v>
      </c>
      <c r="D494" s="462" t="s">
        <v>730</v>
      </c>
      <c r="E494">
        <v>3370</v>
      </c>
      <c r="F494" s="462" t="s">
        <v>1049</v>
      </c>
      <c r="G494" t="s">
        <v>1013</v>
      </c>
      <c r="H494" t="s">
        <v>473</v>
      </c>
      <c r="J494">
        <v>1</v>
      </c>
      <c r="O494" s="72">
        <v>1</v>
      </c>
      <c r="P494">
        <v>0</v>
      </c>
      <c r="Q494" s="499">
        <v>0</v>
      </c>
      <c r="R494" s="499">
        <v>0</v>
      </c>
      <c r="S494" s="499">
        <v>0</v>
      </c>
      <c r="T494" s="500">
        <v>0</v>
      </c>
      <c r="U494" s="501">
        <v>0</v>
      </c>
      <c r="V494">
        <v>1</v>
      </c>
      <c r="W494" s="499">
        <v>13351</v>
      </c>
      <c r="X494" s="499">
        <v>1200</v>
      </c>
      <c r="Y494" s="500">
        <v>0</v>
      </c>
      <c r="Z494" s="501">
        <v>14551</v>
      </c>
      <c r="AA494" s="494">
        <v>1</v>
      </c>
      <c r="AB494" s="379">
        <v>6000</v>
      </c>
      <c r="AC494" s="501">
        <v>14551</v>
      </c>
      <c r="AD494" s="379">
        <v>8551</v>
      </c>
    </row>
    <row r="495" spans="1:30" hidden="1">
      <c r="A495" s="462">
        <v>272</v>
      </c>
      <c r="B495" s="462" t="s">
        <v>734</v>
      </c>
      <c r="C495">
        <v>3548</v>
      </c>
      <c r="D495" s="462" t="s">
        <v>730</v>
      </c>
      <c r="E495">
        <v>3374</v>
      </c>
      <c r="F495" s="462" t="s">
        <v>1487</v>
      </c>
      <c r="G495" t="s">
        <v>1013</v>
      </c>
      <c r="H495" t="s">
        <v>473</v>
      </c>
      <c r="O495" s="72">
        <v>1</v>
      </c>
      <c r="P495">
        <v>1</v>
      </c>
      <c r="Q495" s="499">
        <v>13351</v>
      </c>
      <c r="R495" s="499">
        <v>1200</v>
      </c>
      <c r="S495" s="499">
        <v>150</v>
      </c>
      <c r="T495" s="500">
        <v>0</v>
      </c>
      <c r="U495" s="501">
        <v>14701</v>
      </c>
      <c r="V495">
        <v>0</v>
      </c>
      <c r="W495" s="499">
        <v>0</v>
      </c>
      <c r="X495" s="499">
        <v>0</v>
      </c>
      <c r="Y495" s="500">
        <v>0</v>
      </c>
      <c r="Z495" s="501">
        <v>0</v>
      </c>
      <c r="AA495" s="494">
        <v>1</v>
      </c>
      <c r="AB495" s="379">
        <v>6000</v>
      </c>
      <c r="AC495" s="501">
        <v>14701</v>
      </c>
      <c r="AD495" s="379">
        <v>8701</v>
      </c>
    </row>
    <row r="496" spans="1:30">
      <c r="A496" s="462">
        <v>272</v>
      </c>
      <c r="B496" s="462" t="s">
        <v>734</v>
      </c>
      <c r="C496">
        <v>3548</v>
      </c>
      <c r="D496" s="462" t="s">
        <v>730</v>
      </c>
      <c r="E496">
        <v>3379</v>
      </c>
      <c r="F496" s="462" t="s">
        <v>1051</v>
      </c>
      <c r="G496" t="s">
        <v>1013</v>
      </c>
      <c r="H496" t="s">
        <v>473</v>
      </c>
      <c r="J496">
        <v>1</v>
      </c>
      <c r="O496" s="72">
        <v>1</v>
      </c>
      <c r="P496">
        <v>0</v>
      </c>
      <c r="Q496" s="499">
        <v>0</v>
      </c>
      <c r="R496" s="499">
        <v>0</v>
      </c>
      <c r="S496" s="499">
        <v>0</v>
      </c>
      <c r="T496" s="500">
        <v>0</v>
      </c>
      <c r="U496" s="501">
        <v>0</v>
      </c>
      <c r="V496">
        <v>1</v>
      </c>
      <c r="W496" s="499">
        <v>13351</v>
      </c>
      <c r="X496" s="499">
        <v>1200</v>
      </c>
      <c r="Y496" s="500">
        <v>0</v>
      </c>
      <c r="Z496" s="501">
        <v>14551</v>
      </c>
      <c r="AA496" s="494">
        <v>1</v>
      </c>
      <c r="AB496" s="379">
        <v>6000</v>
      </c>
      <c r="AC496" s="501">
        <v>14551</v>
      </c>
      <c r="AD496" s="379">
        <v>8551</v>
      </c>
    </row>
    <row r="497" spans="1:30" hidden="1">
      <c r="A497" s="463">
        <v>272</v>
      </c>
      <c r="B497" s="462" t="s">
        <v>734</v>
      </c>
      <c r="C497">
        <v>3548</v>
      </c>
      <c r="D497" s="462" t="s">
        <v>730</v>
      </c>
      <c r="E497">
        <v>3449</v>
      </c>
      <c r="F497" s="462" t="s">
        <v>1015</v>
      </c>
      <c r="G497" t="s">
        <v>1013</v>
      </c>
      <c r="H497" t="s">
        <v>473</v>
      </c>
      <c r="O497" s="72">
        <v>1</v>
      </c>
      <c r="P497">
        <v>1</v>
      </c>
      <c r="Q497" s="499">
        <v>13351</v>
      </c>
      <c r="R497" s="499">
        <v>1200</v>
      </c>
      <c r="S497" s="499">
        <v>150</v>
      </c>
      <c r="T497" s="500">
        <v>0</v>
      </c>
      <c r="U497" s="501">
        <v>14701</v>
      </c>
      <c r="V497">
        <v>0</v>
      </c>
      <c r="W497" s="499">
        <v>0</v>
      </c>
      <c r="X497" s="499">
        <v>0</v>
      </c>
      <c r="Y497" s="500">
        <v>0</v>
      </c>
      <c r="Z497" s="501">
        <v>0</v>
      </c>
      <c r="AA497" s="494">
        <v>1</v>
      </c>
      <c r="AB497" s="379">
        <v>6000</v>
      </c>
      <c r="AC497" s="501">
        <v>14701</v>
      </c>
      <c r="AD497" s="379">
        <v>8701</v>
      </c>
    </row>
    <row r="498" spans="1:30" hidden="1">
      <c r="A498" s="463">
        <v>273</v>
      </c>
      <c r="B498" s="462" t="s">
        <v>735</v>
      </c>
      <c r="C498">
        <v>9011</v>
      </c>
      <c r="D498" s="462" t="s">
        <v>1576</v>
      </c>
      <c r="E498">
        <v>7502</v>
      </c>
      <c r="F498" s="462" t="s">
        <v>1026</v>
      </c>
      <c r="G498" t="s">
        <v>1027</v>
      </c>
      <c r="H498" t="s">
        <v>473</v>
      </c>
      <c r="M498">
        <v>1</v>
      </c>
      <c r="O498" s="72">
        <v>2</v>
      </c>
      <c r="P498">
        <v>1</v>
      </c>
      <c r="Q498" s="499">
        <v>13351</v>
      </c>
      <c r="R498" s="499">
        <v>1200</v>
      </c>
      <c r="S498" s="499">
        <v>150</v>
      </c>
      <c r="T498" s="500">
        <v>0</v>
      </c>
      <c r="U498" s="501">
        <v>14701</v>
      </c>
      <c r="V498">
        <v>1</v>
      </c>
      <c r="W498" s="499">
        <v>13351</v>
      </c>
      <c r="X498" s="499">
        <v>1200</v>
      </c>
      <c r="Y498" s="500">
        <v>0</v>
      </c>
      <c r="Z498" s="501">
        <v>14551</v>
      </c>
      <c r="AA498" s="494">
        <v>2</v>
      </c>
      <c r="AB498" s="379">
        <v>12000</v>
      </c>
      <c r="AC498" s="501">
        <v>29252</v>
      </c>
      <c r="AD498" s="379">
        <v>17252</v>
      </c>
    </row>
    <row r="499" spans="1:30" hidden="1">
      <c r="A499" s="462">
        <v>274</v>
      </c>
      <c r="B499" s="462" t="s">
        <v>1600</v>
      </c>
      <c r="C499">
        <v>274</v>
      </c>
      <c r="D499" s="462" t="s">
        <v>1601</v>
      </c>
      <c r="E499">
        <v>1048</v>
      </c>
      <c r="F499" s="462" t="s">
        <v>1055</v>
      </c>
      <c r="G499" t="s">
        <v>1013</v>
      </c>
      <c r="H499" t="s">
        <v>473</v>
      </c>
      <c r="J499">
        <v>2</v>
      </c>
      <c r="O499" s="72">
        <v>2</v>
      </c>
      <c r="P499">
        <v>0</v>
      </c>
      <c r="Q499" s="499">
        <v>0</v>
      </c>
      <c r="R499" s="499">
        <v>0</v>
      </c>
      <c r="S499" s="499">
        <v>0</v>
      </c>
      <c r="T499" s="500">
        <v>0</v>
      </c>
      <c r="U499" s="501">
        <v>0</v>
      </c>
      <c r="V499">
        <v>2</v>
      </c>
      <c r="W499" s="499">
        <v>26702</v>
      </c>
      <c r="X499" s="499">
        <v>2400</v>
      </c>
      <c r="Y499" s="500">
        <v>0</v>
      </c>
      <c r="Z499" s="501">
        <v>29102</v>
      </c>
      <c r="AA499" s="494">
        <v>2</v>
      </c>
      <c r="AB499" s="379">
        <v>12000</v>
      </c>
      <c r="AC499" s="501">
        <v>29102</v>
      </c>
      <c r="AD499" s="379">
        <v>17102</v>
      </c>
    </row>
    <row r="500" spans="1:30" hidden="1">
      <c r="A500" s="462">
        <v>274</v>
      </c>
      <c r="B500" s="462" t="s">
        <v>1600</v>
      </c>
      <c r="C500">
        <v>274</v>
      </c>
      <c r="D500" s="462" t="s">
        <v>1601</v>
      </c>
      <c r="E500">
        <v>2254</v>
      </c>
      <c r="F500" s="462" t="s">
        <v>1605</v>
      </c>
      <c r="G500" t="s">
        <v>1013</v>
      </c>
      <c r="H500" t="s">
        <v>473</v>
      </c>
      <c r="O500" s="72">
        <v>1</v>
      </c>
      <c r="P500">
        <v>0</v>
      </c>
      <c r="Q500" s="499">
        <v>0</v>
      </c>
      <c r="R500" s="499">
        <v>0</v>
      </c>
      <c r="S500" s="499">
        <v>0</v>
      </c>
      <c r="T500" s="500">
        <v>0</v>
      </c>
      <c r="U500" s="501">
        <v>0</v>
      </c>
      <c r="V500">
        <v>0</v>
      </c>
      <c r="W500" s="499">
        <v>0</v>
      </c>
      <c r="X500" s="499">
        <v>0</v>
      </c>
      <c r="Y500" s="500">
        <v>0</v>
      </c>
      <c r="Z500" s="501">
        <v>0</v>
      </c>
      <c r="AA500" s="494">
        <v>0</v>
      </c>
      <c r="AB500" s="379">
        <v>0</v>
      </c>
      <c r="AC500" s="501">
        <v>0</v>
      </c>
      <c r="AD500" s="379">
        <v>0</v>
      </c>
    </row>
    <row r="501" spans="1:30" hidden="1">
      <c r="A501" s="462">
        <v>274</v>
      </c>
      <c r="B501" s="462" t="s">
        <v>1600</v>
      </c>
      <c r="C501">
        <v>274</v>
      </c>
      <c r="D501" s="462" t="s">
        <v>1601</v>
      </c>
      <c r="E501">
        <v>2257</v>
      </c>
      <c r="F501" s="462" t="s">
        <v>1606</v>
      </c>
      <c r="G501" t="s">
        <v>1013</v>
      </c>
      <c r="H501" t="s">
        <v>473</v>
      </c>
      <c r="O501" s="72">
        <v>1</v>
      </c>
      <c r="P501">
        <v>0</v>
      </c>
      <c r="Q501" s="499">
        <v>0</v>
      </c>
      <c r="R501" s="499">
        <v>0</v>
      </c>
      <c r="S501" s="499">
        <v>0</v>
      </c>
      <c r="T501" s="500">
        <v>0</v>
      </c>
      <c r="U501" s="501">
        <v>0</v>
      </c>
      <c r="V501">
        <v>0</v>
      </c>
      <c r="W501" s="499">
        <v>0</v>
      </c>
      <c r="X501" s="499">
        <v>0</v>
      </c>
      <c r="Y501" s="500">
        <v>0</v>
      </c>
      <c r="Z501" s="501">
        <v>0</v>
      </c>
      <c r="AA501" s="494">
        <v>0</v>
      </c>
      <c r="AB501" s="379">
        <v>0</v>
      </c>
      <c r="AC501" s="501">
        <v>0</v>
      </c>
      <c r="AD501" s="379">
        <v>0</v>
      </c>
    </row>
    <row r="502" spans="1:30" hidden="1">
      <c r="A502" s="462">
        <v>274</v>
      </c>
      <c r="B502" s="462" t="s">
        <v>1600</v>
      </c>
      <c r="C502">
        <v>274</v>
      </c>
      <c r="D502" s="462" t="s">
        <v>1601</v>
      </c>
      <c r="E502">
        <v>3285</v>
      </c>
      <c r="F502" s="462" t="s">
        <v>1485</v>
      </c>
      <c r="G502" t="s">
        <v>1013</v>
      </c>
      <c r="H502" t="s">
        <v>473</v>
      </c>
      <c r="J502">
        <v>5</v>
      </c>
      <c r="O502" s="72">
        <v>14</v>
      </c>
      <c r="P502">
        <v>9</v>
      </c>
      <c r="Q502" s="499">
        <v>120159</v>
      </c>
      <c r="R502" s="499">
        <v>10800</v>
      </c>
      <c r="S502" s="499">
        <v>1350</v>
      </c>
      <c r="T502" s="500">
        <v>0</v>
      </c>
      <c r="U502" s="501">
        <v>132309</v>
      </c>
      <c r="V502">
        <v>5</v>
      </c>
      <c r="W502" s="499">
        <v>66755</v>
      </c>
      <c r="X502" s="499">
        <v>6000</v>
      </c>
      <c r="Y502" s="500">
        <v>0</v>
      </c>
      <c r="Z502" s="501">
        <v>72755</v>
      </c>
      <c r="AA502" s="494">
        <v>14</v>
      </c>
      <c r="AB502" s="379">
        <v>84000</v>
      </c>
      <c r="AC502" s="501">
        <v>205064</v>
      </c>
      <c r="AD502" s="379">
        <v>121064</v>
      </c>
    </row>
    <row r="503" spans="1:30" hidden="1">
      <c r="A503" s="462">
        <v>274</v>
      </c>
      <c r="B503" s="462" t="s">
        <v>1600</v>
      </c>
      <c r="C503">
        <v>274</v>
      </c>
      <c r="D503" s="462" t="s">
        <v>1601</v>
      </c>
      <c r="E503">
        <v>3307</v>
      </c>
      <c r="F503" s="462" t="s">
        <v>1607</v>
      </c>
      <c r="G503" t="s">
        <v>1013</v>
      </c>
      <c r="H503" t="s">
        <v>473</v>
      </c>
      <c r="O503" s="72">
        <v>2</v>
      </c>
      <c r="P503">
        <v>0</v>
      </c>
      <c r="Q503" s="499">
        <v>0</v>
      </c>
      <c r="R503" s="499">
        <v>0</v>
      </c>
      <c r="S503" s="499">
        <v>0</v>
      </c>
      <c r="T503" s="500">
        <v>0</v>
      </c>
      <c r="U503" s="501">
        <v>0</v>
      </c>
      <c r="V503">
        <v>0</v>
      </c>
      <c r="W503" s="499">
        <v>0</v>
      </c>
      <c r="X503" s="499">
        <v>0</v>
      </c>
      <c r="Y503" s="500">
        <v>0</v>
      </c>
      <c r="Z503" s="501">
        <v>0</v>
      </c>
      <c r="AA503" s="494">
        <v>0</v>
      </c>
      <c r="AB503" s="379">
        <v>0</v>
      </c>
      <c r="AC503" s="501">
        <v>0</v>
      </c>
      <c r="AD503" s="379">
        <v>0</v>
      </c>
    </row>
    <row r="504" spans="1:30" hidden="1">
      <c r="A504" s="462">
        <v>274</v>
      </c>
      <c r="B504" s="462" t="s">
        <v>1600</v>
      </c>
      <c r="C504">
        <v>274</v>
      </c>
      <c r="D504" s="462" t="s">
        <v>1601</v>
      </c>
      <c r="E504">
        <v>3320</v>
      </c>
      <c r="F504" s="462" t="s">
        <v>1608</v>
      </c>
      <c r="G504" t="s">
        <v>1013</v>
      </c>
      <c r="H504" t="s">
        <v>473</v>
      </c>
      <c r="O504" s="72">
        <v>1</v>
      </c>
      <c r="P504">
        <v>0</v>
      </c>
      <c r="Q504" s="499">
        <v>0</v>
      </c>
      <c r="R504" s="499">
        <v>0</v>
      </c>
      <c r="S504" s="499">
        <v>0</v>
      </c>
      <c r="T504" s="500">
        <v>0</v>
      </c>
      <c r="U504" s="501">
        <v>0</v>
      </c>
      <c r="V504">
        <v>0</v>
      </c>
      <c r="W504" s="499">
        <v>0</v>
      </c>
      <c r="X504" s="499">
        <v>0</v>
      </c>
      <c r="Y504" s="500">
        <v>0</v>
      </c>
      <c r="Z504" s="501">
        <v>0</v>
      </c>
      <c r="AA504" s="494">
        <v>0</v>
      </c>
      <c r="AB504" s="379">
        <v>0</v>
      </c>
      <c r="AC504" s="501">
        <v>0</v>
      </c>
      <c r="AD504" s="379">
        <v>0</v>
      </c>
    </row>
    <row r="505" spans="1:30" hidden="1">
      <c r="A505" s="462">
        <v>274</v>
      </c>
      <c r="B505" s="462" t="s">
        <v>1600</v>
      </c>
      <c r="C505">
        <v>274</v>
      </c>
      <c r="D505" s="462" t="s">
        <v>1601</v>
      </c>
      <c r="E505">
        <v>3324</v>
      </c>
      <c r="F505" s="462" t="s">
        <v>1496</v>
      </c>
      <c r="G505" t="s">
        <v>1013</v>
      </c>
      <c r="H505" t="s">
        <v>473</v>
      </c>
      <c r="O505" s="72">
        <v>4</v>
      </c>
      <c r="P505">
        <v>0</v>
      </c>
      <c r="Q505" s="499">
        <v>0</v>
      </c>
      <c r="R505" s="499">
        <v>0</v>
      </c>
      <c r="S505" s="499">
        <v>0</v>
      </c>
      <c r="T505" s="500">
        <v>0</v>
      </c>
      <c r="U505" s="501">
        <v>0</v>
      </c>
      <c r="V505">
        <v>0</v>
      </c>
      <c r="W505" s="499">
        <v>0</v>
      </c>
      <c r="X505" s="499">
        <v>0</v>
      </c>
      <c r="Y505" s="500">
        <v>0</v>
      </c>
      <c r="Z505" s="501">
        <v>0</v>
      </c>
      <c r="AA505" s="494">
        <v>0</v>
      </c>
      <c r="AB505" s="379">
        <v>0</v>
      </c>
      <c r="AC505" s="501">
        <v>0</v>
      </c>
      <c r="AD505" s="379">
        <v>0</v>
      </c>
    </row>
    <row r="506" spans="1:30" hidden="1">
      <c r="A506" s="462">
        <v>274</v>
      </c>
      <c r="B506" s="462" t="s">
        <v>1600</v>
      </c>
      <c r="C506">
        <v>274</v>
      </c>
      <c r="D506" s="462" t="s">
        <v>1601</v>
      </c>
      <c r="E506">
        <v>3370</v>
      </c>
      <c r="F506" s="462" t="s">
        <v>1049</v>
      </c>
      <c r="G506" t="s">
        <v>1013</v>
      </c>
      <c r="H506" t="s">
        <v>473</v>
      </c>
      <c r="O506" s="72">
        <v>4</v>
      </c>
      <c r="P506">
        <v>4</v>
      </c>
      <c r="Q506" s="499">
        <v>53404</v>
      </c>
      <c r="R506" s="499">
        <v>4800</v>
      </c>
      <c r="S506" s="499">
        <v>600</v>
      </c>
      <c r="T506" s="500">
        <v>0</v>
      </c>
      <c r="U506" s="501">
        <v>58804</v>
      </c>
      <c r="V506">
        <v>0</v>
      </c>
      <c r="W506" s="499">
        <v>0</v>
      </c>
      <c r="X506" s="499">
        <v>0</v>
      </c>
      <c r="Y506" s="500">
        <v>0</v>
      </c>
      <c r="Z506" s="501">
        <v>0</v>
      </c>
      <c r="AA506" s="494">
        <v>4</v>
      </c>
      <c r="AB506" s="379">
        <v>24000</v>
      </c>
      <c r="AC506" s="501">
        <v>58804</v>
      </c>
      <c r="AD506" s="379">
        <v>34804</v>
      </c>
    </row>
    <row r="507" spans="1:30" hidden="1">
      <c r="A507" s="462">
        <v>274</v>
      </c>
      <c r="B507" s="462" t="s">
        <v>1600</v>
      </c>
      <c r="C507">
        <v>274</v>
      </c>
      <c r="D507" s="462" t="s">
        <v>1601</v>
      </c>
      <c r="E507">
        <v>3374</v>
      </c>
      <c r="F507" s="462" t="s">
        <v>1487</v>
      </c>
      <c r="G507" t="s">
        <v>1013</v>
      </c>
      <c r="H507" t="s">
        <v>473</v>
      </c>
      <c r="O507" s="72">
        <v>3</v>
      </c>
      <c r="P507">
        <v>2</v>
      </c>
      <c r="Q507" s="499">
        <v>26702</v>
      </c>
      <c r="R507" s="499">
        <v>2400</v>
      </c>
      <c r="S507" s="499">
        <v>300</v>
      </c>
      <c r="T507" s="500">
        <v>0</v>
      </c>
      <c r="U507" s="501">
        <v>29402</v>
      </c>
      <c r="V507">
        <v>0</v>
      </c>
      <c r="W507" s="499">
        <v>0</v>
      </c>
      <c r="X507" s="499">
        <v>0</v>
      </c>
      <c r="Y507" s="500">
        <v>0</v>
      </c>
      <c r="Z507" s="501">
        <v>0</v>
      </c>
      <c r="AA507" s="494">
        <v>2</v>
      </c>
      <c r="AB507" s="379">
        <v>12000</v>
      </c>
      <c r="AC507" s="501">
        <v>29402</v>
      </c>
      <c r="AD507" s="379">
        <v>17402</v>
      </c>
    </row>
    <row r="508" spans="1:30" hidden="1">
      <c r="A508" s="462">
        <v>274</v>
      </c>
      <c r="B508" s="462" t="s">
        <v>1600</v>
      </c>
      <c r="C508">
        <v>274</v>
      </c>
      <c r="D508" s="462" t="s">
        <v>1601</v>
      </c>
      <c r="E508">
        <v>3379</v>
      </c>
      <c r="F508" s="462" t="s">
        <v>1051</v>
      </c>
      <c r="G508" t="s">
        <v>1013</v>
      </c>
      <c r="H508" t="s">
        <v>473</v>
      </c>
      <c r="O508" s="72">
        <v>1</v>
      </c>
      <c r="P508">
        <v>1</v>
      </c>
      <c r="Q508" s="499">
        <v>13351</v>
      </c>
      <c r="R508" s="499">
        <v>1200</v>
      </c>
      <c r="S508" s="499">
        <v>150</v>
      </c>
      <c r="T508" s="500">
        <v>0</v>
      </c>
      <c r="U508" s="501">
        <v>14701</v>
      </c>
      <c r="V508">
        <v>0</v>
      </c>
      <c r="W508" s="499">
        <v>0</v>
      </c>
      <c r="X508" s="499">
        <v>0</v>
      </c>
      <c r="Y508" s="500">
        <v>0</v>
      </c>
      <c r="Z508" s="501">
        <v>0</v>
      </c>
      <c r="AA508" s="494">
        <v>1</v>
      </c>
      <c r="AB508" s="379">
        <v>6000</v>
      </c>
      <c r="AC508" s="501">
        <v>14701</v>
      </c>
      <c r="AD508" s="379">
        <v>8701</v>
      </c>
    </row>
    <row r="509" spans="1:30" hidden="1">
      <c r="A509" s="462">
        <v>274</v>
      </c>
      <c r="B509" s="462" t="s">
        <v>1600</v>
      </c>
      <c r="C509">
        <v>274</v>
      </c>
      <c r="D509" s="462" t="s">
        <v>1601</v>
      </c>
      <c r="E509">
        <v>3395</v>
      </c>
      <c r="F509" s="462" t="s">
        <v>1479</v>
      </c>
      <c r="G509" t="s">
        <v>1013</v>
      </c>
      <c r="H509" t="s">
        <v>473</v>
      </c>
      <c r="O509" s="72">
        <v>3</v>
      </c>
      <c r="P509">
        <v>1</v>
      </c>
      <c r="Q509" s="499">
        <v>13351</v>
      </c>
      <c r="R509" s="499">
        <v>1200</v>
      </c>
      <c r="S509" s="499">
        <v>150</v>
      </c>
      <c r="T509" s="500">
        <v>0</v>
      </c>
      <c r="U509" s="501">
        <v>14701</v>
      </c>
      <c r="V509">
        <v>0</v>
      </c>
      <c r="W509" s="499">
        <v>0</v>
      </c>
      <c r="X509" s="499">
        <v>0</v>
      </c>
      <c r="Y509" s="500">
        <v>0</v>
      </c>
      <c r="Z509" s="501">
        <v>0</v>
      </c>
      <c r="AA509" s="494">
        <v>1</v>
      </c>
      <c r="AB509" s="379">
        <v>6000</v>
      </c>
      <c r="AC509" s="501">
        <v>14701</v>
      </c>
      <c r="AD509" s="379">
        <v>8701</v>
      </c>
    </row>
    <row r="510" spans="1:30" hidden="1">
      <c r="A510" s="462">
        <v>274</v>
      </c>
      <c r="B510" s="462" t="s">
        <v>1600</v>
      </c>
      <c r="C510">
        <v>274</v>
      </c>
      <c r="D510" s="462" t="s">
        <v>1601</v>
      </c>
      <c r="E510">
        <v>3415</v>
      </c>
      <c r="F510" s="462" t="s">
        <v>1609</v>
      </c>
      <c r="G510" t="s">
        <v>1013</v>
      </c>
      <c r="H510" t="s">
        <v>473</v>
      </c>
      <c r="O510" s="72">
        <v>1</v>
      </c>
      <c r="P510">
        <v>0</v>
      </c>
      <c r="Q510" s="499">
        <v>0</v>
      </c>
      <c r="R510" s="499">
        <v>0</v>
      </c>
      <c r="S510" s="499">
        <v>0</v>
      </c>
      <c r="T510" s="500">
        <v>0</v>
      </c>
      <c r="U510" s="501">
        <v>0</v>
      </c>
      <c r="V510">
        <v>0</v>
      </c>
      <c r="W510" s="499">
        <v>0</v>
      </c>
      <c r="X510" s="499">
        <v>0</v>
      </c>
      <c r="Y510" s="500">
        <v>0</v>
      </c>
      <c r="Z510" s="501">
        <v>0</v>
      </c>
      <c r="AA510" s="494">
        <v>0</v>
      </c>
      <c r="AB510" s="379">
        <v>0</v>
      </c>
      <c r="AC510" s="501">
        <v>0</v>
      </c>
      <c r="AD510" s="379">
        <v>0</v>
      </c>
    </row>
    <row r="511" spans="1:30" hidden="1">
      <c r="A511" s="462">
        <v>274</v>
      </c>
      <c r="B511" s="462" t="s">
        <v>1600</v>
      </c>
      <c r="C511">
        <v>274</v>
      </c>
      <c r="D511" s="462" t="s">
        <v>1601</v>
      </c>
      <c r="E511">
        <v>3503</v>
      </c>
      <c r="F511" s="462" t="s">
        <v>1611</v>
      </c>
      <c r="G511" t="s">
        <v>1013</v>
      </c>
      <c r="H511" t="s">
        <v>473</v>
      </c>
      <c r="O511" s="72">
        <v>1</v>
      </c>
      <c r="P511">
        <v>0</v>
      </c>
      <c r="Q511" s="499">
        <v>0</v>
      </c>
      <c r="R511" s="499">
        <v>0</v>
      </c>
      <c r="S511" s="499">
        <v>0</v>
      </c>
      <c r="T511" s="500">
        <v>0</v>
      </c>
      <c r="U511" s="501">
        <v>0</v>
      </c>
      <c r="V511">
        <v>0</v>
      </c>
      <c r="W511" s="499">
        <v>0</v>
      </c>
      <c r="X511" s="499">
        <v>0</v>
      </c>
      <c r="Y511" s="500">
        <v>0</v>
      </c>
      <c r="Z511" s="501">
        <v>0</v>
      </c>
      <c r="AA511" s="494">
        <v>0</v>
      </c>
      <c r="AB511" s="379">
        <v>0</v>
      </c>
      <c r="AC511" s="501">
        <v>0</v>
      </c>
      <c r="AD511" s="379">
        <v>0</v>
      </c>
    </row>
    <row r="512" spans="1:30" hidden="1">
      <c r="A512" s="462">
        <v>274</v>
      </c>
      <c r="B512" s="462" t="s">
        <v>1600</v>
      </c>
      <c r="C512">
        <v>274</v>
      </c>
      <c r="D512" s="462" t="s">
        <v>1601</v>
      </c>
      <c r="E512">
        <v>3505</v>
      </c>
      <c r="F512" s="462" t="s">
        <v>1612</v>
      </c>
      <c r="G512" t="s">
        <v>1013</v>
      </c>
      <c r="H512" t="s">
        <v>473</v>
      </c>
      <c r="O512" s="72">
        <v>1</v>
      </c>
      <c r="P512">
        <v>0</v>
      </c>
      <c r="Q512" s="499">
        <v>0</v>
      </c>
      <c r="R512" s="499">
        <v>0</v>
      </c>
      <c r="S512" s="499">
        <v>0</v>
      </c>
      <c r="T512" s="500">
        <v>0</v>
      </c>
      <c r="U512" s="501">
        <v>0</v>
      </c>
      <c r="V512">
        <v>0</v>
      </c>
      <c r="W512" s="499">
        <v>0</v>
      </c>
      <c r="X512" s="499">
        <v>0</v>
      </c>
      <c r="Y512" s="500">
        <v>0</v>
      </c>
      <c r="Z512" s="501">
        <v>0</v>
      </c>
      <c r="AA512" s="494">
        <v>0</v>
      </c>
      <c r="AB512" s="379">
        <v>0</v>
      </c>
      <c r="AC512" s="501">
        <v>0</v>
      </c>
      <c r="AD512" s="379">
        <v>0</v>
      </c>
    </row>
    <row r="513" spans="1:30" hidden="1">
      <c r="A513" s="462">
        <v>274</v>
      </c>
      <c r="B513" s="462" t="s">
        <v>1600</v>
      </c>
      <c r="C513">
        <v>274</v>
      </c>
      <c r="D513" s="462" t="s">
        <v>1601</v>
      </c>
      <c r="E513">
        <v>3511</v>
      </c>
      <c r="F513" s="462" t="s">
        <v>1613</v>
      </c>
      <c r="G513" t="s">
        <v>1013</v>
      </c>
      <c r="H513" t="s">
        <v>473</v>
      </c>
      <c r="O513" s="72">
        <v>1</v>
      </c>
      <c r="P513">
        <v>0</v>
      </c>
      <c r="Q513" s="499">
        <v>0</v>
      </c>
      <c r="R513" s="499">
        <v>0</v>
      </c>
      <c r="S513" s="499">
        <v>0</v>
      </c>
      <c r="T513" s="500">
        <v>0</v>
      </c>
      <c r="U513" s="501">
        <v>0</v>
      </c>
      <c r="V513">
        <v>0</v>
      </c>
      <c r="W513" s="499">
        <v>0</v>
      </c>
      <c r="X513" s="499">
        <v>0</v>
      </c>
      <c r="Y513" s="500">
        <v>0</v>
      </c>
      <c r="Z513" s="501">
        <v>0</v>
      </c>
      <c r="AA513" s="494">
        <v>0</v>
      </c>
      <c r="AB513" s="379">
        <v>0</v>
      </c>
      <c r="AC513" s="501">
        <v>0</v>
      </c>
      <c r="AD513" s="379">
        <v>0</v>
      </c>
    </row>
    <row r="514" spans="1:30" hidden="1">
      <c r="A514" s="462">
        <v>274</v>
      </c>
      <c r="B514" s="462" t="s">
        <v>1600</v>
      </c>
      <c r="C514">
        <v>274</v>
      </c>
      <c r="D514" s="462" t="s">
        <v>1601</v>
      </c>
      <c r="E514">
        <v>3522</v>
      </c>
      <c r="F514" s="462" t="s">
        <v>1614</v>
      </c>
      <c r="G514" t="s">
        <v>1013</v>
      </c>
      <c r="H514" t="s">
        <v>473</v>
      </c>
      <c r="O514" s="72">
        <v>1</v>
      </c>
      <c r="P514">
        <v>0</v>
      </c>
      <c r="Q514" s="499">
        <v>0</v>
      </c>
      <c r="R514" s="499">
        <v>0</v>
      </c>
      <c r="S514" s="499">
        <v>0</v>
      </c>
      <c r="T514" s="500">
        <v>0</v>
      </c>
      <c r="U514" s="501">
        <v>0</v>
      </c>
      <c r="V514">
        <v>0</v>
      </c>
      <c r="W514" s="499">
        <v>0</v>
      </c>
      <c r="X514" s="499">
        <v>0</v>
      </c>
      <c r="Y514" s="500">
        <v>0</v>
      </c>
      <c r="Z514" s="501">
        <v>0</v>
      </c>
      <c r="AA514" s="494">
        <v>0</v>
      </c>
      <c r="AB514" s="379">
        <v>0</v>
      </c>
      <c r="AC514" s="501">
        <v>0</v>
      </c>
      <c r="AD514" s="379">
        <v>0</v>
      </c>
    </row>
    <row r="515" spans="1:30" hidden="1">
      <c r="A515" s="462">
        <v>274</v>
      </c>
      <c r="B515" s="462" t="s">
        <v>1600</v>
      </c>
      <c r="C515">
        <v>274</v>
      </c>
      <c r="D515" s="462" t="s">
        <v>1601</v>
      </c>
      <c r="E515">
        <v>5711</v>
      </c>
      <c r="F515" s="462" t="s">
        <v>1621</v>
      </c>
      <c r="G515" t="s">
        <v>1013</v>
      </c>
      <c r="H515" t="s">
        <v>473</v>
      </c>
      <c r="O515" s="72">
        <v>2</v>
      </c>
      <c r="P515">
        <v>0</v>
      </c>
      <c r="Q515" s="499">
        <v>0</v>
      </c>
      <c r="R515" s="499">
        <v>0</v>
      </c>
      <c r="S515" s="499">
        <v>0</v>
      </c>
      <c r="T515" s="500">
        <v>0</v>
      </c>
      <c r="U515" s="501">
        <v>0</v>
      </c>
      <c r="V515">
        <v>0</v>
      </c>
      <c r="W515" s="499">
        <v>0</v>
      </c>
      <c r="X515" s="499">
        <v>0</v>
      </c>
      <c r="Y515" s="500">
        <v>0</v>
      </c>
      <c r="Z515" s="501">
        <v>0</v>
      </c>
      <c r="AA515" s="494">
        <v>0</v>
      </c>
      <c r="AB515" s="379">
        <v>0</v>
      </c>
      <c r="AC515" s="501">
        <v>0</v>
      </c>
      <c r="AD515" s="379">
        <v>0</v>
      </c>
    </row>
    <row r="516" spans="1:30" hidden="1">
      <c r="A516" s="463">
        <v>274</v>
      </c>
      <c r="B516" s="462" t="s">
        <v>1600</v>
      </c>
      <c r="C516">
        <v>274</v>
      </c>
      <c r="D516" s="462" t="s">
        <v>1601</v>
      </c>
      <c r="E516">
        <v>5725</v>
      </c>
      <c r="F516" s="462" t="s">
        <v>1038</v>
      </c>
      <c r="G516" t="s">
        <v>1013</v>
      </c>
      <c r="H516" t="s">
        <v>473</v>
      </c>
      <c r="J516">
        <v>1</v>
      </c>
      <c r="O516" s="72">
        <v>3</v>
      </c>
      <c r="P516">
        <v>2</v>
      </c>
      <c r="Q516" s="499">
        <v>26702</v>
      </c>
      <c r="R516" s="499">
        <v>2400</v>
      </c>
      <c r="S516" s="499">
        <v>300</v>
      </c>
      <c r="T516" s="500">
        <v>0</v>
      </c>
      <c r="U516" s="501">
        <v>29402</v>
      </c>
      <c r="V516">
        <v>1</v>
      </c>
      <c r="W516" s="499">
        <v>13351</v>
      </c>
      <c r="X516" s="499">
        <v>1200</v>
      </c>
      <c r="Y516" s="500">
        <v>0</v>
      </c>
      <c r="Z516" s="501">
        <v>14551</v>
      </c>
      <c r="AA516" s="494">
        <v>3</v>
      </c>
      <c r="AB516" s="379">
        <v>18000</v>
      </c>
      <c r="AC516" s="501">
        <v>43953</v>
      </c>
      <c r="AD516" s="379">
        <v>25953</v>
      </c>
    </row>
    <row r="517" spans="1:30">
      <c r="A517" s="462">
        <v>275</v>
      </c>
      <c r="B517" s="462" t="s">
        <v>390</v>
      </c>
      <c r="C517">
        <v>3548</v>
      </c>
      <c r="D517" s="462" t="s">
        <v>730</v>
      </c>
      <c r="E517">
        <v>1048</v>
      </c>
      <c r="F517" s="462" t="s">
        <v>1055</v>
      </c>
      <c r="G517" t="s">
        <v>1013</v>
      </c>
      <c r="H517" t="s">
        <v>473</v>
      </c>
      <c r="J517">
        <v>8</v>
      </c>
      <c r="N517">
        <v>1</v>
      </c>
      <c r="O517" s="72">
        <v>9</v>
      </c>
      <c r="P517">
        <v>0</v>
      </c>
      <c r="Q517" s="499">
        <v>0</v>
      </c>
      <c r="R517" s="499">
        <v>0</v>
      </c>
      <c r="S517" s="499">
        <v>0</v>
      </c>
      <c r="T517" s="500">
        <v>0</v>
      </c>
      <c r="U517" s="501">
        <v>0</v>
      </c>
      <c r="V517">
        <v>8</v>
      </c>
      <c r="W517" s="499">
        <v>106808</v>
      </c>
      <c r="X517" s="499">
        <v>9600</v>
      </c>
      <c r="Y517" s="500">
        <v>0</v>
      </c>
      <c r="Z517" s="501">
        <v>116408</v>
      </c>
      <c r="AA517" s="494">
        <v>8</v>
      </c>
      <c r="AB517" s="379">
        <v>48000</v>
      </c>
      <c r="AC517" s="501">
        <v>116408</v>
      </c>
      <c r="AD517" s="379">
        <v>68408</v>
      </c>
    </row>
    <row r="518" spans="1:30" hidden="1">
      <c r="A518" s="462">
        <v>275</v>
      </c>
      <c r="B518" s="462" t="s">
        <v>390</v>
      </c>
      <c r="C518">
        <v>3548</v>
      </c>
      <c r="D518" s="462" t="s">
        <v>730</v>
      </c>
      <c r="E518">
        <v>1761</v>
      </c>
      <c r="F518" s="462" t="s">
        <v>1492</v>
      </c>
      <c r="G518" t="s">
        <v>1013</v>
      </c>
      <c r="H518" t="s">
        <v>473</v>
      </c>
      <c r="O518" s="72">
        <v>1</v>
      </c>
      <c r="P518">
        <v>1</v>
      </c>
      <c r="Q518" s="499">
        <v>13351</v>
      </c>
      <c r="R518" s="499">
        <v>1200</v>
      </c>
      <c r="S518" s="499">
        <v>150</v>
      </c>
      <c r="T518" s="500">
        <v>0</v>
      </c>
      <c r="U518" s="501">
        <v>14701</v>
      </c>
      <c r="V518">
        <v>0</v>
      </c>
      <c r="W518" s="499">
        <v>0</v>
      </c>
      <c r="X518" s="499">
        <v>0</v>
      </c>
      <c r="Y518" s="500">
        <v>0</v>
      </c>
      <c r="Z518" s="501">
        <v>0</v>
      </c>
      <c r="AA518" s="494">
        <v>1</v>
      </c>
      <c r="AB518" s="379">
        <v>6000</v>
      </c>
      <c r="AC518" s="501">
        <v>14701</v>
      </c>
      <c r="AD518" s="379">
        <v>8701</v>
      </c>
    </row>
    <row r="519" spans="1:30">
      <c r="A519" s="462">
        <v>275</v>
      </c>
      <c r="B519" s="462" t="s">
        <v>390</v>
      </c>
      <c r="C519">
        <v>3548</v>
      </c>
      <c r="D519" s="462" t="s">
        <v>730</v>
      </c>
      <c r="E519">
        <v>3282</v>
      </c>
      <c r="F519" s="462" t="s">
        <v>1022</v>
      </c>
      <c r="G519" t="s">
        <v>1013</v>
      </c>
      <c r="H519" t="s">
        <v>473</v>
      </c>
      <c r="J519">
        <v>2</v>
      </c>
      <c r="M519">
        <v>1</v>
      </c>
      <c r="O519" s="72">
        <v>6</v>
      </c>
      <c r="P519">
        <v>3</v>
      </c>
      <c r="Q519" s="499">
        <v>40053</v>
      </c>
      <c r="R519" s="499">
        <v>3600</v>
      </c>
      <c r="S519" s="499">
        <v>450</v>
      </c>
      <c r="T519" s="500">
        <v>0</v>
      </c>
      <c r="U519" s="501">
        <v>44103</v>
      </c>
      <c r="V519">
        <v>3</v>
      </c>
      <c r="W519" s="499">
        <v>40053</v>
      </c>
      <c r="X519" s="499">
        <v>3600</v>
      </c>
      <c r="Y519" s="500">
        <v>0</v>
      </c>
      <c r="Z519" s="501">
        <v>43653</v>
      </c>
      <c r="AA519" s="494">
        <v>6</v>
      </c>
      <c r="AB519" s="379">
        <v>36000</v>
      </c>
      <c r="AC519" s="501">
        <v>87756</v>
      </c>
      <c r="AD519" s="379">
        <v>51756</v>
      </c>
    </row>
    <row r="520" spans="1:30" hidden="1">
      <c r="A520" s="462">
        <v>275</v>
      </c>
      <c r="B520" s="462" t="s">
        <v>390</v>
      </c>
      <c r="C520">
        <v>3548</v>
      </c>
      <c r="D520" s="462" t="s">
        <v>730</v>
      </c>
      <c r="E520">
        <v>3285</v>
      </c>
      <c r="F520" s="462" t="s">
        <v>1485</v>
      </c>
      <c r="G520" t="s">
        <v>1013</v>
      </c>
      <c r="H520" t="s">
        <v>473</v>
      </c>
      <c r="O520" s="72">
        <v>2</v>
      </c>
      <c r="P520">
        <v>2</v>
      </c>
      <c r="Q520" s="499">
        <v>0</v>
      </c>
      <c r="R520" s="499">
        <v>0</v>
      </c>
      <c r="S520" s="499">
        <v>0</v>
      </c>
      <c r="T520" s="500">
        <v>14416</v>
      </c>
      <c r="U520" s="501">
        <v>14416</v>
      </c>
      <c r="V520">
        <v>0</v>
      </c>
      <c r="W520" s="499">
        <v>0</v>
      </c>
      <c r="X520" s="499">
        <v>0</v>
      </c>
      <c r="Y520" s="500">
        <v>0</v>
      </c>
      <c r="Z520" s="501">
        <v>0</v>
      </c>
      <c r="AA520" s="494">
        <v>2</v>
      </c>
      <c r="AB520" s="379">
        <v>12000</v>
      </c>
      <c r="AC520" s="501">
        <v>14416</v>
      </c>
      <c r="AD520" s="379">
        <v>2416</v>
      </c>
    </row>
    <row r="521" spans="1:30" hidden="1">
      <c r="A521" s="462">
        <v>275</v>
      </c>
      <c r="B521" s="462" t="s">
        <v>390</v>
      </c>
      <c r="C521">
        <v>3548</v>
      </c>
      <c r="D521" s="462" t="s">
        <v>730</v>
      </c>
      <c r="E521">
        <v>3303</v>
      </c>
      <c r="F521" s="462" t="s">
        <v>1493</v>
      </c>
      <c r="G521" t="s">
        <v>1013</v>
      </c>
      <c r="H521" t="s">
        <v>473</v>
      </c>
      <c r="O521" s="72">
        <v>1</v>
      </c>
      <c r="P521">
        <v>1</v>
      </c>
      <c r="Q521" s="499">
        <v>13351</v>
      </c>
      <c r="R521" s="499">
        <v>1200</v>
      </c>
      <c r="S521" s="499">
        <v>150</v>
      </c>
      <c r="T521" s="500">
        <v>0</v>
      </c>
      <c r="U521" s="501">
        <v>14701</v>
      </c>
      <c r="V521">
        <v>0</v>
      </c>
      <c r="W521" s="499">
        <v>0</v>
      </c>
      <c r="X521" s="499">
        <v>0</v>
      </c>
      <c r="Y521" s="500">
        <v>0</v>
      </c>
      <c r="Z521" s="501">
        <v>0</v>
      </c>
      <c r="AA521" s="494">
        <v>1</v>
      </c>
      <c r="AB521" s="379">
        <v>6000</v>
      </c>
      <c r="AC521" s="501">
        <v>14701</v>
      </c>
      <c r="AD521" s="379">
        <v>8701</v>
      </c>
    </row>
    <row r="522" spans="1:30" hidden="1">
      <c r="A522" s="462">
        <v>275</v>
      </c>
      <c r="B522" s="462" t="s">
        <v>390</v>
      </c>
      <c r="C522">
        <v>3548</v>
      </c>
      <c r="D522" s="462" t="s">
        <v>730</v>
      </c>
      <c r="E522">
        <v>3304</v>
      </c>
      <c r="F522" s="462" t="s">
        <v>1494</v>
      </c>
      <c r="G522" t="s">
        <v>1013</v>
      </c>
      <c r="H522" t="s">
        <v>473</v>
      </c>
      <c r="O522" s="72">
        <v>2</v>
      </c>
      <c r="P522">
        <v>2</v>
      </c>
      <c r="Q522" s="499">
        <v>13351</v>
      </c>
      <c r="R522" s="499">
        <v>1200</v>
      </c>
      <c r="S522" s="499">
        <v>150</v>
      </c>
      <c r="T522" s="500">
        <v>7208</v>
      </c>
      <c r="U522" s="501">
        <v>21909</v>
      </c>
      <c r="V522">
        <v>0</v>
      </c>
      <c r="W522" s="499">
        <v>0</v>
      </c>
      <c r="X522" s="499">
        <v>0</v>
      </c>
      <c r="Y522" s="500">
        <v>0</v>
      </c>
      <c r="Z522" s="501">
        <v>0</v>
      </c>
      <c r="AA522" s="494">
        <v>2</v>
      </c>
      <c r="AB522" s="379">
        <v>12000</v>
      </c>
      <c r="AC522" s="501">
        <v>21909</v>
      </c>
      <c r="AD522" s="379">
        <v>9909</v>
      </c>
    </row>
    <row r="523" spans="1:30">
      <c r="A523" s="462">
        <v>275</v>
      </c>
      <c r="B523" s="462" t="s">
        <v>390</v>
      </c>
      <c r="C523">
        <v>3548</v>
      </c>
      <c r="D523" s="462" t="s">
        <v>730</v>
      </c>
      <c r="E523">
        <v>3305</v>
      </c>
      <c r="F523" s="462" t="s">
        <v>1024</v>
      </c>
      <c r="G523" t="s">
        <v>1013</v>
      </c>
      <c r="H523" t="s">
        <v>473</v>
      </c>
      <c r="J523">
        <v>1</v>
      </c>
      <c r="O523" s="72">
        <v>3</v>
      </c>
      <c r="P523">
        <v>2</v>
      </c>
      <c r="Q523" s="499">
        <v>26702</v>
      </c>
      <c r="R523" s="499">
        <v>2400</v>
      </c>
      <c r="S523" s="499">
        <v>300</v>
      </c>
      <c r="T523" s="500">
        <v>0</v>
      </c>
      <c r="U523" s="501">
        <v>29402</v>
      </c>
      <c r="V523">
        <v>1</v>
      </c>
      <c r="W523" s="499">
        <v>13351</v>
      </c>
      <c r="X523" s="499">
        <v>1200</v>
      </c>
      <c r="Y523" s="500">
        <v>0</v>
      </c>
      <c r="Z523" s="501">
        <v>14551</v>
      </c>
      <c r="AA523" s="494">
        <v>3</v>
      </c>
      <c r="AB523" s="379">
        <v>18000</v>
      </c>
      <c r="AC523" s="501">
        <v>43953</v>
      </c>
      <c r="AD523" s="379">
        <v>25953</v>
      </c>
    </row>
    <row r="524" spans="1:30">
      <c r="A524" s="462">
        <v>275</v>
      </c>
      <c r="B524" s="462" t="s">
        <v>390</v>
      </c>
      <c r="C524">
        <v>3548</v>
      </c>
      <c r="D524" s="462" t="s">
        <v>730</v>
      </c>
      <c r="E524">
        <v>3310</v>
      </c>
      <c r="F524" s="462" t="s">
        <v>1045</v>
      </c>
      <c r="G524" t="s">
        <v>1013</v>
      </c>
      <c r="H524" t="s">
        <v>473</v>
      </c>
      <c r="J524">
        <v>2</v>
      </c>
      <c r="O524" s="72">
        <v>7</v>
      </c>
      <c r="P524">
        <v>5</v>
      </c>
      <c r="Q524" s="499">
        <v>66755</v>
      </c>
      <c r="R524" s="499">
        <v>6000</v>
      </c>
      <c r="S524" s="499">
        <v>750</v>
      </c>
      <c r="T524" s="500">
        <v>0</v>
      </c>
      <c r="U524" s="501">
        <v>73505</v>
      </c>
      <c r="V524">
        <v>2</v>
      </c>
      <c r="W524" s="499">
        <v>26702</v>
      </c>
      <c r="X524" s="499">
        <v>2400</v>
      </c>
      <c r="Y524" s="500">
        <v>0</v>
      </c>
      <c r="Z524" s="501">
        <v>29102</v>
      </c>
      <c r="AA524" s="494">
        <v>7</v>
      </c>
      <c r="AB524" s="379">
        <v>42000</v>
      </c>
      <c r="AC524" s="501">
        <v>102607</v>
      </c>
      <c r="AD524" s="379">
        <v>60607</v>
      </c>
    </row>
    <row r="525" spans="1:30" hidden="1">
      <c r="A525" s="462">
        <v>275</v>
      </c>
      <c r="B525" s="462" t="s">
        <v>390</v>
      </c>
      <c r="C525">
        <v>3548</v>
      </c>
      <c r="D525" s="462" t="s">
        <v>730</v>
      </c>
      <c r="E525">
        <v>3313</v>
      </c>
      <c r="F525" s="462" t="s">
        <v>1495</v>
      </c>
      <c r="G525" t="s">
        <v>1013</v>
      </c>
      <c r="H525" t="s">
        <v>473</v>
      </c>
      <c r="O525" s="72">
        <v>1</v>
      </c>
      <c r="P525">
        <v>1</v>
      </c>
      <c r="Q525" s="499">
        <v>13351</v>
      </c>
      <c r="R525" s="499">
        <v>1200</v>
      </c>
      <c r="S525" s="499">
        <v>150</v>
      </c>
      <c r="T525" s="500">
        <v>0</v>
      </c>
      <c r="U525" s="501">
        <v>14701</v>
      </c>
      <c r="V525">
        <v>0</v>
      </c>
      <c r="W525" s="499">
        <v>0</v>
      </c>
      <c r="X525" s="499">
        <v>0</v>
      </c>
      <c r="Y525" s="500">
        <v>0</v>
      </c>
      <c r="Z525" s="501">
        <v>0</v>
      </c>
      <c r="AA525" s="494">
        <v>1</v>
      </c>
      <c r="AB525" s="379">
        <v>6000</v>
      </c>
      <c r="AC525" s="501">
        <v>14701</v>
      </c>
      <c r="AD525" s="379">
        <v>8701</v>
      </c>
    </row>
    <row r="526" spans="1:30">
      <c r="A526" s="462">
        <v>275</v>
      </c>
      <c r="B526" s="462" t="s">
        <v>390</v>
      </c>
      <c r="C526">
        <v>3548</v>
      </c>
      <c r="D526" s="462" t="s">
        <v>730</v>
      </c>
      <c r="E526">
        <v>3330</v>
      </c>
      <c r="F526" s="462" t="s">
        <v>1012</v>
      </c>
      <c r="G526" t="s">
        <v>1013</v>
      </c>
      <c r="H526" t="s">
        <v>473</v>
      </c>
      <c r="J526">
        <v>2</v>
      </c>
      <c r="O526" s="72">
        <v>5</v>
      </c>
      <c r="P526">
        <v>3</v>
      </c>
      <c r="Q526" s="499">
        <v>40053</v>
      </c>
      <c r="R526" s="499">
        <v>3600</v>
      </c>
      <c r="S526" s="499">
        <v>450</v>
      </c>
      <c r="T526" s="500">
        <v>0</v>
      </c>
      <c r="U526" s="501">
        <v>44103</v>
      </c>
      <c r="V526">
        <v>2</v>
      </c>
      <c r="W526" s="499">
        <v>26702</v>
      </c>
      <c r="X526" s="499">
        <v>2400</v>
      </c>
      <c r="Y526" s="500">
        <v>0</v>
      </c>
      <c r="Z526" s="501">
        <v>29102</v>
      </c>
      <c r="AA526" s="494">
        <v>5</v>
      </c>
      <c r="AB526" s="379">
        <v>30000</v>
      </c>
      <c r="AC526" s="501">
        <v>73205</v>
      </c>
      <c r="AD526" s="379">
        <v>43205</v>
      </c>
    </row>
    <row r="527" spans="1:30">
      <c r="A527" s="462">
        <v>275</v>
      </c>
      <c r="B527" s="462" t="s">
        <v>390</v>
      </c>
      <c r="C527">
        <v>3548</v>
      </c>
      <c r="D527" s="462" t="s">
        <v>730</v>
      </c>
      <c r="E527">
        <v>3342</v>
      </c>
      <c r="F527" s="462" t="s">
        <v>1057</v>
      </c>
      <c r="G527" t="s">
        <v>1013</v>
      </c>
      <c r="H527" t="s">
        <v>473</v>
      </c>
      <c r="J527">
        <v>1</v>
      </c>
      <c r="O527" s="72">
        <v>2</v>
      </c>
      <c r="P527">
        <v>1</v>
      </c>
      <c r="Q527" s="499">
        <v>13351</v>
      </c>
      <c r="R527" s="499">
        <v>1200</v>
      </c>
      <c r="S527" s="499">
        <v>150</v>
      </c>
      <c r="T527" s="500">
        <v>0</v>
      </c>
      <c r="U527" s="501">
        <v>14701</v>
      </c>
      <c r="V527">
        <v>1</v>
      </c>
      <c r="W527" s="499">
        <v>13351</v>
      </c>
      <c r="X527" s="499">
        <v>1200</v>
      </c>
      <c r="Y527" s="500">
        <v>0</v>
      </c>
      <c r="Z527" s="501">
        <v>14551</v>
      </c>
      <c r="AA527" s="494">
        <v>2</v>
      </c>
      <c r="AB527" s="379">
        <v>12000</v>
      </c>
      <c r="AC527" s="501">
        <v>29252</v>
      </c>
      <c r="AD527" s="379">
        <v>17252</v>
      </c>
    </row>
    <row r="528" spans="1:30" hidden="1">
      <c r="A528" s="462">
        <v>275</v>
      </c>
      <c r="B528" s="462" t="s">
        <v>390</v>
      </c>
      <c r="C528">
        <v>3548</v>
      </c>
      <c r="D528" s="462" t="s">
        <v>730</v>
      </c>
      <c r="E528">
        <v>3343</v>
      </c>
      <c r="F528" s="462" t="s">
        <v>1473</v>
      </c>
      <c r="G528" t="s">
        <v>1013</v>
      </c>
      <c r="H528" t="s">
        <v>473</v>
      </c>
      <c r="O528" s="72">
        <v>1</v>
      </c>
      <c r="P528">
        <v>1</v>
      </c>
      <c r="Q528" s="499">
        <v>13351</v>
      </c>
      <c r="R528" s="499">
        <v>1200</v>
      </c>
      <c r="S528" s="499">
        <v>150</v>
      </c>
      <c r="T528" s="500">
        <v>0</v>
      </c>
      <c r="U528" s="501">
        <v>14701</v>
      </c>
      <c r="V528">
        <v>0</v>
      </c>
      <c r="W528" s="499">
        <v>0</v>
      </c>
      <c r="X528" s="499">
        <v>0</v>
      </c>
      <c r="Y528" s="500">
        <v>0</v>
      </c>
      <c r="Z528" s="501">
        <v>0</v>
      </c>
      <c r="AA528" s="494">
        <v>1</v>
      </c>
      <c r="AB528" s="379">
        <v>6000</v>
      </c>
      <c r="AC528" s="501">
        <v>14701</v>
      </c>
      <c r="AD528" s="379">
        <v>8701</v>
      </c>
    </row>
    <row r="529" spans="1:30" hidden="1">
      <c r="A529" s="462">
        <v>275</v>
      </c>
      <c r="B529" s="462" t="s">
        <v>390</v>
      </c>
      <c r="C529">
        <v>3548</v>
      </c>
      <c r="D529" s="462" t="s">
        <v>730</v>
      </c>
      <c r="E529">
        <v>3350</v>
      </c>
      <c r="F529" s="462" t="s">
        <v>1059</v>
      </c>
      <c r="G529" t="s">
        <v>1013</v>
      </c>
      <c r="H529" t="s">
        <v>473</v>
      </c>
      <c r="K529">
        <v>1</v>
      </c>
      <c r="O529" s="72">
        <v>2</v>
      </c>
      <c r="P529">
        <v>1</v>
      </c>
      <c r="Q529" s="499">
        <v>0</v>
      </c>
      <c r="R529" s="499">
        <v>0</v>
      </c>
      <c r="S529" s="499">
        <v>0</v>
      </c>
      <c r="T529" s="500">
        <v>7208</v>
      </c>
      <c r="U529" s="501">
        <v>7208</v>
      </c>
      <c r="V529">
        <v>1</v>
      </c>
      <c r="W529" s="499">
        <v>0</v>
      </c>
      <c r="X529" s="499">
        <v>0</v>
      </c>
      <c r="Y529" s="500">
        <v>7208</v>
      </c>
      <c r="Z529" s="501">
        <v>7208</v>
      </c>
      <c r="AA529" s="494">
        <v>2</v>
      </c>
      <c r="AB529" s="379">
        <v>12000</v>
      </c>
      <c r="AC529" s="501">
        <v>14416</v>
      </c>
      <c r="AD529" s="379">
        <v>2416</v>
      </c>
    </row>
    <row r="530" spans="1:30">
      <c r="A530" s="462">
        <v>275</v>
      </c>
      <c r="B530" s="462" t="s">
        <v>390</v>
      </c>
      <c r="C530">
        <v>3548</v>
      </c>
      <c r="D530" s="462" t="s">
        <v>730</v>
      </c>
      <c r="E530">
        <v>3362</v>
      </c>
      <c r="F530" s="462" t="s">
        <v>1061</v>
      </c>
      <c r="G530" t="s">
        <v>1013</v>
      </c>
      <c r="H530" t="s">
        <v>473</v>
      </c>
      <c r="J530">
        <v>2</v>
      </c>
      <c r="O530" s="72">
        <v>3</v>
      </c>
      <c r="P530">
        <v>1</v>
      </c>
      <c r="Q530" s="499">
        <v>13351</v>
      </c>
      <c r="R530" s="499">
        <v>1200</v>
      </c>
      <c r="S530" s="499">
        <v>150</v>
      </c>
      <c r="T530" s="500">
        <v>0</v>
      </c>
      <c r="U530" s="501">
        <v>14701</v>
      </c>
      <c r="V530">
        <v>2</v>
      </c>
      <c r="W530" s="499">
        <v>26702</v>
      </c>
      <c r="X530" s="499">
        <v>2400</v>
      </c>
      <c r="Y530" s="500">
        <v>0</v>
      </c>
      <c r="Z530" s="501">
        <v>29102</v>
      </c>
      <c r="AA530" s="494">
        <v>3</v>
      </c>
      <c r="AB530" s="379">
        <v>18000</v>
      </c>
      <c r="AC530" s="501">
        <v>43803</v>
      </c>
      <c r="AD530" s="379">
        <v>25803</v>
      </c>
    </row>
    <row r="531" spans="1:30">
      <c r="A531" s="462">
        <v>275</v>
      </c>
      <c r="B531" s="462" t="s">
        <v>390</v>
      </c>
      <c r="C531">
        <v>3548</v>
      </c>
      <c r="D531" s="462" t="s">
        <v>730</v>
      </c>
      <c r="E531">
        <v>3372</v>
      </c>
      <c r="F531" s="462" t="s">
        <v>976</v>
      </c>
      <c r="G531" t="s">
        <v>1013</v>
      </c>
      <c r="H531" t="s">
        <v>473</v>
      </c>
      <c r="J531">
        <v>1</v>
      </c>
      <c r="O531" s="72">
        <v>3</v>
      </c>
      <c r="P531">
        <v>2</v>
      </c>
      <c r="Q531" s="499">
        <v>26702</v>
      </c>
      <c r="R531" s="499">
        <v>2400</v>
      </c>
      <c r="S531" s="499">
        <v>300</v>
      </c>
      <c r="T531" s="500">
        <v>0</v>
      </c>
      <c r="U531" s="501">
        <v>29402</v>
      </c>
      <c r="V531">
        <v>1</v>
      </c>
      <c r="W531" s="499">
        <v>13351</v>
      </c>
      <c r="X531" s="499">
        <v>1200</v>
      </c>
      <c r="Y531" s="500">
        <v>0</v>
      </c>
      <c r="Z531" s="501">
        <v>14551</v>
      </c>
      <c r="AA531" s="494">
        <v>3</v>
      </c>
      <c r="AB531" s="379">
        <v>18000</v>
      </c>
      <c r="AC531" s="501">
        <v>43953</v>
      </c>
      <c r="AD531" s="379">
        <v>25953</v>
      </c>
    </row>
    <row r="532" spans="1:30">
      <c r="A532" s="462">
        <v>275</v>
      </c>
      <c r="B532" s="462" t="s">
        <v>390</v>
      </c>
      <c r="C532">
        <v>3548</v>
      </c>
      <c r="D532" s="462" t="s">
        <v>730</v>
      </c>
      <c r="E532">
        <v>3379</v>
      </c>
      <c r="F532" s="462" t="s">
        <v>1051</v>
      </c>
      <c r="G532" t="s">
        <v>1013</v>
      </c>
      <c r="H532" t="s">
        <v>473</v>
      </c>
      <c r="J532">
        <v>1</v>
      </c>
      <c r="O532" s="72">
        <v>2</v>
      </c>
      <c r="P532">
        <v>1</v>
      </c>
      <c r="Q532" s="499">
        <v>13351</v>
      </c>
      <c r="R532" s="499">
        <v>1200</v>
      </c>
      <c r="S532" s="499">
        <v>150</v>
      </c>
      <c r="T532" s="500">
        <v>0</v>
      </c>
      <c r="U532" s="501">
        <v>14701</v>
      </c>
      <c r="V532">
        <v>1</v>
      </c>
      <c r="W532" s="499">
        <v>13351</v>
      </c>
      <c r="X532" s="499">
        <v>1200</v>
      </c>
      <c r="Y532" s="500">
        <v>0</v>
      </c>
      <c r="Z532" s="501">
        <v>14551</v>
      </c>
      <c r="AA532" s="494">
        <v>2</v>
      </c>
      <c r="AB532" s="379">
        <v>12000</v>
      </c>
      <c r="AC532" s="501">
        <v>29252</v>
      </c>
      <c r="AD532" s="379">
        <v>17252</v>
      </c>
    </row>
    <row r="533" spans="1:30">
      <c r="A533" s="462">
        <v>275</v>
      </c>
      <c r="B533" s="462" t="s">
        <v>390</v>
      </c>
      <c r="C533">
        <v>3548</v>
      </c>
      <c r="D533" s="462" t="s">
        <v>730</v>
      </c>
      <c r="E533">
        <v>3400</v>
      </c>
      <c r="F533" s="462" t="s">
        <v>1064</v>
      </c>
      <c r="G533" t="s">
        <v>1013</v>
      </c>
      <c r="H533" t="s">
        <v>473</v>
      </c>
      <c r="J533">
        <v>1</v>
      </c>
      <c r="O533" s="72">
        <v>3</v>
      </c>
      <c r="P533">
        <v>2</v>
      </c>
      <c r="Q533" s="499">
        <v>26702</v>
      </c>
      <c r="R533" s="499">
        <v>2400</v>
      </c>
      <c r="S533" s="499">
        <v>300</v>
      </c>
      <c r="T533" s="500">
        <v>0</v>
      </c>
      <c r="U533" s="501">
        <v>29402</v>
      </c>
      <c r="V533">
        <v>1</v>
      </c>
      <c r="W533" s="499">
        <v>13351</v>
      </c>
      <c r="X533" s="499">
        <v>1200</v>
      </c>
      <c r="Y533" s="500">
        <v>0</v>
      </c>
      <c r="Z533" s="501">
        <v>14551</v>
      </c>
      <c r="AA533" s="494">
        <v>3</v>
      </c>
      <c r="AB533" s="379">
        <v>18000</v>
      </c>
      <c r="AC533" s="501">
        <v>43953</v>
      </c>
      <c r="AD533" s="379">
        <v>25953</v>
      </c>
    </row>
    <row r="534" spans="1:30" hidden="1">
      <c r="A534" s="462">
        <v>275</v>
      </c>
      <c r="B534" s="462" t="s">
        <v>390</v>
      </c>
      <c r="C534">
        <v>3548</v>
      </c>
      <c r="D534" s="462" t="s">
        <v>730</v>
      </c>
      <c r="E534">
        <v>3460</v>
      </c>
      <c r="F534" s="462" t="s">
        <v>1497</v>
      </c>
      <c r="G534" t="s">
        <v>1013</v>
      </c>
      <c r="H534" t="s">
        <v>473</v>
      </c>
      <c r="O534" s="72">
        <v>8</v>
      </c>
      <c r="P534">
        <v>8</v>
      </c>
      <c r="Q534" s="499">
        <v>106808</v>
      </c>
      <c r="R534" s="499">
        <v>9600</v>
      </c>
      <c r="S534" s="499">
        <v>1200</v>
      </c>
      <c r="T534" s="500">
        <v>0</v>
      </c>
      <c r="U534" s="501">
        <v>117608</v>
      </c>
      <c r="V534">
        <v>0</v>
      </c>
      <c r="W534" s="499">
        <v>0</v>
      </c>
      <c r="X534" s="499">
        <v>0</v>
      </c>
      <c r="Y534" s="500">
        <v>0</v>
      </c>
      <c r="Z534" s="501">
        <v>0</v>
      </c>
      <c r="AA534" s="494">
        <v>8</v>
      </c>
      <c r="AB534" s="379">
        <v>48000</v>
      </c>
      <c r="AC534" s="501">
        <v>117608</v>
      </c>
      <c r="AD534" s="379">
        <v>69608</v>
      </c>
    </row>
    <row r="535" spans="1:30" hidden="1">
      <c r="A535" s="462">
        <v>275</v>
      </c>
      <c r="B535" s="462" t="s">
        <v>390</v>
      </c>
      <c r="C535">
        <v>3548</v>
      </c>
      <c r="D535" s="462" t="s">
        <v>730</v>
      </c>
      <c r="E535">
        <v>3524</v>
      </c>
      <c r="F535" s="462" t="s">
        <v>1498</v>
      </c>
      <c r="G535" t="s">
        <v>1013</v>
      </c>
      <c r="H535" t="s">
        <v>473</v>
      </c>
      <c r="O535" s="72">
        <v>3</v>
      </c>
      <c r="P535">
        <v>3</v>
      </c>
      <c r="Q535" s="499">
        <v>40053</v>
      </c>
      <c r="R535" s="499">
        <v>3600</v>
      </c>
      <c r="S535" s="499">
        <v>450</v>
      </c>
      <c r="T535" s="500">
        <v>0</v>
      </c>
      <c r="U535" s="501">
        <v>44103</v>
      </c>
      <c r="V535">
        <v>0</v>
      </c>
      <c r="W535" s="499">
        <v>0</v>
      </c>
      <c r="X535" s="499">
        <v>0</v>
      </c>
      <c r="Y535" s="500">
        <v>0</v>
      </c>
      <c r="Z535" s="501">
        <v>0</v>
      </c>
      <c r="AA535" s="494">
        <v>3</v>
      </c>
      <c r="AB535" s="379">
        <v>18000</v>
      </c>
      <c r="AC535" s="501">
        <v>44103</v>
      </c>
      <c r="AD535" s="379">
        <v>26103</v>
      </c>
    </row>
    <row r="536" spans="1:30">
      <c r="A536" s="462">
        <v>275</v>
      </c>
      <c r="B536" s="462" t="s">
        <v>390</v>
      </c>
      <c r="C536">
        <v>3548</v>
      </c>
      <c r="D536" s="462" t="s">
        <v>730</v>
      </c>
      <c r="E536">
        <v>6003</v>
      </c>
      <c r="F536" s="462" t="s">
        <v>1066</v>
      </c>
      <c r="G536" t="s">
        <v>1013</v>
      </c>
      <c r="H536" t="s">
        <v>473</v>
      </c>
      <c r="J536">
        <v>1</v>
      </c>
      <c r="O536" s="72">
        <v>1</v>
      </c>
      <c r="P536">
        <v>0</v>
      </c>
      <c r="Q536" s="499">
        <v>0</v>
      </c>
      <c r="R536" s="499">
        <v>0</v>
      </c>
      <c r="S536" s="499">
        <v>0</v>
      </c>
      <c r="T536" s="500">
        <v>0</v>
      </c>
      <c r="U536" s="501">
        <v>0</v>
      </c>
      <c r="V536">
        <v>1</v>
      </c>
      <c r="W536" s="499">
        <v>13351</v>
      </c>
      <c r="X536" s="499">
        <v>1200</v>
      </c>
      <c r="Y536" s="500">
        <v>0</v>
      </c>
      <c r="Z536" s="501">
        <v>14551</v>
      </c>
      <c r="AA536" s="494">
        <v>1</v>
      </c>
      <c r="AB536" s="379">
        <v>6000</v>
      </c>
      <c r="AC536" s="501">
        <v>14551</v>
      </c>
      <c r="AD536" s="379">
        <v>8551</v>
      </c>
    </row>
    <row r="537" spans="1:30">
      <c r="A537" s="462">
        <v>275</v>
      </c>
      <c r="B537" s="462" t="s">
        <v>390</v>
      </c>
      <c r="C537">
        <v>3548</v>
      </c>
      <c r="D537" s="462" t="s">
        <v>730</v>
      </c>
      <c r="E537">
        <v>6178</v>
      </c>
      <c r="F537" s="462" t="s">
        <v>1068</v>
      </c>
      <c r="G537" t="s">
        <v>1013</v>
      </c>
      <c r="H537" t="s">
        <v>473</v>
      </c>
      <c r="J537">
        <v>1</v>
      </c>
      <c r="O537" s="72">
        <v>1</v>
      </c>
      <c r="P537">
        <v>0</v>
      </c>
      <c r="Q537" s="499">
        <v>0</v>
      </c>
      <c r="R537" s="499">
        <v>0</v>
      </c>
      <c r="S537" s="499">
        <v>0</v>
      </c>
      <c r="T537" s="500">
        <v>0</v>
      </c>
      <c r="U537" s="501">
        <v>0</v>
      </c>
      <c r="V537">
        <v>1</v>
      </c>
      <c r="W537" s="499">
        <v>13351</v>
      </c>
      <c r="X537" s="499">
        <v>1200</v>
      </c>
      <c r="Y537" s="500">
        <v>0</v>
      </c>
      <c r="Z537" s="501">
        <v>14551</v>
      </c>
      <c r="AA537" s="494">
        <v>1</v>
      </c>
      <c r="AB537" s="379">
        <v>6000</v>
      </c>
      <c r="AC537" s="501">
        <v>14551</v>
      </c>
      <c r="AD537" s="379">
        <v>8551</v>
      </c>
    </row>
    <row r="538" spans="1:30">
      <c r="A538" s="462">
        <v>275</v>
      </c>
      <c r="B538" s="462" t="s">
        <v>390</v>
      </c>
      <c r="C538">
        <v>3548</v>
      </c>
      <c r="D538" s="462" t="s">
        <v>730</v>
      </c>
      <c r="E538">
        <v>6407</v>
      </c>
      <c r="F538" s="462" t="s">
        <v>1070</v>
      </c>
      <c r="G538" t="s">
        <v>1013</v>
      </c>
      <c r="H538" t="s">
        <v>473</v>
      </c>
      <c r="J538">
        <v>1</v>
      </c>
      <c r="O538" s="72">
        <v>1</v>
      </c>
      <c r="P538">
        <v>0</v>
      </c>
      <c r="Q538" s="499">
        <v>0</v>
      </c>
      <c r="R538" s="499">
        <v>0</v>
      </c>
      <c r="S538" s="499">
        <v>0</v>
      </c>
      <c r="T538" s="500">
        <v>0</v>
      </c>
      <c r="U538" s="501">
        <v>0</v>
      </c>
      <c r="V538">
        <v>1</v>
      </c>
      <c r="W538" s="499">
        <v>13351</v>
      </c>
      <c r="X538" s="499">
        <v>1200</v>
      </c>
      <c r="Y538" s="500">
        <v>0</v>
      </c>
      <c r="Z538" s="501">
        <v>14551</v>
      </c>
      <c r="AA538" s="494">
        <v>1</v>
      </c>
      <c r="AB538" s="379">
        <v>6000</v>
      </c>
      <c r="AC538" s="501">
        <v>14551</v>
      </c>
      <c r="AD538" s="379">
        <v>8551</v>
      </c>
    </row>
    <row r="539" spans="1:30">
      <c r="A539" s="462">
        <v>275</v>
      </c>
      <c r="B539" s="462" t="s">
        <v>390</v>
      </c>
      <c r="C539">
        <v>3548</v>
      </c>
      <c r="D539" s="462" t="s">
        <v>730</v>
      </c>
      <c r="E539">
        <v>6415</v>
      </c>
      <c r="F539" s="462" t="s">
        <v>1072</v>
      </c>
      <c r="G539" t="s">
        <v>1013</v>
      </c>
      <c r="H539" t="s">
        <v>473</v>
      </c>
      <c r="J539">
        <v>1</v>
      </c>
      <c r="O539" s="72">
        <v>2</v>
      </c>
      <c r="P539">
        <v>1</v>
      </c>
      <c r="Q539" s="499">
        <v>13351</v>
      </c>
      <c r="R539" s="499">
        <v>1200</v>
      </c>
      <c r="S539" s="499">
        <v>150</v>
      </c>
      <c r="T539" s="500">
        <v>0</v>
      </c>
      <c r="U539" s="501">
        <v>14701</v>
      </c>
      <c r="V539">
        <v>1</v>
      </c>
      <c r="W539" s="499">
        <v>13351</v>
      </c>
      <c r="X539" s="499">
        <v>1200</v>
      </c>
      <c r="Y539" s="500">
        <v>0</v>
      </c>
      <c r="Z539" s="501">
        <v>14551</v>
      </c>
      <c r="AA539" s="494">
        <v>2</v>
      </c>
      <c r="AB539" s="379">
        <v>12000</v>
      </c>
      <c r="AC539" s="501">
        <v>29252</v>
      </c>
      <c r="AD539" s="379">
        <v>17252</v>
      </c>
    </row>
    <row r="540" spans="1:30">
      <c r="A540" s="463">
        <v>275</v>
      </c>
      <c r="B540" s="462" t="s">
        <v>390</v>
      </c>
      <c r="C540">
        <v>3548</v>
      </c>
      <c r="D540" s="462" t="s">
        <v>730</v>
      </c>
      <c r="E540">
        <v>8930</v>
      </c>
      <c r="F540" s="462" t="s">
        <v>1040</v>
      </c>
      <c r="G540" t="s">
        <v>1013</v>
      </c>
      <c r="H540" t="s">
        <v>473</v>
      </c>
      <c r="J540">
        <v>1</v>
      </c>
      <c r="O540" s="72">
        <v>1</v>
      </c>
      <c r="P540">
        <v>0</v>
      </c>
      <c r="Q540" s="499">
        <v>0</v>
      </c>
      <c r="R540" s="499">
        <v>0</v>
      </c>
      <c r="S540" s="499">
        <v>0</v>
      </c>
      <c r="T540" s="500">
        <v>0</v>
      </c>
      <c r="U540" s="501">
        <v>0</v>
      </c>
      <c r="V540">
        <v>1</v>
      </c>
      <c r="W540" s="499">
        <v>13351</v>
      </c>
      <c r="X540" s="499">
        <v>1200</v>
      </c>
      <c r="Y540" s="500">
        <v>0</v>
      </c>
      <c r="Z540" s="501">
        <v>14551</v>
      </c>
      <c r="AA540" s="494">
        <v>1</v>
      </c>
      <c r="AB540" s="379">
        <v>6000</v>
      </c>
      <c r="AC540" s="501">
        <v>14551</v>
      </c>
      <c r="AD540" s="379">
        <v>8551</v>
      </c>
    </row>
    <row r="541" spans="1:30" hidden="1">
      <c r="A541" s="462">
        <v>277</v>
      </c>
      <c r="B541" s="462" t="s">
        <v>639</v>
      </c>
      <c r="C541">
        <v>277</v>
      </c>
      <c r="D541" s="462" t="s">
        <v>1624</v>
      </c>
      <c r="E541">
        <v>1526</v>
      </c>
      <c r="F541" s="462" t="s">
        <v>1581</v>
      </c>
      <c r="G541" t="s">
        <v>1013</v>
      </c>
      <c r="H541" s="383" t="s">
        <v>474</v>
      </c>
      <c r="O541" s="72">
        <v>1</v>
      </c>
      <c r="P541">
        <v>1</v>
      </c>
      <c r="Q541" s="499">
        <v>13351</v>
      </c>
      <c r="R541" s="499">
        <v>4000</v>
      </c>
      <c r="S541" s="499">
        <v>500</v>
      </c>
      <c r="T541" s="500">
        <v>0</v>
      </c>
      <c r="U541" s="501">
        <v>17851</v>
      </c>
      <c r="V541">
        <v>0</v>
      </c>
      <c r="W541" s="499">
        <v>0</v>
      </c>
      <c r="X541" s="499">
        <v>0</v>
      </c>
      <c r="Y541" s="500">
        <v>0</v>
      </c>
      <c r="Z541" s="501">
        <v>0</v>
      </c>
      <c r="AA541" s="494">
        <v>1</v>
      </c>
      <c r="AB541" s="379">
        <v>6000</v>
      </c>
      <c r="AC541" s="501">
        <v>17851</v>
      </c>
      <c r="AD541" s="379">
        <v>11851</v>
      </c>
    </row>
    <row r="542" spans="1:30" hidden="1">
      <c r="A542" s="462">
        <v>277</v>
      </c>
      <c r="B542" s="462" t="s">
        <v>639</v>
      </c>
      <c r="C542">
        <v>277</v>
      </c>
      <c r="D542" s="462" t="s">
        <v>1624</v>
      </c>
      <c r="E542">
        <v>1758</v>
      </c>
      <c r="F542" s="462" t="s">
        <v>1020</v>
      </c>
      <c r="G542" t="s">
        <v>1013</v>
      </c>
      <c r="H542" s="383" t="s">
        <v>474</v>
      </c>
      <c r="O542" s="72">
        <v>3</v>
      </c>
      <c r="P542">
        <v>3</v>
      </c>
      <c r="Q542" s="499">
        <v>40053</v>
      </c>
      <c r="R542" s="499">
        <v>12000</v>
      </c>
      <c r="S542" s="499">
        <v>1500</v>
      </c>
      <c r="T542" s="500">
        <v>0</v>
      </c>
      <c r="U542" s="501">
        <v>53553</v>
      </c>
      <c r="V542">
        <v>0</v>
      </c>
      <c r="W542" s="499">
        <v>0</v>
      </c>
      <c r="X542" s="499">
        <v>0</v>
      </c>
      <c r="Y542" s="500">
        <v>0</v>
      </c>
      <c r="Z542" s="501">
        <v>0</v>
      </c>
      <c r="AA542" s="494">
        <v>3</v>
      </c>
      <c r="AB542" s="379">
        <v>18000</v>
      </c>
      <c r="AC542" s="501">
        <v>53553</v>
      </c>
      <c r="AD542" s="379">
        <v>35553</v>
      </c>
    </row>
    <row r="543" spans="1:30" hidden="1">
      <c r="A543" s="462">
        <v>277</v>
      </c>
      <c r="B543" s="462" t="s">
        <v>639</v>
      </c>
      <c r="C543">
        <v>277</v>
      </c>
      <c r="D543" s="462" t="s">
        <v>1624</v>
      </c>
      <c r="E543">
        <v>2115</v>
      </c>
      <c r="F543" s="462" t="s">
        <v>1625</v>
      </c>
      <c r="G543" t="s">
        <v>1013</v>
      </c>
      <c r="H543" s="383" t="s">
        <v>474</v>
      </c>
      <c r="O543" s="72">
        <v>1</v>
      </c>
      <c r="P543">
        <v>1</v>
      </c>
      <c r="Q543" s="499">
        <v>13351</v>
      </c>
      <c r="R543" s="499">
        <v>4000</v>
      </c>
      <c r="S543" s="499">
        <v>500</v>
      </c>
      <c r="T543" s="500">
        <v>0</v>
      </c>
      <c r="U543" s="501">
        <v>17851</v>
      </c>
      <c r="V543">
        <v>0</v>
      </c>
      <c r="W543" s="499">
        <v>0</v>
      </c>
      <c r="X543" s="499">
        <v>0</v>
      </c>
      <c r="Y543" s="500">
        <v>0</v>
      </c>
      <c r="Z543" s="501">
        <v>0</v>
      </c>
      <c r="AA543" s="494">
        <v>1</v>
      </c>
      <c r="AB543" s="379">
        <v>6000</v>
      </c>
      <c r="AC543" s="501">
        <v>17851</v>
      </c>
      <c r="AD543" s="379">
        <v>11851</v>
      </c>
    </row>
    <row r="544" spans="1:30" hidden="1">
      <c r="A544" s="462">
        <v>277</v>
      </c>
      <c r="B544" s="462" t="s">
        <v>639</v>
      </c>
      <c r="C544">
        <v>277</v>
      </c>
      <c r="D544" s="462" t="s">
        <v>1624</v>
      </c>
      <c r="E544">
        <v>3282</v>
      </c>
      <c r="F544" s="462" t="s">
        <v>1022</v>
      </c>
      <c r="G544" t="s">
        <v>1013</v>
      </c>
      <c r="H544" s="383" t="s">
        <v>474</v>
      </c>
      <c r="J544">
        <v>2</v>
      </c>
      <c r="O544" s="72">
        <v>2</v>
      </c>
      <c r="P544">
        <v>0</v>
      </c>
      <c r="Q544" s="499">
        <v>0</v>
      </c>
      <c r="R544" s="499">
        <v>0</v>
      </c>
      <c r="S544" s="499">
        <v>0</v>
      </c>
      <c r="T544" s="500">
        <v>0</v>
      </c>
      <c r="U544" s="501">
        <v>0</v>
      </c>
      <c r="V544">
        <v>2</v>
      </c>
      <c r="W544" s="499">
        <v>26702</v>
      </c>
      <c r="X544" s="499">
        <v>8000</v>
      </c>
      <c r="Y544" s="500">
        <v>0</v>
      </c>
      <c r="Z544" s="501">
        <v>34702</v>
      </c>
      <c r="AA544" s="494">
        <v>2</v>
      </c>
      <c r="AB544" s="379">
        <v>12000</v>
      </c>
      <c r="AC544" s="501">
        <v>34702</v>
      </c>
      <c r="AD544" s="379">
        <v>22702</v>
      </c>
    </row>
    <row r="545" spans="1:30" hidden="1">
      <c r="A545" s="462">
        <v>277</v>
      </c>
      <c r="B545" s="462" t="s">
        <v>639</v>
      </c>
      <c r="C545">
        <v>277</v>
      </c>
      <c r="D545" s="462" t="s">
        <v>1624</v>
      </c>
      <c r="E545">
        <v>3300</v>
      </c>
      <c r="F545" s="462" t="s">
        <v>1589</v>
      </c>
      <c r="G545" t="s">
        <v>1013</v>
      </c>
      <c r="H545" s="383" t="s">
        <v>474</v>
      </c>
      <c r="J545">
        <v>1</v>
      </c>
      <c r="O545" s="72">
        <v>1</v>
      </c>
      <c r="P545">
        <v>0</v>
      </c>
      <c r="Q545" s="499">
        <v>0</v>
      </c>
      <c r="R545" s="499">
        <v>0</v>
      </c>
      <c r="S545" s="499">
        <v>0</v>
      </c>
      <c r="T545" s="500">
        <v>0</v>
      </c>
      <c r="U545" s="501">
        <v>0</v>
      </c>
      <c r="V545">
        <v>1</v>
      </c>
      <c r="W545" s="499">
        <v>13351</v>
      </c>
      <c r="X545" s="499">
        <v>4000</v>
      </c>
      <c r="Y545" s="500">
        <v>0</v>
      </c>
      <c r="Z545" s="501">
        <v>17351</v>
      </c>
      <c r="AA545" s="494">
        <v>1</v>
      </c>
      <c r="AB545" s="379">
        <v>6000</v>
      </c>
      <c r="AC545" s="501">
        <v>17351</v>
      </c>
      <c r="AD545" s="379">
        <v>11351</v>
      </c>
    </row>
    <row r="546" spans="1:30" hidden="1">
      <c r="A546" s="462">
        <v>277</v>
      </c>
      <c r="B546" s="462" t="s">
        <v>639</v>
      </c>
      <c r="C546">
        <v>277</v>
      </c>
      <c r="D546" s="462" t="s">
        <v>1624</v>
      </c>
      <c r="E546">
        <v>3305</v>
      </c>
      <c r="F546" s="462" t="s">
        <v>1024</v>
      </c>
      <c r="G546" t="s">
        <v>1013</v>
      </c>
      <c r="H546" s="383" t="s">
        <v>474</v>
      </c>
      <c r="O546" s="72">
        <v>1</v>
      </c>
      <c r="P546">
        <v>1</v>
      </c>
      <c r="Q546" s="499">
        <v>13351</v>
      </c>
      <c r="R546" s="499">
        <v>4000</v>
      </c>
      <c r="S546" s="499">
        <v>500</v>
      </c>
      <c r="T546" s="500">
        <v>0</v>
      </c>
      <c r="U546" s="501">
        <v>17851</v>
      </c>
      <c r="V546">
        <v>0</v>
      </c>
      <c r="W546" s="499">
        <v>0</v>
      </c>
      <c r="X546" s="499">
        <v>0</v>
      </c>
      <c r="Y546" s="500">
        <v>0</v>
      </c>
      <c r="Z546" s="501">
        <v>0</v>
      </c>
      <c r="AA546" s="494">
        <v>1</v>
      </c>
      <c r="AB546" s="379">
        <v>6000</v>
      </c>
      <c r="AC546" s="501">
        <v>17851</v>
      </c>
      <c r="AD546" s="379">
        <v>11851</v>
      </c>
    </row>
    <row r="547" spans="1:30" hidden="1">
      <c r="A547" s="462">
        <v>277</v>
      </c>
      <c r="B547" s="462" t="s">
        <v>639</v>
      </c>
      <c r="C547">
        <v>277</v>
      </c>
      <c r="D547" s="462" t="s">
        <v>1624</v>
      </c>
      <c r="E547">
        <v>3319</v>
      </c>
      <c r="F547" s="462" t="s">
        <v>1626</v>
      </c>
      <c r="G547" t="s">
        <v>1013</v>
      </c>
      <c r="H547" s="383" t="s">
        <v>474</v>
      </c>
      <c r="O547" s="72">
        <v>1</v>
      </c>
      <c r="P547">
        <v>1</v>
      </c>
      <c r="Q547" s="499">
        <v>13351</v>
      </c>
      <c r="R547" s="499">
        <v>4000</v>
      </c>
      <c r="S547" s="499">
        <v>500</v>
      </c>
      <c r="T547" s="500">
        <v>0</v>
      </c>
      <c r="U547" s="501">
        <v>17851</v>
      </c>
      <c r="V547">
        <v>0</v>
      </c>
      <c r="W547" s="499">
        <v>0</v>
      </c>
      <c r="X547" s="499">
        <v>0</v>
      </c>
      <c r="Y547" s="500">
        <v>0</v>
      </c>
      <c r="Z547" s="501">
        <v>0</v>
      </c>
      <c r="AA547" s="494">
        <v>1</v>
      </c>
      <c r="AB547" s="379">
        <v>6000</v>
      </c>
      <c r="AC547" s="501">
        <v>17851</v>
      </c>
      <c r="AD547" s="379">
        <v>11851</v>
      </c>
    </row>
    <row r="548" spans="1:30" hidden="1">
      <c r="A548" s="462">
        <v>277</v>
      </c>
      <c r="B548" s="462" t="s">
        <v>639</v>
      </c>
      <c r="C548">
        <v>277</v>
      </c>
      <c r="D548" s="462" t="s">
        <v>1624</v>
      </c>
      <c r="E548">
        <v>3321</v>
      </c>
      <c r="F548" s="462" t="s">
        <v>1047</v>
      </c>
      <c r="G548" t="s">
        <v>1013</v>
      </c>
      <c r="H548" s="383" t="s">
        <v>474</v>
      </c>
      <c r="J548">
        <v>3</v>
      </c>
      <c r="O548" s="72">
        <v>4</v>
      </c>
      <c r="P548">
        <v>1</v>
      </c>
      <c r="Q548" s="499">
        <v>13351</v>
      </c>
      <c r="R548" s="499">
        <v>4000</v>
      </c>
      <c r="S548" s="499">
        <v>500</v>
      </c>
      <c r="T548" s="500">
        <v>0</v>
      </c>
      <c r="U548" s="501">
        <v>17851</v>
      </c>
      <c r="V548">
        <v>3</v>
      </c>
      <c r="W548" s="499">
        <v>40053</v>
      </c>
      <c r="X548" s="499">
        <v>12000</v>
      </c>
      <c r="Y548" s="500">
        <v>0</v>
      </c>
      <c r="Z548" s="501">
        <v>52053</v>
      </c>
      <c r="AA548" s="494">
        <v>4</v>
      </c>
      <c r="AB548" s="379">
        <v>24000</v>
      </c>
      <c r="AC548" s="501">
        <v>69904</v>
      </c>
      <c r="AD548" s="379">
        <v>45904</v>
      </c>
    </row>
    <row r="549" spans="1:30" hidden="1">
      <c r="A549" s="462">
        <v>277</v>
      </c>
      <c r="B549" s="462" t="s">
        <v>639</v>
      </c>
      <c r="C549">
        <v>277</v>
      </c>
      <c r="D549" s="462" t="s">
        <v>1624</v>
      </c>
      <c r="E549">
        <v>3330</v>
      </c>
      <c r="F549" s="462" t="s">
        <v>1012</v>
      </c>
      <c r="G549" t="s">
        <v>1013</v>
      </c>
      <c r="H549" s="383" t="s">
        <v>474</v>
      </c>
      <c r="O549" s="72">
        <v>1</v>
      </c>
      <c r="P549">
        <v>1</v>
      </c>
      <c r="Q549" s="499">
        <v>13351</v>
      </c>
      <c r="R549" s="499">
        <v>4000</v>
      </c>
      <c r="S549" s="499">
        <v>500</v>
      </c>
      <c r="T549" s="500">
        <v>0</v>
      </c>
      <c r="U549" s="501">
        <v>17851</v>
      </c>
      <c r="V549">
        <v>0</v>
      </c>
      <c r="W549" s="499">
        <v>0</v>
      </c>
      <c r="X549" s="499">
        <v>0</v>
      </c>
      <c r="Y549" s="500">
        <v>0</v>
      </c>
      <c r="Z549" s="501">
        <v>0</v>
      </c>
      <c r="AA549" s="494">
        <v>1</v>
      </c>
      <c r="AB549" s="379">
        <v>6000</v>
      </c>
      <c r="AC549" s="501">
        <v>17851</v>
      </c>
      <c r="AD549" s="379">
        <v>11851</v>
      </c>
    </row>
    <row r="550" spans="1:30" hidden="1">
      <c r="A550" s="462">
        <v>277</v>
      </c>
      <c r="B550" s="462" t="s">
        <v>639</v>
      </c>
      <c r="C550">
        <v>277</v>
      </c>
      <c r="D550" s="462" t="s">
        <v>1624</v>
      </c>
      <c r="E550">
        <v>3343</v>
      </c>
      <c r="F550" s="462" t="s">
        <v>1473</v>
      </c>
      <c r="G550" t="s">
        <v>1013</v>
      </c>
      <c r="H550" s="383" t="s">
        <v>474</v>
      </c>
      <c r="O550" s="72">
        <v>1</v>
      </c>
      <c r="P550">
        <v>1</v>
      </c>
      <c r="Q550" s="499">
        <v>13351</v>
      </c>
      <c r="R550" s="499">
        <v>4000</v>
      </c>
      <c r="S550" s="499">
        <v>500</v>
      </c>
      <c r="T550" s="500">
        <v>0</v>
      </c>
      <c r="U550" s="501">
        <v>17851</v>
      </c>
      <c r="V550">
        <v>0</v>
      </c>
      <c r="W550" s="499">
        <v>0</v>
      </c>
      <c r="X550" s="499">
        <v>0</v>
      </c>
      <c r="Y550" s="500">
        <v>0</v>
      </c>
      <c r="Z550" s="501">
        <v>0</v>
      </c>
      <c r="AA550" s="494">
        <v>1</v>
      </c>
      <c r="AB550" s="379">
        <v>6000</v>
      </c>
      <c r="AC550" s="501">
        <v>17851</v>
      </c>
      <c r="AD550" s="379">
        <v>11851</v>
      </c>
    </row>
    <row r="551" spans="1:30" hidden="1">
      <c r="A551" s="462">
        <v>277</v>
      </c>
      <c r="B551" s="462" t="s">
        <v>639</v>
      </c>
      <c r="C551">
        <v>277</v>
      </c>
      <c r="D551" s="462" t="s">
        <v>1624</v>
      </c>
      <c r="E551">
        <v>3362</v>
      </c>
      <c r="F551" s="462" t="s">
        <v>1061</v>
      </c>
      <c r="G551" t="s">
        <v>1013</v>
      </c>
      <c r="H551" s="383" t="s">
        <v>474</v>
      </c>
      <c r="J551">
        <v>1</v>
      </c>
      <c r="O551" s="72">
        <v>4</v>
      </c>
      <c r="P551">
        <v>3</v>
      </c>
      <c r="Q551" s="499">
        <v>40053</v>
      </c>
      <c r="R551" s="499">
        <v>12000</v>
      </c>
      <c r="S551" s="499">
        <v>1500</v>
      </c>
      <c r="T551" s="500">
        <v>0</v>
      </c>
      <c r="U551" s="501">
        <v>53553</v>
      </c>
      <c r="V551">
        <v>1</v>
      </c>
      <c r="W551" s="499">
        <v>13351</v>
      </c>
      <c r="X551" s="499">
        <v>4000</v>
      </c>
      <c r="Y551" s="500">
        <v>0</v>
      </c>
      <c r="Z551" s="501">
        <v>17351</v>
      </c>
      <c r="AA551" s="494">
        <v>4</v>
      </c>
      <c r="AB551" s="379">
        <v>24000</v>
      </c>
      <c r="AC551" s="501">
        <v>70904</v>
      </c>
      <c r="AD551" s="379">
        <v>46904</v>
      </c>
    </row>
    <row r="552" spans="1:30" hidden="1">
      <c r="A552" s="462">
        <v>277</v>
      </c>
      <c r="B552" s="462" t="s">
        <v>639</v>
      </c>
      <c r="C552">
        <v>277</v>
      </c>
      <c r="D552" s="462" t="s">
        <v>1624</v>
      </c>
      <c r="E552">
        <v>3370</v>
      </c>
      <c r="F552" s="462" t="s">
        <v>1049</v>
      </c>
      <c r="G552" t="s">
        <v>1013</v>
      </c>
      <c r="H552" s="383" t="s">
        <v>474</v>
      </c>
      <c r="O552" s="72">
        <v>1</v>
      </c>
      <c r="P552">
        <v>1</v>
      </c>
      <c r="Q552" s="499">
        <v>13351</v>
      </c>
      <c r="R552" s="499">
        <v>4000</v>
      </c>
      <c r="S552" s="499">
        <v>500</v>
      </c>
      <c r="T552" s="500">
        <v>0</v>
      </c>
      <c r="U552" s="501">
        <v>17851</v>
      </c>
      <c r="V552">
        <v>0</v>
      </c>
      <c r="W552" s="499">
        <v>0</v>
      </c>
      <c r="X552" s="499">
        <v>0</v>
      </c>
      <c r="Y552" s="500">
        <v>0</v>
      </c>
      <c r="Z552" s="501">
        <v>0</v>
      </c>
      <c r="AA552" s="494">
        <v>1</v>
      </c>
      <c r="AB552" s="379">
        <v>6000</v>
      </c>
      <c r="AC552" s="501">
        <v>17851</v>
      </c>
      <c r="AD552" s="379">
        <v>11851</v>
      </c>
    </row>
    <row r="553" spans="1:30" hidden="1">
      <c r="A553" s="462">
        <v>277</v>
      </c>
      <c r="B553" s="462" t="s">
        <v>639</v>
      </c>
      <c r="C553">
        <v>277</v>
      </c>
      <c r="D553" s="462" t="s">
        <v>1624</v>
      </c>
      <c r="E553">
        <v>3372</v>
      </c>
      <c r="F553" s="462" t="s">
        <v>976</v>
      </c>
      <c r="G553" t="s">
        <v>1013</v>
      </c>
      <c r="H553" s="383" t="s">
        <v>474</v>
      </c>
      <c r="O553" s="72">
        <v>1</v>
      </c>
      <c r="P553">
        <v>1</v>
      </c>
      <c r="Q553" s="499">
        <v>13351</v>
      </c>
      <c r="R553" s="499">
        <v>4000</v>
      </c>
      <c r="S553" s="499">
        <v>500</v>
      </c>
      <c r="T553" s="500">
        <v>0</v>
      </c>
      <c r="U553" s="501">
        <v>17851</v>
      </c>
      <c r="V553">
        <v>0</v>
      </c>
      <c r="W553" s="499">
        <v>0</v>
      </c>
      <c r="X553" s="499">
        <v>0</v>
      </c>
      <c r="Y553" s="500">
        <v>0</v>
      </c>
      <c r="Z553" s="501">
        <v>0</v>
      </c>
      <c r="AA553" s="494">
        <v>1</v>
      </c>
      <c r="AB553" s="379">
        <v>6000</v>
      </c>
      <c r="AC553" s="501">
        <v>17851</v>
      </c>
      <c r="AD553" s="379">
        <v>11851</v>
      </c>
    </row>
    <row r="554" spans="1:30" hidden="1">
      <c r="A554" s="462">
        <v>277</v>
      </c>
      <c r="B554" s="462" t="s">
        <v>639</v>
      </c>
      <c r="C554">
        <v>277</v>
      </c>
      <c r="D554" s="462" t="s">
        <v>1624</v>
      </c>
      <c r="E554">
        <v>3393</v>
      </c>
      <c r="F554" s="462" t="s">
        <v>1627</v>
      </c>
      <c r="G554" t="s">
        <v>1013</v>
      </c>
      <c r="H554" s="383" t="s">
        <v>474</v>
      </c>
      <c r="O554" s="72">
        <v>1</v>
      </c>
      <c r="P554">
        <v>1</v>
      </c>
      <c r="Q554" s="499">
        <v>13351</v>
      </c>
      <c r="R554" s="499">
        <v>4000</v>
      </c>
      <c r="S554" s="499">
        <v>500</v>
      </c>
      <c r="T554" s="500">
        <v>0</v>
      </c>
      <c r="U554" s="501">
        <v>17851</v>
      </c>
      <c r="V554">
        <v>0</v>
      </c>
      <c r="W554" s="499">
        <v>0</v>
      </c>
      <c r="X554" s="499">
        <v>0</v>
      </c>
      <c r="Y554" s="500">
        <v>0</v>
      </c>
      <c r="Z554" s="501">
        <v>0</v>
      </c>
      <c r="AA554" s="494">
        <v>1</v>
      </c>
      <c r="AB554" s="379">
        <v>6000</v>
      </c>
      <c r="AC554" s="501">
        <v>17851</v>
      </c>
      <c r="AD554" s="379">
        <v>11851</v>
      </c>
    </row>
    <row r="555" spans="1:30" hidden="1">
      <c r="A555" s="462">
        <v>277</v>
      </c>
      <c r="B555" s="462" t="s">
        <v>639</v>
      </c>
      <c r="C555">
        <v>277</v>
      </c>
      <c r="D555" s="462" t="s">
        <v>1624</v>
      </c>
      <c r="E555">
        <v>3395</v>
      </c>
      <c r="F555" s="462" t="s">
        <v>1479</v>
      </c>
      <c r="G555" t="s">
        <v>1013</v>
      </c>
      <c r="H555" s="383" t="s">
        <v>474</v>
      </c>
      <c r="J555">
        <v>1</v>
      </c>
      <c r="O555" s="72">
        <v>3</v>
      </c>
      <c r="P555">
        <v>2</v>
      </c>
      <c r="Q555" s="499">
        <v>26702</v>
      </c>
      <c r="R555" s="499">
        <v>8000</v>
      </c>
      <c r="S555" s="499">
        <v>1000</v>
      </c>
      <c r="T555" s="500">
        <v>0</v>
      </c>
      <c r="U555" s="501">
        <v>35702</v>
      </c>
      <c r="V555">
        <v>1</v>
      </c>
      <c r="W555" s="499">
        <v>13351</v>
      </c>
      <c r="X555" s="499">
        <v>4000</v>
      </c>
      <c r="Y555" s="500">
        <v>0</v>
      </c>
      <c r="Z555" s="501">
        <v>17351</v>
      </c>
      <c r="AA555" s="494">
        <v>3</v>
      </c>
      <c r="AB555" s="379">
        <v>18000</v>
      </c>
      <c r="AC555" s="501">
        <v>53053</v>
      </c>
      <c r="AD555" s="379">
        <v>35053</v>
      </c>
    </row>
    <row r="556" spans="1:30" hidden="1">
      <c r="A556" s="462">
        <v>277</v>
      </c>
      <c r="B556" s="462" t="s">
        <v>639</v>
      </c>
      <c r="C556">
        <v>277</v>
      </c>
      <c r="D556" s="462" t="s">
        <v>1624</v>
      </c>
      <c r="E556">
        <v>3449</v>
      </c>
      <c r="F556" s="462" t="s">
        <v>1015</v>
      </c>
      <c r="G556" t="s">
        <v>1013</v>
      </c>
      <c r="H556" s="383" t="s">
        <v>474</v>
      </c>
      <c r="O556" s="72">
        <v>3</v>
      </c>
      <c r="P556">
        <v>3</v>
      </c>
      <c r="Q556" s="499">
        <v>40053</v>
      </c>
      <c r="R556" s="499">
        <v>12000</v>
      </c>
      <c r="S556" s="499">
        <v>1500</v>
      </c>
      <c r="T556" s="500">
        <v>0</v>
      </c>
      <c r="U556" s="501">
        <v>53553</v>
      </c>
      <c r="V556">
        <v>0</v>
      </c>
      <c r="W556" s="499">
        <v>0</v>
      </c>
      <c r="X556" s="499">
        <v>0</v>
      </c>
      <c r="Y556" s="500">
        <v>0</v>
      </c>
      <c r="Z556" s="501">
        <v>0</v>
      </c>
      <c r="AA556" s="494">
        <v>3</v>
      </c>
      <c r="AB556" s="379">
        <v>18000</v>
      </c>
      <c r="AC556" s="501">
        <v>53553</v>
      </c>
      <c r="AD556" s="379">
        <v>35553</v>
      </c>
    </row>
    <row r="557" spans="1:30" hidden="1">
      <c r="A557" s="462">
        <v>277</v>
      </c>
      <c r="B557" s="462" t="s">
        <v>639</v>
      </c>
      <c r="C557">
        <v>277</v>
      </c>
      <c r="D557" s="462" t="s">
        <v>1624</v>
      </c>
      <c r="E557">
        <v>3491</v>
      </c>
      <c r="F557" s="462" t="s">
        <v>1474</v>
      </c>
      <c r="G557" t="s">
        <v>1013</v>
      </c>
      <c r="H557" s="383" t="s">
        <v>474</v>
      </c>
      <c r="J557">
        <v>1</v>
      </c>
      <c r="O557" s="72">
        <v>3</v>
      </c>
      <c r="P557">
        <v>2</v>
      </c>
      <c r="Q557" s="499">
        <v>26702</v>
      </c>
      <c r="R557" s="499">
        <v>8000</v>
      </c>
      <c r="S557" s="499">
        <v>1000</v>
      </c>
      <c r="T557" s="500">
        <v>0</v>
      </c>
      <c r="U557" s="501">
        <v>35702</v>
      </c>
      <c r="V557">
        <v>1</v>
      </c>
      <c r="W557" s="499">
        <v>13351</v>
      </c>
      <c r="X557" s="499">
        <v>4000</v>
      </c>
      <c r="Y557" s="500">
        <v>0</v>
      </c>
      <c r="Z557" s="501">
        <v>17351</v>
      </c>
      <c r="AA557" s="494">
        <v>3</v>
      </c>
      <c r="AB557" s="379">
        <v>18000</v>
      </c>
      <c r="AC557" s="501">
        <v>53053</v>
      </c>
      <c r="AD557" s="379">
        <v>35053</v>
      </c>
    </row>
    <row r="558" spans="1:30" hidden="1">
      <c r="A558" s="462">
        <v>277</v>
      </c>
      <c r="B558" s="462" t="s">
        <v>639</v>
      </c>
      <c r="C558">
        <v>277</v>
      </c>
      <c r="D558" s="462" t="s">
        <v>1624</v>
      </c>
      <c r="E558">
        <v>3524</v>
      </c>
      <c r="F558" s="462" t="s">
        <v>1498</v>
      </c>
      <c r="G558" t="s">
        <v>1013</v>
      </c>
      <c r="H558" s="383" t="s">
        <v>474</v>
      </c>
      <c r="O558" s="72">
        <v>2</v>
      </c>
      <c r="P558">
        <v>2</v>
      </c>
      <c r="Q558" s="499">
        <v>26702</v>
      </c>
      <c r="R558" s="499">
        <v>8000</v>
      </c>
      <c r="S558" s="499">
        <v>1000</v>
      </c>
      <c r="T558" s="500">
        <v>0</v>
      </c>
      <c r="U558" s="501">
        <v>35702</v>
      </c>
      <c r="V558">
        <v>0</v>
      </c>
      <c r="W558" s="499">
        <v>0</v>
      </c>
      <c r="X558" s="499">
        <v>0</v>
      </c>
      <c r="Y558" s="500">
        <v>0</v>
      </c>
      <c r="Z558" s="501">
        <v>0</v>
      </c>
      <c r="AA558" s="494">
        <v>2</v>
      </c>
      <c r="AB558" s="379">
        <v>12000</v>
      </c>
      <c r="AC558" s="501">
        <v>35702</v>
      </c>
      <c r="AD558" s="379">
        <v>23702</v>
      </c>
    </row>
    <row r="559" spans="1:30" hidden="1">
      <c r="A559" s="462">
        <v>277</v>
      </c>
      <c r="B559" s="462" t="s">
        <v>639</v>
      </c>
      <c r="C559">
        <v>277</v>
      </c>
      <c r="D559" s="462" t="s">
        <v>1624</v>
      </c>
      <c r="E559">
        <v>5725</v>
      </c>
      <c r="F559" s="462" t="s">
        <v>1038</v>
      </c>
      <c r="G559" t="s">
        <v>1013</v>
      </c>
      <c r="H559" s="383" t="s">
        <v>474</v>
      </c>
      <c r="J559">
        <v>3</v>
      </c>
      <c r="O559" s="72">
        <v>19</v>
      </c>
      <c r="P559">
        <v>16</v>
      </c>
      <c r="Q559" s="499">
        <v>213616</v>
      </c>
      <c r="R559" s="499">
        <v>64000</v>
      </c>
      <c r="S559" s="499">
        <v>8000</v>
      </c>
      <c r="T559" s="500">
        <v>0</v>
      </c>
      <c r="U559" s="501">
        <v>285616</v>
      </c>
      <c r="V559">
        <v>3</v>
      </c>
      <c r="W559" s="499">
        <v>40053</v>
      </c>
      <c r="X559" s="499">
        <v>12000</v>
      </c>
      <c r="Y559" s="500">
        <v>0</v>
      </c>
      <c r="Z559" s="501">
        <v>52053</v>
      </c>
      <c r="AA559" s="494">
        <v>19</v>
      </c>
      <c r="AB559" s="379">
        <v>114000</v>
      </c>
      <c r="AC559" s="501">
        <v>337669</v>
      </c>
      <c r="AD559" s="379">
        <v>223669</v>
      </c>
    </row>
    <row r="560" spans="1:30" hidden="1">
      <c r="A560" s="462">
        <v>277</v>
      </c>
      <c r="B560" s="462" t="s">
        <v>639</v>
      </c>
      <c r="C560">
        <v>277</v>
      </c>
      <c r="D560" s="462" t="s">
        <v>1624</v>
      </c>
      <c r="E560">
        <v>8193</v>
      </c>
      <c r="F560" s="462" t="s">
        <v>1472</v>
      </c>
      <c r="G560" t="s">
        <v>1027</v>
      </c>
      <c r="H560" s="383" t="s">
        <v>474</v>
      </c>
      <c r="O560" s="72">
        <v>1</v>
      </c>
      <c r="P560">
        <v>1</v>
      </c>
      <c r="Q560" s="499">
        <v>13351</v>
      </c>
      <c r="R560" s="499">
        <v>4000</v>
      </c>
      <c r="S560" s="499">
        <v>500</v>
      </c>
      <c r="T560" s="500">
        <v>0</v>
      </c>
      <c r="U560" s="501">
        <v>17851</v>
      </c>
      <c r="V560">
        <v>0</v>
      </c>
      <c r="W560" s="499">
        <v>0</v>
      </c>
      <c r="X560" s="499">
        <v>0</v>
      </c>
      <c r="Y560" s="500">
        <v>0</v>
      </c>
      <c r="Z560" s="501">
        <v>0</v>
      </c>
      <c r="AA560" s="494">
        <v>1</v>
      </c>
      <c r="AB560" s="379">
        <v>6000</v>
      </c>
      <c r="AC560" s="501">
        <v>17851</v>
      </c>
      <c r="AD560" s="379">
        <v>11851</v>
      </c>
    </row>
    <row r="561" spans="1:30" hidden="1">
      <c r="A561" s="462">
        <v>277</v>
      </c>
      <c r="B561" s="462" t="s">
        <v>639</v>
      </c>
      <c r="C561">
        <v>277</v>
      </c>
      <c r="D561" s="462" t="s">
        <v>1624</v>
      </c>
      <c r="E561">
        <v>8293</v>
      </c>
      <c r="F561" s="462" t="s">
        <v>1628</v>
      </c>
      <c r="G561" t="s">
        <v>1013</v>
      </c>
      <c r="H561" s="383" t="s">
        <v>474</v>
      </c>
      <c r="O561" s="72">
        <v>1</v>
      </c>
      <c r="P561">
        <v>1</v>
      </c>
      <c r="Q561" s="499">
        <v>13351</v>
      </c>
      <c r="R561" s="499">
        <v>4000</v>
      </c>
      <c r="S561" s="499">
        <v>500</v>
      </c>
      <c r="T561" s="500">
        <v>0</v>
      </c>
      <c r="U561" s="501">
        <v>17851</v>
      </c>
      <c r="V561">
        <v>0</v>
      </c>
      <c r="W561" s="499">
        <v>0</v>
      </c>
      <c r="X561" s="499">
        <v>0</v>
      </c>
      <c r="Y561" s="500">
        <v>0</v>
      </c>
      <c r="Z561" s="501">
        <v>0</v>
      </c>
      <c r="AA561" s="494">
        <v>1</v>
      </c>
      <c r="AB561" s="379">
        <v>6000</v>
      </c>
      <c r="AC561" s="501">
        <v>17851</v>
      </c>
      <c r="AD561" s="379">
        <v>11851</v>
      </c>
    </row>
    <row r="562" spans="1:30" hidden="1">
      <c r="A562" s="463">
        <v>277</v>
      </c>
      <c r="B562" s="462" t="s">
        <v>639</v>
      </c>
      <c r="C562">
        <v>9011</v>
      </c>
      <c r="D562" s="462" t="s">
        <v>1576</v>
      </c>
      <c r="E562">
        <v>7502</v>
      </c>
      <c r="F562" s="462" t="s">
        <v>1026</v>
      </c>
      <c r="G562" t="s">
        <v>1027</v>
      </c>
      <c r="H562" s="383" t="s">
        <v>474</v>
      </c>
      <c r="M562">
        <v>4</v>
      </c>
      <c r="O562" s="72">
        <v>10</v>
      </c>
      <c r="P562">
        <v>6</v>
      </c>
      <c r="Q562" s="499">
        <v>80106</v>
      </c>
      <c r="R562" s="499">
        <v>24000</v>
      </c>
      <c r="S562" s="499">
        <v>3000</v>
      </c>
      <c r="T562" s="500">
        <v>0</v>
      </c>
      <c r="U562" s="501">
        <v>107106</v>
      </c>
      <c r="V562">
        <v>4</v>
      </c>
      <c r="W562" s="499">
        <v>53404</v>
      </c>
      <c r="X562" s="499">
        <v>16000</v>
      </c>
      <c r="Y562" s="500">
        <v>0</v>
      </c>
      <c r="Z562" s="501">
        <v>69404</v>
      </c>
      <c r="AA562" s="494">
        <v>10</v>
      </c>
      <c r="AB562" s="379">
        <v>60000</v>
      </c>
      <c r="AC562" s="501">
        <v>176510</v>
      </c>
      <c r="AD562" s="379">
        <v>116510</v>
      </c>
    </row>
    <row r="563" spans="1:30" hidden="1">
      <c r="A563" s="462">
        <v>281</v>
      </c>
      <c r="B563" s="462" t="s">
        <v>1639</v>
      </c>
      <c r="C563">
        <v>281</v>
      </c>
      <c r="D563" s="462" t="s">
        <v>1640</v>
      </c>
      <c r="E563">
        <v>1515</v>
      </c>
      <c r="F563" s="462" t="s">
        <v>1641</v>
      </c>
      <c r="G563" t="s">
        <v>1013</v>
      </c>
      <c r="H563" t="s">
        <v>473</v>
      </c>
      <c r="K563">
        <v>1</v>
      </c>
      <c r="O563" s="72">
        <v>1</v>
      </c>
      <c r="P563">
        <v>0</v>
      </c>
      <c r="Q563" s="499">
        <v>0</v>
      </c>
      <c r="R563" s="499">
        <v>0</v>
      </c>
      <c r="S563" s="499">
        <v>0</v>
      </c>
      <c r="T563" s="500">
        <v>0</v>
      </c>
      <c r="U563" s="501">
        <v>0</v>
      </c>
      <c r="V563">
        <v>1</v>
      </c>
      <c r="W563" s="499">
        <v>0</v>
      </c>
      <c r="X563" s="499">
        <v>0</v>
      </c>
      <c r="Y563" s="500">
        <v>7208</v>
      </c>
      <c r="Z563" s="501">
        <v>7208</v>
      </c>
      <c r="AA563" s="494">
        <v>1</v>
      </c>
      <c r="AB563" s="379">
        <v>6000</v>
      </c>
      <c r="AC563" s="501">
        <v>7208</v>
      </c>
      <c r="AD563" s="379">
        <v>1208</v>
      </c>
    </row>
    <row r="564" spans="1:30" hidden="1">
      <c r="A564" s="462">
        <v>281</v>
      </c>
      <c r="B564" s="462" t="s">
        <v>1639</v>
      </c>
      <c r="C564">
        <v>281</v>
      </c>
      <c r="D564" s="462" t="s">
        <v>1640</v>
      </c>
      <c r="E564">
        <v>3307</v>
      </c>
      <c r="F564" s="462" t="s">
        <v>1607</v>
      </c>
      <c r="G564" t="s">
        <v>1013</v>
      </c>
      <c r="H564" t="s">
        <v>473</v>
      </c>
      <c r="O564" s="72">
        <v>2</v>
      </c>
      <c r="P564">
        <v>2</v>
      </c>
      <c r="Q564" s="499">
        <v>0</v>
      </c>
      <c r="R564" s="499">
        <v>0</v>
      </c>
      <c r="S564" s="499">
        <v>0</v>
      </c>
      <c r="T564" s="500">
        <v>14416</v>
      </c>
      <c r="U564" s="501">
        <v>14416</v>
      </c>
      <c r="V564">
        <v>0</v>
      </c>
      <c r="W564" s="499">
        <v>0</v>
      </c>
      <c r="X564" s="499">
        <v>0</v>
      </c>
      <c r="Y564" s="500">
        <v>0</v>
      </c>
      <c r="Z564" s="501">
        <v>0</v>
      </c>
      <c r="AA564" s="494">
        <v>2</v>
      </c>
      <c r="AB564" s="379">
        <v>12000</v>
      </c>
      <c r="AC564" s="501">
        <v>14416</v>
      </c>
      <c r="AD564" s="379">
        <v>2416</v>
      </c>
    </row>
    <row r="565" spans="1:30" hidden="1">
      <c r="A565" s="462">
        <v>281</v>
      </c>
      <c r="B565" s="462" t="s">
        <v>1639</v>
      </c>
      <c r="C565">
        <v>281</v>
      </c>
      <c r="D565" s="462" t="s">
        <v>1640</v>
      </c>
      <c r="E565">
        <v>3372</v>
      </c>
      <c r="F565" s="462" t="s">
        <v>976</v>
      </c>
      <c r="G565" t="s">
        <v>1013</v>
      </c>
      <c r="H565" t="s">
        <v>473</v>
      </c>
      <c r="O565" s="72">
        <v>1</v>
      </c>
      <c r="P565">
        <v>1</v>
      </c>
      <c r="Q565" s="499">
        <v>0</v>
      </c>
      <c r="R565" s="499">
        <v>0</v>
      </c>
      <c r="S565" s="499">
        <v>0</v>
      </c>
      <c r="T565" s="500">
        <v>7208</v>
      </c>
      <c r="U565" s="501">
        <v>7208</v>
      </c>
      <c r="V565">
        <v>0</v>
      </c>
      <c r="W565" s="499">
        <v>0</v>
      </c>
      <c r="X565" s="499">
        <v>0</v>
      </c>
      <c r="Y565" s="500">
        <v>0</v>
      </c>
      <c r="Z565" s="501">
        <v>0</v>
      </c>
      <c r="AA565" s="494">
        <v>1</v>
      </c>
      <c r="AB565" s="379">
        <v>6000</v>
      </c>
      <c r="AC565" s="501">
        <v>7208</v>
      </c>
      <c r="AD565" s="379">
        <v>1208</v>
      </c>
    </row>
    <row r="566" spans="1:30" hidden="1">
      <c r="A566" s="462">
        <v>281</v>
      </c>
      <c r="B566" s="462" t="s">
        <v>1639</v>
      </c>
      <c r="C566">
        <v>281</v>
      </c>
      <c r="D566" s="462" t="s">
        <v>1640</v>
      </c>
      <c r="E566">
        <v>3439</v>
      </c>
      <c r="F566" s="462" t="s">
        <v>1643</v>
      </c>
      <c r="G566" t="s">
        <v>1013</v>
      </c>
      <c r="H566" t="s">
        <v>473</v>
      </c>
      <c r="M566">
        <v>1</v>
      </c>
      <c r="O566" s="72">
        <v>10</v>
      </c>
      <c r="P566">
        <v>9</v>
      </c>
      <c r="Q566" s="499">
        <v>120159</v>
      </c>
      <c r="R566" s="499">
        <v>10800</v>
      </c>
      <c r="S566" s="499">
        <v>1350</v>
      </c>
      <c r="T566" s="500">
        <v>0</v>
      </c>
      <c r="U566" s="501">
        <v>132309</v>
      </c>
      <c r="V566">
        <v>1</v>
      </c>
      <c r="W566" s="499">
        <v>13351</v>
      </c>
      <c r="X566" s="499">
        <v>1200</v>
      </c>
      <c r="Y566" s="500">
        <v>0</v>
      </c>
      <c r="Z566" s="501">
        <v>14551</v>
      </c>
      <c r="AA566" s="494">
        <v>10</v>
      </c>
      <c r="AB566" s="379">
        <v>60000</v>
      </c>
      <c r="AC566" s="501">
        <v>146860</v>
      </c>
      <c r="AD566" s="379">
        <v>86860</v>
      </c>
    </row>
    <row r="567" spans="1:30" hidden="1">
      <c r="A567" s="462">
        <v>281</v>
      </c>
      <c r="B567" s="462" t="s">
        <v>1639</v>
      </c>
      <c r="C567">
        <v>281</v>
      </c>
      <c r="D567" s="462" t="s">
        <v>1640</v>
      </c>
      <c r="E567">
        <v>5326</v>
      </c>
      <c r="F567" s="462" t="s">
        <v>1636</v>
      </c>
      <c r="G567" t="s">
        <v>1013</v>
      </c>
      <c r="H567" t="s">
        <v>473</v>
      </c>
      <c r="M567">
        <v>1</v>
      </c>
      <c r="O567" s="72">
        <v>4</v>
      </c>
      <c r="P567">
        <v>3</v>
      </c>
      <c r="Q567" s="499">
        <v>40053</v>
      </c>
      <c r="R567" s="499">
        <v>3600</v>
      </c>
      <c r="S567" s="499">
        <v>450</v>
      </c>
      <c r="T567" s="500">
        <v>0</v>
      </c>
      <c r="U567" s="501">
        <v>44103</v>
      </c>
      <c r="V567">
        <v>1</v>
      </c>
      <c r="W567" s="499">
        <v>13351</v>
      </c>
      <c r="X567" s="499">
        <v>1200</v>
      </c>
      <c r="Y567" s="500">
        <v>0</v>
      </c>
      <c r="Z567" s="501">
        <v>14551</v>
      </c>
      <c r="AA567" s="494">
        <v>4</v>
      </c>
      <c r="AB567" s="379">
        <v>24000</v>
      </c>
      <c r="AC567" s="501">
        <v>58654</v>
      </c>
      <c r="AD567" s="379">
        <v>34654</v>
      </c>
    </row>
    <row r="568" spans="1:30" hidden="1">
      <c r="A568" s="463">
        <v>281</v>
      </c>
      <c r="B568" s="462" t="s">
        <v>1639</v>
      </c>
      <c r="C568">
        <v>281</v>
      </c>
      <c r="D568" s="462" t="s">
        <v>1640</v>
      </c>
      <c r="E568">
        <v>8896</v>
      </c>
      <c r="F568" s="462" t="s">
        <v>1644</v>
      </c>
      <c r="G568" t="s">
        <v>1013</v>
      </c>
      <c r="H568" t="s">
        <v>473</v>
      </c>
      <c r="O568" s="72">
        <v>30</v>
      </c>
      <c r="P568">
        <v>30</v>
      </c>
      <c r="Q568" s="499">
        <v>400530</v>
      </c>
      <c r="R568" s="499">
        <v>36000</v>
      </c>
      <c r="S568" s="499">
        <v>4500</v>
      </c>
      <c r="T568" s="500">
        <v>0</v>
      </c>
      <c r="U568" s="501">
        <v>441030</v>
      </c>
      <c r="V568">
        <v>0</v>
      </c>
      <c r="W568" s="499">
        <v>0</v>
      </c>
      <c r="X568" s="499">
        <v>0</v>
      </c>
      <c r="Y568" s="500">
        <v>0</v>
      </c>
      <c r="Z568" s="501">
        <v>0</v>
      </c>
      <c r="AA568" s="494">
        <v>30</v>
      </c>
      <c r="AB568" s="379">
        <v>180000</v>
      </c>
      <c r="AC568" s="501">
        <v>441030</v>
      </c>
      <c r="AD568" s="379">
        <v>261030</v>
      </c>
    </row>
    <row r="569" spans="1:30" hidden="1">
      <c r="A569" s="463">
        <v>285</v>
      </c>
      <c r="B569" s="462" t="s">
        <v>1650</v>
      </c>
      <c r="C569">
        <v>285</v>
      </c>
      <c r="D569" s="462" t="s">
        <v>1651</v>
      </c>
      <c r="E569">
        <v>1342</v>
      </c>
      <c r="F569" s="462" t="s">
        <v>1652</v>
      </c>
      <c r="G569" t="s">
        <v>1013</v>
      </c>
      <c r="H569" t="s">
        <v>473</v>
      </c>
      <c r="O569" s="72">
        <v>2</v>
      </c>
      <c r="P569">
        <v>2</v>
      </c>
      <c r="Q569" s="499">
        <v>26702</v>
      </c>
      <c r="R569" s="499">
        <v>2400</v>
      </c>
      <c r="S569" s="499">
        <v>300</v>
      </c>
      <c r="T569" s="500">
        <v>0</v>
      </c>
      <c r="U569" s="501">
        <v>29402</v>
      </c>
      <c r="V569">
        <v>0</v>
      </c>
      <c r="W569" s="499">
        <v>0</v>
      </c>
      <c r="X569" s="499">
        <v>0</v>
      </c>
      <c r="Y569" s="500">
        <v>0</v>
      </c>
      <c r="Z569" s="501">
        <v>0</v>
      </c>
      <c r="AA569" s="494">
        <v>2</v>
      </c>
      <c r="AB569" s="379">
        <v>12000</v>
      </c>
      <c r="AC569" s="501">
        <v>29402</v>
      </c>
      <c r="AD569" s="379">
        <v>17402</v>
      </c>
    </row>
    <row r="570" spans="1:30" hidden="1">
      <c r="A570" s="462">
        <v>286</v>
      </c>
      <c r="B570" s="462" t="s">
        <v>406</v>
      </c>
      <c r="C570">
        <v>3548</v>
      </c>
      <c r="D570" s="462" t="s">
        <v>730</v>
      </c>
      <c r="E570">
        <v>3303</v>
      </c>
      <c r="F570" s="462" t="s">
        <v>1493</v>
      </c>
      <c r="G570" t="s">
        <v>1013</v>
      </c>
      <c r="H570" t="s">
        <v>473</v>
      </c>
      <c r="O570" s="72">
        <v>1</v>
      </c>
      <c r="P570">
        <v>1</v>
      </c>
      <c r="Q570" s="499">
        <v>13351</v>
      </c>
      <c r="R570" s="499">
        <v>1200</v>
      </c>
      <c r="S570" s="499">
        <v>150</v>
      </c>
      <c r="T570" s="500">
        <v>0</v>
      </c>
      <c r="U570" s="501">
        <v>14701</v>
      </c>
      <c r="V570">
        <v>0</v>
      </c>
      <c r="W570" s="499">
        <v>0</v>
      </c>
      <c r="X570" s="499">
        <v>0</v>
      </c>
      <c r="Y570" s="500">
        <v>0</v>
      </c>
      <c r="Z570" s="501">
        <v>0</v>
      </c>
      <c r="AA570" s="494">
        <v>1</v>
      </c>
      <c r="AB570" s="379">
        <v>6000</v>
      </c>
      <c r="AC570" s="501">
        <v>14701</v>
      </c>
      <c r="AD570" s="379">
        <v>8701</v>
      </c>
    </row>
    <row r="571" spans="1:30" hidden="1">
      <c r="A571" s="462">
        <v>286</v>
      </c>
      <c r="B571" s="462" t="s">
        <v>406</v>
      </c>
      <c r="C571">
        <v>3548</v>
      </c>
      <c r="D571" s="462" t="s">
        <v>730</v>
      </c>
      <c r="E571">
        <v>3310</v>
      </c>
      <c r="F571" s="462" t="s">
        <v>1045</v>
      </c>
      <c r="G571" t="s">
        <v>1013</v>
      </c>
      <c r="H571" t="s">
        <v>473</v>
      </c>
      <c r="O571" s="72">
        <v>2</v>
      </c>
      <c r="P571">
        <v>2</v>
      </c>
      <c r="Q571" s="499">
        <v>26702</v>
      </c>
      <c r="R571" s="499">
        <v>2400</v>
      </c>
      <c r="S571" s="499">
        <v>300</v>
      </c>
      <c r="T571" s="500">
        <v>0</v>
      </c>
      <c r="U571" s="501">
        <v>29402</v>
      </c>
      <c r="V571">
        <v>0</v>
      </c>
      <c r="W571" s="499">
        <v>0</v>
      </c>
      <c r="X571" s="499">
        <v>0</v>
      </c>
      <c r="Y571" s="500">
        <v>0</v>
      </c>
      <c r="Z571" s="501">
        <v>0</v>
      </c>
      <c r="AA571" s="494">
        <v>2</v>
      </c>
      <c r="AB571" s="379">
        <v>12000</v>
      </c>
      <c r="AC571" s="501">
        <v>29402</v>
      </c>
      <c r="AD571" s="379">
        <v>17402</v>
      </c>
    </row>
    <row r="572" spans="1:30" hidden="1">
      <c r="A572" s="463">
        <v>286</v>
      </c>
      <c r="B572" s="462" t="s">
        <v>406</v>
      </c>
      <c r="C572">
        <v>3548</v>
      </c>
      <c r="D572" s="462" t="s">
        <v>730</v>
      </c>
      <c r="E572">
        <v>5736</v>
      </c>
      <c r="F572" s="462" t="s">
        <v>1500</v>
      </c>
      <c r="G572" t="s">
        <v>1013</v>
      </c>
      <c r="H572" t="s">
        <v>473</v>
      </c>
      <c r="O572" s="72">
        <v>1</v>
      </c>
      <c r="P572">
        <v>1</v>
      </c>
      <c r="Q572" s="499">
        <v>13351</v>
      </c>
      <c r="R572" s="499">
        <v>1200</v>
      </c>
      <c r="S572" s="499">
        <v>150</v>
      </c>
      <c r="T572" s="500">
        <v>0</v>
      </c>
      <c r="U572" s="501">
        <v>14701</v>
      </c>
      <c r="V572">
        <v>0</v>
      </c>
      <c r="W572" s="499">
        <v>0</v>
      </c>
      <c r="X572" s="499">
        <v>0</v>
      </c>
      <c r="Y572" s="500">
        <v>0</v>
      </c>
      <c r="Z572" s="501">
        <v>0</v>
      </c>
      <c r="AA572" s="494">
        <v>1</v>
      </c>
      <c r="AB572" s="379">
        <v>6000</v>
      </c>
      <c r="AC572" s="501">
        <v>14701</v>
      </c>
      <c r="AD572" s="379">
        <v>8701</v>
      </c>
    </row>
    <row r="573" spans="1:30" hidden="1">
      <c r="A573" s="462">
        <v>289</v>
      </c>
      <c r="B573" s="462" t="s">
        <v>1659</v>
      </c>
      <c r="C573">
        <v>289</v>
      </c>
      <c r="D573" s="462" t="s">
        <v>1660</v>
      </c>
      <c r="E573">
        <v>1738</v>
      </c>
      <c r="F573" s="462" t="s">
        <v>1661</v>
      </c>
      <c r="G573" t="s">
        <v>1013</v>
      </c>
      <c r="H573" t="s">
        <v>473</v>
      </c>
      <c r="O573" s="72">
        <v>22</v>
      </c>
      <c r="P573">
        <v>22</v>
      </c>
      <c r="Q573" s="499">
        <v>293722</v>
      </c>
      <c r="R573" s="499">
        <v>26400</v>
      </c>
      <c r="S573" s="499">
        <v>3300</v>
      </c>
      <c r="T573" s="500">
        <v>0</v>
      </c>
      <c r="U573" s="501">
        <v>323422</v>
      </c>
      <c r="V573">
        <v>0</v>
      </c>
      <c r="W573" s="499">
        <v>0</v>
      </c>
      <c r="X573" s="499">
        <v>0</v>
      </c>
      <c r="Y573" s="500">
        <v>0</v>
      </c>
      <c r="Z573" s="501">
        <v>0</v>
      </c>
      <c r="AA573" s="494">
        <v>22</v>
      </c>
      <c r="AB573" s="379">
        <v>132000</v>
      </c>
      <c r="AC573" s="501">
        <v>323422</v>
      </c>
      <c r="AD573" s="379">
        <v>191422</v>
      </c>
    </row>
    <row r="574" spans="1:30" hidden="1">
      <c r="A574" s="462">
        <v>289</v>
      </c>
      <c r="B574" s="462" t="s">
        <v>1659</v>
      </c>
      <c r="C574">
        <v>289</v>
      </c>
      <c r="D574" s="462" t="s">
        <v>1660</v>
      </c>
      <c r="E574">
        <v>3389</v>
      </c>
      <c r="F574" s="462" t="s">
        <v>1662</v>
      </c>
      <c r="G574" t="s">
        <v>1013</v>
      </c>
      <c r="H574" t="s">
        <v>473</v>
      </c>
      <c r="M574">
        <v>1</v>
      </c>
      <c r="O574" s="72">
        <v>16</v>
      </c>
      <c r="P574">
        <v>15</v>
      </c>
      <c r="Q574" s="499">
        <v>200265</v>
      </c>
      <c r="R574" s="499">
        <v>18000</v>
      </c>
      <c r="S574" s="499">
        <v>2250</v>
      </c>
      <c r="T574" s="500">
        <v>0</v>
      </c>
      <c r="U574" s="501">
        <v>220515</v>
      </c>
      <c r="V574">
        <v>1</v>
      </c>
      <c r="W574" s="499">
        <v>13351</v>
      </c>
      <c r="X574" s="499">
        <v>1200</v>
      </c>
      <c r="Y574" s="500">
        <v>0</v>
      </c>
      <c r="Z574" s="501">
        <v>14551</v>
      </c>
      <c r="AA574" s="494">
        <v>16</v>
      </c>
      <c r="AB574" s="379">
        <v>96000</v>
      </c>
      <c r="AC574" s="501">
        <v>235066</v>
      </c>
      <c r="AD574" s="379">
        <v>139066</v>
      </c>
    </row>
    <row r="575" spans="1:30" hidden="1">
      <c r="A575" s="462">
        <v>289</v>
      </c>
      <c r="B575" s="462" t="s">
        <v>1659</v>
      </c>
      <c r="C575">
        <v>289</v>
      </c>
      <c r="D575" s="462" t="s">
        <v>1660</v>
      </c>
      <c r="E575">
        <v>3390</v>
      </c>
      <c r="F575" s="462" t="s">
        <v>1663</v>
      </c>
      <c r="G575" t="s">
        <v>1013</v>
      </c>
      <c r="H575" t="s">
        <v>473</v>
      </c>
      <c r="O575" s="72">
        <v>26</v>
      </c>
      <c r="P575">
        <v>26</v>
      </c>
      <c r="Q575" s="499">
        <v>347126</v>
      </c>
      <c r="R575" s="499">
        <v>31200</v>
      </c>
      <c r="S575" s="499">
        <v>3900</v>
      </c>
      <c r="T575" s="500">
        <v>0</v>
      </c>
      <c r="U575" s="501">
        <v>382226</v>
      </c>
      <c r="V575">
        <v>0</v>
      </c>
      <c r="W575" s="499">
        <v>0</v>
      </c>
      <c r="X575" s="499">
        <v>0</v>
      </c>
      <c r="Y575" s="500">
        <v>0</v>
      </c>
      <c r="Z575" s="501">
        <v>0</v>
      </c>
      <c r="AA575" s="494">
        <v>26</v>
      </c>
      <c r="AB575" s="379">
        <v>156000</v>
      </c>
      <c r="AC575" s="501">
        <v>382226</v>
      </c>
      <c r="AD575" s="379">
        <v>226226</v>
      </c>
    </row>
    <row r="576" spans="1:30" hidden="1">
      <c r="A576" s="463">
        <v>289</v>
      </c>
      <c r="B576" s="462" t="s">
        <v>1659</v>
      </c>
      <c r="C576">
        <v>289</v>
      </c>
      <c r="D576" s="462" t="s">
        <v>1660</v>
      </c>
      <c r="E576">
        <v>7881</v>
      </c>
      <c r="F576" s="462" t="s">
        <v>1664</v>
      </c>
      <c r="G576" t="s">
        <v>1013</v>
      </c>
      <c r="H576" t="s">
        <v>473</v>
      </c>
      <c r="O576" s="72">
        <v>8</v>
      </c>
      <c r="P576">
        <v>8</v>
      </c>
      <c r="Q576" s="499">
        <v>106808</v>
      </c>
      <c r="R576" s="499">
        <v>9600</v>
      </c>
      <c r="S576" s="499">
        <v>1200</v>
      </c>
      <c r="T576" s="500">
        <v>0</v>
      </c>
      <c r="U576" s="501">
        <v>117608</v>
      </c>
      <c r="V576">
        <v>0</v>
      </c>
      <c r="W576" s="499">
        <v>0</v>
      </c>
      <c r="X576" s="499">
        <v>0</v>
      </c>
      <c r="Y576" s="500">
        <v>0</v>
      </c>
      <c r="Z576" s="501">
        <v>0</v>
      </c>
      <c r="AA576" s="494">
        <v>8</v>
      </c>
      <c r="AB576" s="379">
        <v>48000</v>
      </c>
      <c r="AC576" s="501">
        <v>117608</v>
      </c>
      <c r="AD576" s="379">
        <v>69608</v>
      </c>
    </row>
    <row r="577" spans="1:30" hidden="1">
      <c r="A577" s="463">
        <v>295</v>
      </c>
      <c r="B577" s="462" t="s">
        <v>320</v>
      </c>
      <c r="C577">
        <v>3548</v>
      </c>
      <c r="D577" s="462" t="s">
        <v>730</v>
      </c>
      <c r="E577">
        <v>3285</v>
      </c>
      <c r="F577" s="462" t="s">
        <v>1485</v>
      </c>
      <c r="G577" t="s">
        <v>1013</v>
      </c>
      <c r="H577" t="s">
        <v>473</v>
      </c>
      <c r="O577" s="72">
        <v>1</v>
      </c>
      <c r="P577">
        <v>1</v>
      </c>
      <c r="Q577" s="499">
        <v>13351</v>
      </c>
      <c r="R577" s="499">
        <v>1200</v>
      </c>
      <c r="S577" s="499">
        <v>150</v>
      </c>
      <c r="T577" s="500">
        <v>0</v>
      </c>
      <c r="U577" s="501">
        <v>14701</v>
      </c>
      <c r="V577">
        <v>0</v>
      </c>
      <c r="W577" s="499">
        <v>0</v>
      </c>
      <c r="X577" s="499">
        <v>0</v>
      </c>
      <c r="Y577" s="500">
        <v>0</v>
      </c>
      <c r="Z577" s="501">
        <v>0</v>
      </c>
      <c r="AA577" s="494">
        <v>1</v>
      </c>
      <c r="AB577" s="379">
        <v>6000</v>
      </c>
      <c r="AC577" s="501">
        <v>14701</v>
      </c>
      <c r="AD577" s="379">
        <v>8701</v>
      </c>
    </row>
    <row r="578" spans="1:30" hidden="1">
      <c r="A578" s="463">
        <v>296</v>
      </c>
      <c r="B578" s="462" t="s">
        <v>628</v>
      </c>
      <c r="C578">
        <v>9011</v>
      </c>
      <c r="D578" s="462" t="s">
        <v>1576</v>
      </c>
      <c r="E578">
        <v>7502</v>
      </c>
      <c r="F578" s="462" t="s">
        <v>1026</v>
      </c>
      <c r="G578" t="s">
        <v>1027</v>
      </c>
      <c r="H578" t="s">
        <v>474</v>
      </c>
      <c r="M578">
        <v>3</v>
      </c>
      <c r="O578" s="72">
        <v>22</v>
      </c>
      <c r="P578">
        <v>19</v>
      </c>
      <c r="Q578" s="499">
        <v>253669</v>
      </c>
      <c r="R578" s="499">
        <v>76000</v>
      </c>
      <c r="S578" s="499">
        <v>9500</v>
      </c>
      <c r="T578" s="500">
        <v>0</v>
      </c>
      <c r="U578" s="501">
        <v>339169</v>
      </c>
      <c r="V578">
        <v>3</v>
      </c>
      <c r="W578" s="499">
        <v>40053</v>
      </c>
      <c r="X578" s="499">
        <v>12000</v>
      </c>
      <c r="Y578" s="500">
        <v>0</v>
      </c>
      <c r="Z578" s="501">
        <v>52053</v>
      </c>
      <c r="AA578" s="494">
        <v>22</v>
      </c>
      <c r="AB578" s="379">
        <v>132000</v>
      </c>
      <c r="AC578" s="501">
        <v>391222</v>
      </c>
      <c r="AD578" s="379">
        <v>259222</v>
      </c>
    </row>
    <row r="579" spans="1:30" hidden="1">
      <c r="A579" s="463">
        <v>297</v>
      </c>
      <c r="B579" s="462" t="s">
        <v>632</v>
      </c>
      <c r="C579">
        <v>9011</v>
      </c>
      <c r="D579" s="462" t="s">
        <v>1576</v>
      </c>
      <c r="E579">
        <v>7502</v>
      </c>
      <c r="F579" s="462" t="s">
        <v>1026</v>
      </c>
      <c r="G579" t="s">
        <v>1027</v>
      </c>
      <c r="H579" t="s">
        <v>474</v>
      </c>
      <c r="M579">
        <v>5</v>
      </c>
      <c r="O579" s="72">
        <v>22</v>
      </c>
      <c r="P579">
        <v>17</v>
      </c>
      <c r="Q579" s="499">
        <v>226967</v>
      </c>
      <c r="R579" s="499">
        <v>68000</v>
      </c>
      <c r="S579" s="499">
        <v>8500</v>
      </c>
      <c r="T579" s="500">
        <v>0</v>
      </c>
      <c r="U579" s="501">
        <v>303467</v>
      </c>
      <c r="V579">
        <v>5</v>
      </c>
      <c r="W579" s="499">
        <v>66755</v>
      </c>
      <c r="X579" s="499">
        <v>20000</v>
      </c>
      <c r="Y579" s="500">
        <v>0</v>
      </c>
      <c r="Z579" s="501">
        <v>86755</v>
      </c>
      <c r="AA579" s="494">
        <v>22</v>
      </c>
      <c r="AB579" s="379">
        <v>132000</v>
      </c>
      <c r="AC579" s="501">
        <v>390222</v>
      </c>
      <c r="AD579" s="379">
        <v>258222</v>
      </c>
    </row>
    <row r="580" spans="1:30" hidden="1">
      <c r="A580" s="462">
        <v>298</v>
      </c>
      <c r="B580" s="462" t="s">
        <v>633</v>
      </c>
      <c r="C580">
        <v>298</v>
      </c>
      <c r="D580" s="462" t="s">
        <v>1688</v>
      </c>
      <c r="E580">
        <v>1758</v>
      </c>
      <c r="F580" s="462" t="s">
        <v>1020</v>
      </c>
      <c r="G580" t="s">
        <v>1013</v>
      </c>
      <c r="H580" t="s">
        <v>474</v>
      </c>
      <c r="M580">
        <v>14</v>
      </c>
      <c r="O580" s="72">
        <v>17</v>
      </c>
      <c r="P580">
        <v>3</v>
      </c>
      <c r="Q580" s="499">
        <v>40053</v>
      </c>
      <c r="R580" s="499">
        <v>12000</v>
      </c>
      <c r="S580" s="499">
        <v>1500</v>
      </c>
      <c r="T580" s="500">
        <v>0</v>
      </c>
      <c r="U580" s="501">
        <v>53553</v>
      </c>
      <c r="V580">
        <v>14</v>
      </c>
      <c r="W580" s="499">
        <v>186914</v>
      </c>
      <c r="X580" s="499">
        <v>56000</v>
      </c>
      <c r="Y580" s="500">
        <v>0</v>
      </c>
      <c r="Z580" s="501">
        <v>242914</v>
      </c>
      <c r="AA580" s="494">
        <v>17</v>
      </c>
      <c r="AB580" s="379">
        <v>102000</v>
      </c>
      <c r="AC580" s="501">
        <v>296467</v>
      </c>
      <c r="AD580" s="379">
        <v>194467</v>
      </c>
    </row>
    <row r="581" spans="1:30" hidden="1">
      <c r="A581" s="462">
        <v>298</v>
      </c>
      <c r="B581" s="462" t="s">
        <v>633</v>
      </c>
      <c r="C581">
        <v>298</v>
      </c>
      <c r="D581" s="462" t="s">
        <v>1688</v>
      </c>
      <c r="E581">
        <v>3310</v>
      </c>
      <c r="F581" s="462" t="s">
        <v>1045</v>
      </c>
      <c r="G581" t="s">
        <v>1013</v>
      </c>
      <c r="H581" t="s">
        <v>474</v>
      </c>
      <c r="O581" s="72">
        <v>1</v>
      </c>
      <c r="P581">
        <v>1</v>
      </c>
      <c r="Q581" s="499">
        <v>13351</v>
      </c>
      <c r="R581" s="499">
        <v>4000</v>
      </c>
      <c r="S581" s="499">
        <v>500</v>
      </c>
      <c r="T581" s="500">
        <v>0</v>
      </c>
      <c r="U581" s="501">
        <v>17851</v>
      </c>
      <c r="V581">
        <v>0</v>
      </c>
      <c r="W581" s="499">
        <v>0</v>
      </c>
      <c r="X581" s="499">
        <v>0</v>
      </c>
      <c r="Y581" s="500">
        <v>0</v>
      </c>
      <c r="Z581" s="501">
        <v>0</v>
      </c>
      <c r="AA581" s="494">
        <v>1</v>
      </c>
      <c r="AB581" s="379">
        <v>6000</v>
      </c>
      <c r="AC581" s="501">
        <v>17851</v>
      </c>
      <c r="AD581" s="379">
        <v>11851</v>
      </c>
    </row>
    <row r="582" spans="1:30" hidden="1">
      <c r="A582" s="462">
        <v>298</v>
      </c>
      <c r="B582" s="462" t="s">
        <v>633</v>
      </c>
      <c r="C582">
        <v>298</v>
      </c>
      <c r="D582" s="462" t="s">
        <v>1688</v>
      </c>
      <c r="E582">
        <v>3323</v>
      </c>
      <c r="F582" s="462" t="s">
        <v>1689</v>
      </c>
      <c r="G582" t="s">
        <v>1013</v>
      </c>
      <c r="H582" t="s">
        <v>474</v>
      </c>
      <c r="O582" s="72">
        <v>1</v>
      </c>
      <c r="P582">
        <v>1</v>
      </c>
      <c r="Q582" s="499">
        <v>13351</v>
      </c>
      <c r="R582" s="499">
        <v>4000</v>
      </c>
      <c r="S582" s="499">
        <v>500</v>
      </c>
      <c r="T582" s="500">
        <v>0</v>
      </c>
      <c r="U582" s="501">
        <v>17851</v>
      </c>
      <c r="V582">
        <v>0</v>
      </c>
      <c r="W582" s="499">
        <v>0</v>
      </c>
      <c r="X582" s="499">
        <v>0</v>
      </c>
      <c r="Y582" s="500">
        <v>0</v>
      </c>
      <c r="Z582" s="501">
        <v>0</v>
      </c>
      <c r="AA582" s="494">
        <v>1</v>
      </c>
      <c r="AB582" s="379">
        <v>6000</v>
      </c>
      <c r="AC582" s="501">
        <v>17851</v>
      </c>
      <c r="AD582" s="379">
        <v>11851</v>
      </c>
    </row>
    <row r="583" spans="1:30" hidden="1">
      <c r="A583" s="462">
        <v>298</v>
      </c>
      <c r="B583" s="462" t="s">
        <v>633</v>
      </c>
      <c r="C583">
        <v>298</v>
      </c>
      <c r="D583" s="462" t="s">
        <v>1688</v>
      </c>
      <c r="E583">
        <v>3342</v>
      </c>
      <c r="F583" s="462" t="s">
        <v>1057</v>
      </c>
      <c r="G583" t="s">
        <v>1013</v>
      </c>
      <c r="H583" t="s">
        <v>474</v>
      </c>
      <c r="O583" s="72">
        <v>2</v>
      </c>
      <c r="P583">
        <v>2</v>
      </c>
      <c r="Q583" s="499">
        <v>26702</v>
      </c>
      <c r="R583" s="499">
        <v>8000</v>
      </c>
      <c r="S583" s="499">
        <v>1000</v>
      </c>
      <c r="T583" s="500">
        <v>0</v>
      </c>
      <c r="U583" s="501">
        <v>35702</v>
      </c>
      <c r="V583">
        <v>0</v>
      </c>
      <c r="W583" s="499">
        <v>0</v>
      </c>
      <c r="X583" s="499">
        <v>0</v>
      </c>
      <c r="Y583" s="500">
        <v>0</v>
      </c>
      <c r="Z583" s="501">
        <v>0</v>
      </c>
      <c r="AA583" s="494">
        <v>2</v>
      </c>
      <c r="AB583" s="379">
        <v>12000</v>
      </c>
      <c r="AC583" s="501">
        <v>35702</v>
      </c>
      <c r="AD583" s="379">
        <v>23702</v>
      </c>
    </row>
    <row r="584" spans="1:30" hidden="1">
      <c r="A584" s="462">
        <v>298</v>
      </c>
      <c r="B584" s="462" t="s">
        <v>633</v>
      </c>
      <c r="C584">
        <v>298</v>
      </c>
      <c r="D584" s="462" t="s">
        <v>1688</v>
      </c>
      <c r="E584">
        <v>3351</v>
      </c>
      <c r="F584" s="462" t="s">
        <v>1486</v>
      </c>
      <c r="G584" t="s">
        <v>1013</v>
      </c>
      <c r="H584" t="s">
        <v>474</v>
      </c>
      <c r="J584">
        <v>1</v>
      </c>
      <c r="O584" s="72">
        <v>1</v>
      </c>
      <c r="P584">
        <v>0</v>
      </c>
      <c r="Q584" s="499">
        <v>0</v>
      </c>
      <c r="R584" s="499">
        <v>0</v>
      </c>
      <c r="S584" s="499">
        <v>0</v>
      </c>
      <c r="T584" s="500">
        <v>0</v>
      </c>
      <c r="U584" s="501">
        <v>0</v>
      </c>
      <c r="V584">
        <v>1</v>
      </c>
      <c r="W584" s="499">
        <v>13351</v>
      </c>
      <c r="X584" s="499">
        <v>4000</v>
      </c>
      <c r="Y584" s="500">
        <v>0</v>
      </c>
      <c r="Z584" s="501">
        <v>17351</v>
      </c>
      <c r="AA584" s="494">
        <v>1</v>
      </c>
      <c r="AB584" s="379">
        <v>6000</v>
      </c>
      <c r="AC584" s="501">
        <v>17351</v>
      </c>
      <c r="AD584" s="379">
        <v>11351</v>
      </c>
    </row>
    <row r="585" spans="1:30" hidden="1">
      <c r="A585" s="462">
        <v>298</v>
      </c>
      <c r="B585" s="462" t="s">
        <v>633</v>
      </c>
      <c r="C585">
        <v>298</v>
      </c>
      <c r="D585" s="462" t="s">
        <v>1688</v>
      </c>
      <c r="E585">
        <v>3395</v>
      </c>
      <c r="F585" s="462" t="s">
        <v>1479</v>
      </c>
      <c r="G585" t="s">
        <v>1013</v>
      </c>
      <c r="H585" t="s">
        <v>474</v>
      </c>
      <c r="J585">
        <v>1</v>
      </c>
      <c r="O585" s="72">
        <v>1</v>
      </c>
      <c r="P585">
        <v>0</v>
      </c>
      <c r="Q585" s="499">
        <v>0</v>
      </c>
      <c r="R585" s="499">
        <v>0</v>
      </c>
      <c r="S585" s="499">
        <v>0</v>
      </c>
      <c r="T585" s="500">
        <v>0</v>
      </c>
      <c r="U585" s="501">
        <v>0</v>
      </c>
      <c r="V585">
        <v>1</v>
      </c>
      <c r="W585" s="499">
        <v>13351</v>
      </c>
      <c r="X585" s="499">
        <v>4000</v>
      </c>
      <c r="Y585" s="500">
        <v>0</v>
      </c>
      <c r="Z585" s="501">
        <v>17351</v>
      </c>
      <c r="AA585" s="494">
        <v>1</v>
      </c>
      <c r="AB585" s="379">
        <v>6000</v>
      </c>
      <c r="AC585" s="501">
        <v>17351</v>
      </c>
      <c r="AD585" s="379">
        <v>11351</v>
      </c>
    </row>
    <row r="586" spans="1:30" hidden="1">
      <c r="A586" s="462">
        <v>298</v>
      </c>
      <c r="B586" s="462" t="s">
        <v>633</v>
      </c>
      <c r="C586">
        <v>298</v>
      </c>
      <c r="D586" s="462" t="s">
        <v>1688</v>
      </c>
      <c r="E586">
        <v>5725</v>
      </c>
      <c r="F586" s="462" t="s">
        <v>1038</v>
      </c>
      <c r="G586" t="s">
        <v>1013</v>
      </c>
      <c r="H586" t="s">
        <v>474</v>
      </c>
      <c r="O586" s="72">
        <v>1</v>
      </c>
      <c r="P586">
        <v>1</v>
      </c>
      <c r="Q586" s="499">
        <v>13351</v>
      </c>
      <c r="R586" s="499">
        <v>4000</v>
      </c>
      <c r="S586" s="499">
        <v>500</v>
      </c>
      <c r="T586" s="500">
        <v>0</v>
      </c>
      <c r="U586" s="501">
        <v>17851</v>
      </c>
      <c r="V586">
        <v>0</v>
      </c>
      <c r="W586" s="499">
        <v>0</v>
      </c>
      <c r="X586" s="499">
        <v>0</v>
      </c>
      <c r="Y586" s="500">
        <v>0</v>
      </c>
      <c r="Z586" s="501">
        <v>0</v>
      </c>
      <c r="AA586" s="494">
        <v>1</v>
      </c>
      <c r="AB586" s="379">
        <v>6000</v>
      </c>
      <c r="AC586" s="501">
        <v>17851</v>
      </c>
      <c r="AD586" s="379">
        <v>11851</v>
      </c>
    </row>
    <row r="587" spans="1:30" hidden="1">
      <c r="A587" s="462">
        <v>298</v>
      </c>
      <c r="B587" s="462" t="s">
        <v>633</v>
      </c>
      <c r="C587">
        <v>298</v>
      </c>
      <c r="D587" s="462" t="s">
        <v>1688</v>
      </c>
      <c r="E587">
        <v>9331</v>
      </c>
      <c r="F587" s="462" t="s">
        <v>1690</v>
      </c>
      <c r="G587" t="s">
        <v>1013</v>
      </c>
      <c r="H587" t="s">
        <v>474</v>
      </c>
      <c r="J587">
        <v>1</v>
      </c>
      <c r="O587" s="72">
        <v>1</v>
      </c>
      <c r="P587">
        <v>0</v>
      </c>
      <c r="Q587" s="499">
        <v>0</v>
      </c>
      <c r="R587" s="499">
        <v>0</v>
      </c>
      <c r="S587" s="499">
        <v>0</v>
      </c>
      <c r="T587" s="500">
        <v>0</v>
      </c>
      <c r="U587" s="501">
        <v>0</v>
      </c>
      <c r="V587">
        <v>1</v>
      </c>
      <c r="W587" s="499">
        <v>13351</v>
      </c>
      <c r="X587" s="499">
        <v>4000</v>
      </c>
      <c r="Y587" s="500">
        <v>0</v>
      </c>
      <c r="Z587" s="501">
        <v>17351</v>
      </c>
      <c r="AA587" s="494">
        <v>1</v>
      </c>
      <c r="AB587" s="379">
        <v>6000</v>
      </c>
      <c r="AC587" s="501">
        <v>17351</v>
      </c>
      <c r="AD587" s="379">
        <v>11351</v>
      </c>
    </row>
    <row r="588" spans="1:30" hidden="1">
      <c r="A588" s="463">
        <v>298</v>
      </c>
      <c r="B588" s="462" t="s">
        <v>633</v>
      </c>
      <c r="C588">
        <v>9011</v>
      </c>
      <c r="D588" s="462" t="s">
        <v>1576</v>
      </c>
      <c r="E588">
        <v>7502</v>
      </c>
      <c r="F588" s="462" t="s">
        <v>1026</v>
      </c>
      <c r="G588" t="s">
        <v>1027</v>
      </c>
      <c r="H588" t="s">
        <v>474</v>
      </c>
      <c r="M588">
        <v>2</v>
      </c>
      <c r="O588" s="72">
        <v>15</v>
      </c>
      <c r="P588">
        <v>13</v>
      </c>
      <c r="Q588" s="499">
        <v>173563</v>
      </c>
      <c r="R588" s="499">
        <v>52000</v>
      </c>
      <c r="S588" s="499">
        <v>6500</v>
      </c>
      <c r="T588" s="500">
        <v>0</v>
      </c>
      <c r="U588" s="501">
        <v>232063</v>
      </c>
      <c r="V588">
        <v>2</v>
      </c>
      <c r="W588" s="499">
        <v>26702</v>
      </c>
      <c r="X588" s="499">
        <v>8000</v>
      </c>
      <c r="Y588" s="500">
        <v>0</v>
      </c>
      <c r="Z588" s="501">
        <v>34702</v>
      </c>
      <c r="AA588" s="494">
        <v>15</v>
      </c>
      <c r="AB588" s="379">
        <v>90000</v>
      </c>
      <c r="AC588" s="501">
        <v>266765</v>
      </c>
      <c r="AD588" s="379">
        <v>176765</v>
      </c>
    </row>
    <row r="589" spans="1:30" hidden="1">
      <c r="A589" s="463">
        <v>299</v>
      </c>
      <c r="B589" s="462" t="s">
        <v>631</v>
      </c>
      <c r="C589">
        <v>9011</v>
      </c>
      <c r="D589" s="462" t="s">
        <v>1576</v>
      </c>
      <c r="E589">
        <v>7502</v>
      </c>
      <c r="F589" s="462" t="s">
        <v>1026</v>
      </c>
      <c r="G589" t="s">
        <v>1027</v>
      </c>
      <c r="H589" t="s">
        <v>474</v>
      </c>
      <c r="M589">
        <v>3</v>
      </c>
      <c r="O589" s="72">
        <v>12</v>
      </c>
      <c r="P589">
        <v>9</v>
      </c>
      <c r="Q589" s="499">
        <v>120159</v>
      </c>
      <c r="R589" s="499">
        <v>36000</v>
      </c>
      <c r="S589" s="499">
        <v>4500</v>
      </c>
      <c r="T589" s="500">
        <v>0</v>
      </c>
      <c r="U589" s="501">
        <v>160659</v>
      </c>
      <c r="V589">
        <v>3</v>
      </c>
      <c r="W589" s="499">
        <v>40053</v>
      </c>
      <c r="X589" s="499">
        <v>12000</v>
      </c>
      <c r="Y589" s="500">
        <v>0</v>
      </c>
      <c r="Z589" s="501">
        <v>52053</v>
      </c>
      <c r="AA589" s="494">
        <v>12</v>
      </c>
      <c r="AB589" s="379">
        <v>72000</v>
      </c>
      <c r="AC589" s="501">
        <v>212712</v>
      </c>
      <c r="AD589" s="379">
        <v>140712</v>
      </c>
    </row>
    <row r="590" spans="1:30" hidden="1">
      <c r="A590" s="463">
        <v>300</v>
      </c>
      <c r="B590" s="462" t="s">
        <v>630</v>
      </c>
      <c r="C590">
        <v>9011</v>
      </c>
      <c r="D590" s="462" t="s">
        <v>1576</v>
      </c>
      <c r="E590">
        <v>7502</v>
      </c>
      <c r="F590" s="462" t="s">
        <v>1026</v>
      </c>
      <c r="G590" t="s">
        <v>1027</v>
      </c>
      <c r="H590" t="s">
        <v>474</v>
      </c>
      <c r="M590">
        <v>2</v>
      </c>
      <c r="O590" s="72">
        <v>2</v>
      </c>
      <c r="P590">
        <v>0</v>
      </c>
      <c r="Q590" s="499">
        <v>0</v>
      </c>
      <c r="R590" s="499">
        <v>0</v>
      </c>
      <c r="S590" s="499">
        <v>0</v>
      </c>
      <c r="T590" s="500">
        <v>0</v>
      </c>
      <c r="U590" s="501">
        <v>0</v>
      </c>
      <c r="V590">
        <v>2</v>
      </c>
      <c r="W590" s="499">
        <v>26702</v>
      </c>
      <c r="X590" s="499">
        <v>8000</v>
      </c>
      <c r="Y590" s="500">
        <v>0</v>
      </c>
      <c r="Z590" s="501">
        <v>34702</v>
      </c>
      <c r="AA590" s="494">
        <v>2</v>
      </c>
      <c r="AB590" s="379">
        <v>12000</v>
      </c>
      <c r="AC590" s="501">
        <v>34702</v>
      </c>
      <c r="AD590" s="379">
        <v>22702</v>
      </c>
    </row>
    <row r="591" spans="1:30" hidden="1">
      <c r="A591" s="463">
        <v>301</v>
      </c>
      <c r="B591" s="462" t="s">
        <v>627</v>
      </c>
      <c r="C591">
        <v>318</v>
      </c>
      <c r="D591" s="462" t="s">
        <v>1692</v>
      </c>
      <c r="E591">
        <v>1758</v>
      </c>
      <c r="F591" s="462" t="s">
        <v>1020</v>
      </c>
      <c r="G591" t="s">
        <v>1013</v>
      </c>
      <c r="H591" t="s">
        <v>474</v>
      </c>
      <c r="O591" s="72">
        <v>1</v>
      </c>
      <c r="P591">
        <v>1</v>
      </c>
      <c r="Q591" s="499">
        <v>13351</v>
      </c>
      <c r="R591" s="499">
        <v>4000</v>
      </c>
      <c r="S591" s="499">
        <v>500</v>
      </c>
      <c r="T591" s="500">
        <v>0</v>
      </c>
      <c r="U591" s="501">
        <v>17851</v>
      </c>
      <c r="V591">
        <v>0</v>
      </c>
      <c r="W591" s="499">
        <v>0</v>
      </c>
      <c r="X591" s="499">
        <v>0</v>
      </c>
      <c r="Y591" s="500">
        <v>0</v>
      </c>
      <c r="Z591" s="501">
        <v>0</v>
      </c>
      <c r="AA591" s="494">
        <v>1</v>
      </c>
      <c r="AB591" s="379">
        <v>6000</v>
      </c>
      <c r="AC591" s="501">
        <v>17851</v>
      </c>
      <c r="AD591" s="379">
        <v>11851</v>
      </c>
    </row>
    <row r="592" spans="1:30" hidden="1">
      <c r="A592" s="462">
        <v>302</v>
      </c>
      <c r="B592" s="462" t="s">
        <v>629</v>
      </c>
      <c r="C592">
        <v>302</v>
      </c>
      <c r="D592" s="462" t="s">
        <v>1694</v>
      </c>
      <c r="E592">
        <v>5725</v>
      </c>
      <c r="F592" s="462" t="s">
        <v>1038</v>
      </c>
      <c r="G592" t="s">
        <v>1013</v>
      </c>
      <c r="H592" t="s">
        <v>474</v>
      </c>
      <c r="O592" s="72">
        <v>2</v>
      </c>
      <c r="P592">
        <v>2</v>
      </c>
      <c r="Q592" s="499">
        <v>26702</v>
      </c>
      <c r="R592" s="499">
        <v>8000</v>
      </c>
      <c r="S592" s="499">
        <v>1000</v>
      </c>
      <c r="T592" s="500">
        <v>0</v>
      </c>
      <c r="U592" s="501">
        <v>35702</v>
      </c>
      <c r="V592">
        <v>0</v>
      </c>
      <c r="W592" s="499">
        <v>0</v>
      </c>
      <c r="X592" s="499">
        <v>0</v>
      </c>
      <c r="Y592" s="500">
        <v>0</v>
      </c>
      <c r="Z592" s="501">
        <v>0</v>
      </c>
      <c r="AA592" s="494">
        <v>2</v>
      </c>
      <c r="AB592" s="379">
        <v>12000</v>
      </c>
      <c r="AC592" s="501">
        <v>35702</v>
      </c>
      <c r="AD592" s="379">
        <v>23702</v>
      </c>
    </row>
    <row r="593" spans="1:30" hidden="1">
      <c r="A593" s="463">
        <v>302</v>
      </c>
      <c r="B593" s="462" t="s">
        <v>629</v>
      </c>
      <c r="C593">
        <v>9011</v>
      </c>
      <c r="D593" s="462" t="s">
        <v>1576</v>
      </c>
      <c r="E593">
        <v>7502</v>
      </c>
      <c r="F593" s="462" t="s">
        <v>1026</v>
      </c>
      <c r="G593" t="s">
        <v>1027</v>
      </c>
      <c r="H593" t="s">
        <v>474</v>
      </c>
      <c r="O593" s="72">
        <v>4</v>
      </c>
      <c r="P593">
        <v>4</v>
      </c>
      <c r="Q593" s="499">
        <v>53404</v>
      </c>
      <c r="R593" s="499">
        <v>16000</v>
      </c>
      <c r="S593" s="499">
        <v>2000</v>
      </c>
      <c r="T593" s="500">
        <v>0</v>
      </c>
      <c r="U593" s="501">
        <v>71404</v>
      </c>
      <c r="V593">
        <v>0</v>
      </c>
      <c r="W593" s="499">
        <v>0</v>
      </c>
      <c r="X593" s="499">
        <v>0</v>
      </c>
      <c r="Y593" s="500">
        <v>0</v>
      </c>
      <c r="Z593" s="501">
        <v>0</v>
      </c>
      <c r="AA593" s="494">
        <v>4</v>
      </c>
      <c r="AB593" s="379">
        <v>24000</v>
      </c>
      <c r="AC593" s="501">
        <v>71404</v>
      </c>
      <c r="AD593" s="379">
        <v>47404</v>
      </c>
    </row>
    <row r="594" spans="1:30">
      <c r="A594" s="462">
        <v>304</v>
      </c>
      <c r="B594" s="462" t="s">
        <v>641</v>
      </c>
      <c r="C594">
        <v>3548</v>
      </c>
      <c r="D594" s="462" t="s">
        <v>730</v>
      </c>
      <c r="E594">
        <v>1758</v>
      </c>
      <c r="F594" s="462" t="s">
        <v>1020</v>
      </c>
      <c r="G594" t="s">
        <v>1013</v>
      </c>
      <c r="H594" t="s">
        <v>474</v>
      </c>
      <c r="J594">
        <v>2</v>
      </c>
      <c r="O594" s="72">
        <v>9</v>
      </c>
      <c r="P594">
        <v>7</v>
      </c>
      <c r="Q594" s="499">
        <v>93457</v>
      </c>
      <c r="R594" s="499">
        <v>28000</v>
      </c>
      <c r="S594" s="499">
        <v>3500</v>
      </c>
      <c r="T594" s="500">
        <v>0</v>
      </c>
      <c r="U594" s="501">
        <v>124957</v>
      </c>
      <c r="V594">
        <v>2</v>
      </c>
      <c r="W594" s="499">
        <v>26702</v>
      </c>
      <c r="X594" s="499">
        <v>8000</v>
      </c>
      <c r="Y594" s="500">
        <v>0</v>
      </c>
      <c r="Z594" s="501">
        <v>34702</v>
      </c>
      <c r="AA594" s="494">
        <v>9</v>
      </c>
      <c r="AB594" s="379">
        <v>54000</v>
      </c>
      <c r="AC594" s="501">
        <v>159659</v>
      </c>
      <c r="AD594" s="379">
        <v>105659</v>
      </c>
    </row>
    <row r="595" spans="1:30">
      <c r="A595" s="462">
        <v>304</v>
      </c>
      <c r="B595" s="462" t="s">
        <v>641</v>
      </c>
      <c r="C595">
        <v>3548</v>
      </c>
      <c r="D595" s="462" t="s">
        <v>730</v>
      </c>
      <c r="E595">
        <v>1765</v>
      </c>
      <c r="F595" s="462" t="s">
        <v>1080</v>
      </c>
      <c r="G595" t="s">
        <v>1013</v>
      </c>
      <c r="H595" t="s">
        <v>474</v>
      </c>
      <c r="J595">
        <v>2</v>
      </c>
      <c r="O595" s="72">
        <v>2</v>
      </c>
      <c r="P595">
        <v>0</v>
      </c>
      <c r="Q595" s="499">
        <v>0</v>
      </c>
      <c r="R595" s="499">
        <v>0</v>
      </c>
      <c r="S595" s="499">
        <v>0</v>
      </c>
      <c r="T595" s="500">
        <v>0</v>
      </c>
      <c r="U595" s="501">
        <v>0</v>
      </c>
      <c r="V595">
        <v>2</v>
      </c>
      <c r="W595" s="499">
        <v>26702</v>
      </c>
      <c r="X595" s="499">
        <v>8000</v>
      </c>
      <c r="Y595" s="500">
        <v>0</v>
      </c>
      <c r="Z595" s="501">
        <v>34702</v>
      </c>
      <c r="AA595" s="494">
        <v>2</v>
      </c>
      <c r="AB595" s="379">
        <v>12000</v>
      </c>
      <c r="AC595" s="501">
        <v>34702</v>
      </c>
      <c r="AD595" s="379">
        <v>22702</v>
      </c>
    </row>
    <row r="596" spans="1:30">
      <c r="A596" s="463">
        <v>304</v>
      </c>
      <c r="B596" s="462" t="s">
        <v>641</v>
      </c>
      <c r="C596">
        <v>3548</v>
      </c>
      <c r="D596" s="462" t="s">
        <v>730</v>
      </c>
      <c r="E596">
        <v>3548</v>
      </c>
      <c r="F596" s="462" t="s">
        <v>1081</v>
      </c>
      <c r="G596" t="s">
        <v>1013</v>
      </c>
      <c r="H596" t="s">
        <v>474</v>
      </c>
      <c r="J596">
        <v>4</v>
      </c>
      <c r="O596" s="72">
        <v>11</v>
      </c>
      <c r="P596">
        <v>7</v>
      </c>
      <c r="Q596" s="499">
        <v>93457</v>
      </c>
      <c r="R596" s="499">
        <v>28000</v>
      </c>
      <c r="S596" s="499">
        <v>3500</v>
      </c>
      <c r="T596" s="500">
        <v>0</v>
      </c>
      <c r="U596" s="501">
        <v>124957</v>
      </c>
      <c r="V596">
        <v>4</v>
      </c>
      <c r="W596" s="499">
        <v>53404</v>
      </c>
      <c r="X596" s="499">
        <v>16000</v>
      </c>
      <c r="Y596" s="500">
        <v>0</v>
      </c>
      <c r="Z596" s="501">
        <v>69404</v>
      </c>
      <c r="AA596" s="494">
        <v>11</v>
      </c>
      <c r="AB596" s="379">
        <v>66000</v>
      </c>
      <c r="AC596" s="501">
        <v>194361</v>
      </c>
      <c r="AD596" s="379">
        <v>128361</v>
      </c>
    </row>
    <row r="597" spans="1:30" hidden="1">
      <c r="A597" s="463">
        <v>307</v>
      </c>
      <c r="B597" s="462" t="s">
        <v>636</v>
      </c>
      <c r="C597">
        <v>9011</v>
      </c>
      <c r="D597" s="462" t="s">
        <v>1576</v>
      </c>
      <c r="E597">
        <v>7502</v>
      </c>
      <c r="F597" s="462" t="s">
        <v>1026</v>
      </c>
      <c r="G597" t="s">
        <v>1027</v>
      </c>
      <c r="H597" t="s">
        <v>474</v>
      </c>
      <c r="M597">
        <v>3</v>
      </c>
      <c r="O597" s="72">
        <v>3</v>
      </c>
      <c r="P597">
        <v>0</v>
      </c>
      <c r="Q597" s="499">
        <v>0</v>
      </c>
      <c r="R597" s="499">
        <v>0</v>
      </c>
      <c r="S597" s="499">
        <v>0</v>
      </c>
      <c r="T597" s="500">
        <v>0</v>
      </c>
      <c r="U597" s="501">
        <v>0</v>
      </c>
      <c r="V597">
        <v>3</v>
      </c>
      <c r="W597" s="499">
        <v>40053</v>
      </c>
      <c r="X597" s="499">
        <v>12000</v>
      </c>
      <c r="Y597" s="500">
        <v>0</v>
      </c>
      <c r="Z597" s="501">
        <v>52053</v>
      </c>
      <c r="AA597" s="494">
        <v>3</v>
      </c>
      <c r="AB597" s="379">
        <v>18000</v>
      </c>
      <c r="AC597" s="501">
        <v>52053</v>
      </c>
      <c r="AD597" s="379">
        <v>34053</v>
      </c>
    </row>
    <row r="598" spans="1:30" hidden="1">
      <c r="A598" s="462">
        <v>311</v>
      </c>
      <c r="B598" s="462" t="s">
        <v>640</v>
      </c>
      <c r="C598">
        <v>311</v>
      </c>
      <c r="D598" s="462" t="s">
        <v>1701</v>
      </c>
      <c r="E598">
        <v>1758</v>
      </c>
      <c r="F598" s="462" t="s">
        <v>1020</v>
      </c>
      <c r="G598" t="s">
        <v>1013</v>
      </c>
      <c r="H598" t="s">
        <v>474</v>
      </c>
      <c r="J598">
        <v>1</v>
      </c>
      <c r="M598">
        <v>9</v>
      </c>
      <c r="O598" s="72">
        <v>11</v>
      </c>
      <c r="P598">
        <v>1</v>
      </c>
      <c r="Q598" s="499">
        <v>13351</v>
      </c>
      <c r="R598" s="499">
        <v>4000</v>
      </c>
      <c r="S598" s="499">
        <v>500</v>
      </c>
      <c r="T598" s="500">
        <v>0</v>
      </c>
      <c r="U598" s="501">
        <v>17851</v>
      </c>
      <c r="V598">
        <v>10</v>
      </c>
      <c r="W598" s="499">
        <v>133510</v>
      </c>
      <c r="X598" s="499">
        <v>40000</v>
      </c>
      <c r="Y598" s="500">
        <v>0</v>
      </c>
      <c r="Z598" s="501">
        <v>173510</v>
      </c>
      <c r="AA598" s="494">
        <v>11</v>
      </c>
      <c r="AB598" s="379">
        <v>66000</v>
      </c>
      <c r="AC598" s="501">
        <v>191361</v>
      </c>
      <c r="AD598" s="379">
        <v>125361</v>
      </c>
    </row>
    <row r="599" spans="1:30" hidden="1">
      <c r="A599" s="462">
        <v>311</v>
      </c>
      <c r="B599" s="462" t="s">
        <v>640</v>
      </c>
      <c r="C599">
        <v>311</v>
      </c>
      <c r="D599" s="462" t="s">
        <v>1701</v>
      </c>
      <c r="E599">
        <v>1761</v>
      </c>
      <c r="F599" s="462" t="s">
        <v>1492</v>
      </c>
      <c r="G599" t="s">
        <v>1013</v>
      </c>
      <c r="H599" t="s">
        <v>474</v>
      </c>
      <c r="J599">
        <v>1</v>
      </c>
      <c r="O599" s="72">
        <v>1</v>
      </c>
      <c r="P599">
        <v>0</v>
      </c>
      <c r="Q599" s="499">
        <v>0</v>
      </c>
      <c r="R599" s="499">
        <v>0</v>
      </c>
      <c r="S599" s="499">
        <v>0</v>
      </c>
      <c r="T599" s="500">
        <v>0</v>
      </c>
      <c r="U599" s="501">
        <v>0</v>
      </c>
      <c r="V599">
        <v>1</v>
      </c>
      <c r="W599" s="499">
        <v>13351</v>
      </c>
      <c r="X599" s="499">
        <v>4000</v>
      </c>
      <c r="Y599" s="500">
        <v>0</v>
      </c>
      <c r="Z599" s="501">
        <v>17351</v>
      </c>
      <c r="AA599" s="494">
        <v>1</v>
      </c>
      <c r="AB599" s="379">
        <v>6000</v>
      </c>
      <c r="AC599" s="501">
        <v>17351</v>
      </c>
      <c r="AD599" s="379">
        <v>11351</v>
      </c>
    </row>
    <row r="600" spans="1:30" hidden="1">
      <c r="A600" s="462">
        <v>311</v>
      </c>
      <c r="B600" s="462" t="s">
        <v>640</v>
      </c>
      <c r="C600">
        <v>311</v>
      </c>
      <c r="D600" s="462" t="s">
        <v>1701</v>
      </c>
      <c r="E600">
        <v>3305</v>
      </c>
      <c r="F600" s="462" t="s">
        <v>1024</v>
      </c>
      <c r="G600" t="s">
        <v>1013</v>
      </c>
      <c r="H600" t="s">
        <v>474</v>
      </c>
      <c r="J600">
        <v>1</v>
      </c>
      <c r="O600" s="72">
        <v>1</v>
      </c>
      <c r="P600">
        <v>0</v>
      </c>
      <c r="Q600" s="499">
        <v>0</v>
      </c>
      <c r="R600" s="499">
        <v>0</v>
      </c>
      <c r="S600" s="499">
        <v>0</v>
      </c>
      <c r="T600" s="500">
        <v>0</v>
      </c>
      <c r="U600" s="501">
        <v>0</v>
      </c>
      <c r="V600">
        <v>1</v>
      </c>
      <c r="W600" s="499">
        <v>13351</v>
      </c>
      <c r="X600" s="499">
        <v>4000</v>
      </c>
      <c r="Y600" s="500">
        <v>0</v>
      </c>
      <c r="Z600" s="501">
        <v>17351</v>
      </c>
      <c r="AA600" s="494">
        <v>1</v>
      </c>
      <c r="AB600" s="379">
        <v>6000</v>
      </c>
      <c r="AC600" s="501">
        <v>17351</v>
      </c>
      <c r="AD600" s="379">
        <v>11351</v>
      </c>
    </row>
    <row r="601" spans="1:30" hidden="1">
      <c r="A601" s="463">
        <v>311</v>
      </c>
      <c r="B601" s="462" t="s">
        <v>640</v>
      </c>
      <c r="C601">
        <v>311</v>
      </c>
      <c r="D601" s="462" t="s">
        <v>1701</v>
      </c>
      <c r="E601">
        <v>9825</v>
      </c>
      <c r="F601" s="462" t="s">
        <v>1703</v>
      </c>
      <c r="G601" t="s">
        <v>1013</v>
      </c>
      <c r="H601" t="s">
        <v>474</v>
      </c>
      <c r="J601">
        <v>1</v>
      </c>
      <c r="O601" s="72">
        <v>1</v>
      </c>
      <c r="P601">
        <v>0</v>
      </c>
      <c r="Q601" s="499">
        <v>0</v>
      </c>
      <c r="R601" s="499">
        <v>0</v>
      </c>
      <c r="S601" s="499">
        <v>0</v>
      </c>
      <c r="T601" s="500">
        <v>0</v>
      </c>
      <c r="U601" s="501">
        <v>0</v>
      </c>
      <c r="V601">
        <v>1</v>
      </c>
      <c r="W601" s="499">
        <v>13351</v>
      </c>
      <c r="X601" s="499">
        <v>4000</v>
      </c>
      <c r="Y601" s="500">
        <v>0</v>
      </c>
      <c r="Z601" s="501">
        <v>17351</v>
      </c>
      <c r="AA601" s="494">
        <v>1</v>
      </c>
      <c r="AB601" s="379">
        <v>6000</v>
      </c>
      <c r="AC601" s="501">
        <v>17351</v>
      </c>
      <c r="AD601" s="379">
        <v>11351</v>
      </c>
    </row>
    <row r="602" spans="1:30" hidden="1">
      <c r="A602" s="463">
        <v>312</v>
      </c>
      <c r="B602" s="462" t="s">
        <v>1705</v>
      </c>
      <c r="C602">
        <v>5070</v>
      </c>
      <c r="D602" s="462" t="s">
        <v>1377</v>
      </c>
      <c r="E602">
        <v>1519</v>
      </c>
      <c r="F602" s="462" t="s">
        <v>1706</v>
      </c>
      <c r="G602" t="s">
        <v>1013</v>
      </c>
      <c r="H602" t="s">
        <v>474</v>
      </c>
      <c r="M602">
        <v>3</v>
      </c>
      <c r="O602" s="72">
        <v>80</v>
      </c>
      <c r="P602">
        <v>77</v>
      </c>
      <c r="Q602" s="499">
        <v>1028027</v>
      </c>
      <c r="R602" s="499">
        <v>308000</v>
      </c>
      <c r="S602" s="499">
        <v>38500</v>
      </c>
      <c r="T602" s="500">
        <v>0</v>
      </c>
      <c r="U602" s="501">
        <v>1374527</v>
      </c>
      <c r="V602">
        <v>3</v>
      </c>
      <c r="W602" s="499">
        <v>40053</v>
      </c>
      <c r="X602" s="499">
        <v>12000</v>
      </c>
      <c r="Y602" s="500">
        <v>0</v>
      </c>
      <c r="Z602" s="501">
        <v>52053</v>
      </c>
      <c r="AA602" s="494">
        <v>80</v>
      </c>
      <c r="AB602" s="379">
        <v>480000</v>
      </c>
      <c r="AC602" s="501">
        <v>1426580</v>
      </c>
      <c r="AD602" s="379">
        <v>946580</v>
      </c>
    </row>
    <row r="603" spans="1:30" hidden="1">
      <c r="A603" s="462">
        <v>314</v>
      </c>
      <c r="B603" s="462" t="s">
        <v>1707</v>
      </c>
      <c r="C603">
        <v>324</v>
      </c>
      <c r="D603" s="462" t="s">
        <v>1711</v>
      </c>
      <c r="E603">
        <v>1758</v>
      </c>
      <c r="F603" s="462" t="s">
        <v>1020</v>
      </c>
      <c r="G603" t="s">
        <v>1013</v>
      </c>
      <c r="H603" t="s">
        <v>473</v>
      </c>
      <c r="J603">
        <v>1</v>
      </c>
      <c r="O603" s="72">
        <v>1</v>
      </c>
      <c r="P603">
        <v>0</v>
      </c>
      <c r="Q603" s="499">
        <v>0</v>
      </c>
      <c r="R603" s="499">
        <v>0</v>
      </c>
      <c r="S603" s="499">
        <v>0</v>
      </c>
      <c r="T603" s="500">
        <v>0</v>
      </c>
      <c r="U603" s="501">
        <v>0</v>
      </c>
      <c r="V603">
        <v>1</v>
      </c>
      <c r="W603" s="499">
        <v>13351</v>
      </c>
      <c r="X603" s="499">
        <v>1200</v>
      </c>
      <c r="Y603" s="500">
        <v>0</v>
      </c>
      <c r="Z603" s="501">
        <v>14551</v>
      </c>
      <c r="AA603" s="494">
        <v>1</v>
      </c>
      <c r="AB603" s="379">
        <v>6000</v>
      </c>
      <c r="AC603" s="501">
        <v>14551</v>
      </c>
      <c r="AD603" s="379">
        <v>8551</v>
      </c>
    </row>
    <row r="604" spans="1:30" hidden="1">
      <c r="A604" s="463">
        <v>314</v>
      </c>
      <c r="B604" s="462" t="s">
        <v>1707</v>
      </c>
      <c r="C604">
        <v>324</v>
      </c>
      <c r="D604" s="462" t="s">
        <v>1711</v>
      </c>
      <c r="E604">
        <v>3383</v>
      </c>
      <c r="F604" s="462" t="s">
        <v>1709</v>
      </c>
      <c r="G604" t="s">
        <v>1013</v>
      </c>
      <c r="H604" t="s">
        <v>473</v>
      </c>
      <c r="O604" s="72">
        <v>1</v>
      </c>
      <c r="P604">
        <v>1</v>
      </c>
      <c r="Q604" s="499">
        <v>13351</v>
      </c>
      <c r="R604" s="499">
        <v>1200</v>
      </c>
      <c r="S604" s="499">
        <v>150</v>
      </c>
      <c r="T604" s="500">
        <v>0</v>
      </c>
      <c r="U604" s="501">
        <v>14701</v>
      </c>
      <c r="V604">
        <v>0</v>
      </c>
      <c r="W604" s="499">
        <v>0</v>
      </c>
      <c r="X604" s="499">
        <v>0</v>
      </c>
      <c r="Y604" s="500">
        <v>0</v>
      </c>
      <c r="Z604" s="501">
        <v>0</v>
      </c>
      <c r="AA604" s="494">
        <v>1</v>
      </c>
      <c r="AB604" s="379">
        <v>6000</v>
      </c>
      <c r="AC604" s="501">
        <v>14701</v>
      </c>
      <c r="AD604" s="379">
        <v>8701</v>
      </c>
    </row>
    <row r="605" spans="1:30" hidden="1">
      <c r="A605" s="462">
        <v>316</v>
      </c>
      <c r="B605" s="462" t="s">
        <v>1712</v>
      </c>
      <c r="C605">
        <v>1112</v>
      </c>
      <c r="D605" s="462" t="s">
        <v>1723</v>
      </c>
      <c r="E605">
        <v>1048</v>
      </c>
      <c r="F605" s="462" t="s">
        <v>1055</v>
      </c>
      <c r="G605" t="s">
        <v>1013</v>
      </c>
      <c r="H605" t="s">
        <v>473</v>
      </c>
      <c r="J605">
        <v>1</v>
      </c>
      <c r="O605" s="72">
        <v>1</v>
      </c>
      <c r="P605">
        <v>0</v>
      </c>
      <c r="Q605" s="499">
        <v>0</v>
      </c>
      <c r="R605" s="499">
        <v>0</v>
      </c>
      <c r="S605" s="499">
        <v>0</v>
      </c>
      <c r="T605" s="500">
        <v>0</v>
      </c>
      <c r="U605" s="501">
        <v>0</v>
      </c>
      <c r="V605">
        <v>1</v>
      </c>
      <c r="W605" s="499">
        <v>13351</v>
      </c>
      <c r="X605" s="499">
        <v>1200</v>
      </c>
      <c r="Y605" s="500">
        <v>0</v>
      </c>
      <c r="Z605" s="501">
        <v>14551</v>
      </c>
      <c r="AA605" s="494">
        <v>1</v>
      </c>
      <c r="AB605" s="379">
        <v>6000</v>
      </c>
      <c r="AC605" s="501">
        <v>14551</v>
      </c>
      <c r="AD605" s="379">
        <v>8551</v>
      </c>
    </row>
    <row r="606" spans="1:30" hidden="1">
      <c r="A606" s="462">
        <v>316</v>
      </c>
      <c r="B606" s="462" t="s">
        <v>1712</v>
      </c>
      <c r="C606">
        <v>1112</v>
      </c>
      <c r="D606" s="462" t="s">
        <v>1723</v>
      </c>
      <c r="E606">
        <v>3310</v>
      </c>
      <c r="F606" s="462" t="s">
        <v>1045</v>
      </c>
      <c r="G606" t="s">
        <v>1013</v>
      </c>
      <c r="H606" t="s">
        <v>473</v>
      </c>
      <c r="J606">
        <v>1</v>
      </c>
      <c r="O606" s="72">
        <v>1</v>
      </c>
      <c r="P606">
        <v>0</v>
      </c>
      <c r="Q606" s="499">
        <v>0</v>
      </c>
      <c r="R606" s="499">
        <v>0</v>
      </c>
      <c r="S606" s="499">
        <v>0</v>
      </c>
      <c r="T606" s="500">
        <v>0</v>
      </c>
      <c r="U606" s="501">
        <v>0</v>
      </c>
      <c r="V606">
        <v>1</v>
      </c>
      <c r="W606" s="499">
        <v>13351</v>
      </c>
      <c r="X606" s="499">
        <v>1200</v>
      </c>
      <c r="Y606" s="500">
        <v>0</v>
      </c>
      <c r="Z606" s="501">
        <v>14551</v>
      </c>
      <c r="AA606" s="494">
        <v>1</v>
      </c>
      <c r="AB606" s="379">
        <v>6000</v>
      </c>
      <c r="AC606" s="501">
        <v>14551</v>
      </c>
      <c r="AD606" s="379">
        <v>8551</v>
      </c>
    </row>
    <row r="607" spans="1:30" hidden="1">
      <c r="A607" s="462">
        <v>316</v>
      </c>
      <c r="B607" s="462" t="s">
        <v>1712</v>
      </c>
      <c r="C607">
        <v>1112</v>
      </c>
      <c r="D607" s="462" t="s">
        <v>1723</v>
      </c>
      <c r="E607">
        <v>3321</v>
      </c>
      <c r="F607" s="462" t="s">
        <v>1047</v>
      </c>
      <c r="G607" t="s">
        <v>1013</v>
      </c>
      <c r="H607" t="s">
        <v>473</v>
      </c>
      <c r="J607">
        <v>2</v>
      </c>
      <c r="O607" s="72">
        <v>4</v>
      </c>
      <c r="P607">
        <v>2</v>
      </c>
      <c r="Q607" s="499">
        <v>26702</v>
      </c>
      <c r="R607" s="499">
        <v>2400</v>
      </c>
      <c r="S607" s="499">
        <v>300</v>
      </c>
      <c r="T607" s="500">
        <v>0</v>
      </c>
      <c r="U607" s="501">
        <v>29402</v>
      </c>
      <c r="V607">
        <v>2</v>
      </c>
      <c r="W607" s="499">
        <v>26702</v>
      </c>
      <c r="X607" s="499">
        <v>2400</v>
      </c>
      <c r="Y607" s="500">
        <v>0</v>
      </c>
      <c r="Z607" s="501">
        <v>29102</v>
      </c>
      <c r="AA607" s="494">
        <v>4</v>
      </c>
      <c r="AB607" s="379">
        <v>24000</v>
      </c>
      <c r="AC607" s="501">
        <v>58504</v>
      </c>
      <c r="AD607" s="379">
        <v>34504</v>
      </c>
    </row>
    <row r="608" spans="1:30" hidden="1">
      <c r="A608" s="462">
        <v>316</v>
      </c>
      <c r="B608" s="462" t="s">
        <v>1712</v>
      </c>
      <c r="C608">
        <v>1112</v>
      </c>
      <c r="D608" s="462" t="s">
        <v>1723</v>
      </c>
      <c r="E608">
        <v>3323</v>
      </c>
      <c r="F608" s="462" t="s">
        <v>1689</v>
      </c>
      <c r="G608" t="s">
        <v>1013</v>
      </c>
      <c r="H608" t="s">
        <v>473</v>
      </c>
      <c r="J608">
        <v>1</v>
      </c>
      <c r="O608" s="72">
        <v>1</v>
      </c>
      <c r="P608">
        <v>0</v>
      </c>
      <c r="Q608" s="499">
        <v>0</v>
      </c>
      <c r="R608" s="499">
        <v>0</v>
      </c>
      <c r="S608" s="499">
        <v>0</v>
      </c>
      <c r="T608" s="500">
        <v>0</v>
      </c>
      <c r="U608" s="501">
        <v>0</v>
      </c>
      <c r="V608">
        <v>1</v>
      </c>
      <c r="W608" s="499">
        <v>13351</v>
      </c>
      <c r="X608" s="499">
        <v>1200</v>
      </c>
      <c r="Y608" s="500">
        <v>0</v>
      </c>
      <c r="Z608" s="501">
        <v>14551</v>
      </c>
      <c r="AA608" s="494">
        <v>1</v>
      </c>
      <c r="AB608" s="379">
        <v>6000</v>
      </c>
      <c r="AC608" s="501">
        <v>14551</v>
      </c>
      <c r="AD608" s="379">
        <v>8551</v>
      </c>
    </row>
    <row r="609" spans="1:30" hidden="1">
      <c r="A609" s="462">
        <v>316</v>
      </c>
      <c r="B609" s="462" t="s">
        <v>1712</v>
      </c>
      <c r="C609">
        <v>1112</v>
      </c>
      <c r="D609" s="462" t="s">
        <v>1723</v>
      </c>
      <c r="E609">
        <v>3342</v>
      </c>
      <c r="F609" s="462" t="s">
        <v>1057</v>
      </c>
      <c r="G609" t="s">
        <v>1013</v>
      </c>
      <c r="H609" t="s">
        <v>473</v>
      </c>
      <c r="O609" s="72">
        <v>2</v>
      </c>
      <c r="P609">
        <v>2</v>
      </c>
      <c r="Q609" s="499">
        <v>26702</v>
      </c>
      <c r="R609" s="499">
        <v>2400</v>
      </c>
      <c r="S609" s="499">
        <v>300</v>
      </c>
      <c r="T609" s="500">
        <v>0</v>
      </c>
      <c r="U609" s="501">
        <v>29402</v>
      </c>
      <c r="V609">
        <v>0</v>
      </c>
      <c r="W609" s="499">
        <v>0</v>
      </c>
      <c r="X609" s="499">
        <v>0</v>
      </c>
      <c r="Y609" s="500">
        <v>0</v>
      </c>
      <c r="Z609" s="501">
        <v>0</v>
      </c>
      <c r="AA609" s="494">
        <v>2</v>
      </c>
      <c r="AB609" s="379">
        <v>12000</v>
      </c>
      <c r="AC609" s="501">
        <v>29402</v>
      </c>
      <c r="AD609" s="379">
        <v>17402</v>
      </c>
    </row>
    <row r="610" spans="1:30" hidden="1">
      <c r="A610" s="462">
        <v>316</v>
      </c>
      <c r="B610" s="462" t="s">
        <v>1712</v>
      </c>
      <c r="C610">
        <v>1112</v>
      </c>
      <c r="D610" s="462" t="s">
        <v>1723</v>
      </c>
      <c r="E610">
        <v>3370</v>
      </c>
      <c r="F610" s="462" t="s">
        <v>1049</v>
      </c>
      <c r="G610" t="s">
        <v>1013</v>
      </c>
      <c r="H610" t="s">
        <v>473</v>
      </c>
      <c r="O610" s="72">
        <v>2</v>
      </c>
      <c r="P610">
        <v>2</v>
      </c>
      <c r="Q610" s="499">
        <v>26702</v>
      </c>
      <c r="R610" s="499">
        <v>2400</v>
      </c>
      <c r="S610" s="499">
        <v>300</v>
      </c>
      <c r="T610" s="500">
        <v>0</v>
      </c>
      <c r="U610" s="501">
        <v>29402</v>
      </c>
      <c r="V610">
        <v>0</v>
      </c>
      <c r="W610" s="499">
        <v>0</v>
      </c>
      <c r="X610" s="499">
        <v>0</v>
      </c>
      <c r="Y610" s="500">
        <v>0</v>
      </c>
      <c r="Z610" s="501">
        <v>0</v>
      </c>
      <c r="AA610" s="494">
        <v>2</v>
      </c>
      <c r="AB610" s="379">
        <v>12000</v>
      </c>
      <c r="AC610" s="501">
        <v>29402</v>
      </c>
      <c r="AD610" s="379">
        <v>17402</v>
      </c>
    </row>
    <row r="611" spans="1:30" hidden="1">
      <c r="A611" s="462">
        <v>316</v>
      </c>
      <c r="B611" s="462" t="s">
        <v>1712</v>
      </c>
      <c r="C611">
        <v>1112</v>
      </c>
      <c r="D611" s="462" t="s">
        <v>1723</v>
      </c>
      <c r="E611">
        <v>3372</v>
      </c>
      <c r="F611" s="462" t="s">
        <v>976</v>
      </c>
      <c r="G611" t="s">
        <v>1013</v>
      </c>
      <c r="H611" t="s">
        <v>473</v>
      </c>
      <c r="J611">
        <v>1</v>
      </c>
      <c r="O611" s="72">
        <v>3</v>
      </c>
      <c r="P611">
        <v>2</v>
      </c>
      <c r="Q611" s="499">
        <v>26702</v>
      </c>
      <c r="R611" s="499">
        <v>2400</v>
      </c>
      <c r="S611" s="499">
        <v>300</v>
      </c>
      <c r="T611" s="500">
        <v>0</v>
      </c>
      <c r="U611" s="501">
        <v>29402</v>
      </c>
      <c r="V611">
        <v>1</v>
      </c>
      <c r="W611" s="499">
        <v>13351</v>
      </c>
      <c r="X611" s="499">
        <v>1200</v>
      </c>
      <c r="Y611" s="500">
        <v>0</v>
      </c>
      <c r="Z611" s="501">
        <v>14551</v>
      </c>
      <c r="AA611" s="494">
        <v>3</v>
      </c>
      <c r="AB611" s="379">
        <v>18000</v>
      </c>
      <c r="AC611" s="501">
        <v>43953</v>
      </c>
      <c r="AD611" s="379">
        <v>25953</v>
      </c>
    </row>
    <row r="612" spans="1:30" hidden="1">
      <c r="A612" s="462">
        <v>316</v>
      </c>
      <c r="B612" s="462" t="s">
        <v>1712</v>
      </c>
      <c r="C612">
        <v>1112</v>
      </c>
      <c r="D612" s="462" t="s">
        <v>1723</v>
      </c>
      <c r="E612">
        <v>3378</v>
      </c>
      <c r="F612" s="462" t="s">
        <v>1725</v>
      </c>
      <c r="G612" t="s">
        <v>1013</v>
      </c>
      <c r="H612" t="s">
        <v>473</v>
      </c>
      <c r="J612">
        <v>1</v>
      </c>
      <c r="O612" s="72">
        <v>1</v>
      </c>
      <c r="P612">
        <v>0</v>
      </c>
      <c r="Q612" s="499">
        <v>0</v>
      </c>
      <c r="R612" s="499">
        <v>0</v>
      </c>
      <c r="S612" s="499">
        <v>0</v>
      </c>
      <c r="T612" s="500">
        <v>0</v>
      </c>
      <c r="U612" s="501">
        <v>0</v>
      </c>
      <c r="V612">
        <v>1</v>
      </c>
      <c r="W612" s="499">
        <v>13351</v>
      </c>
      <c r="X612" s="499">
        <v>1200</v>
      </c>
      <c r="Y612" s="500">
        <v>0</v>
      </c>
      <c r="Z612" s="501">
        <v>14551</v>
      </c>
      <c r="AA612" s="494">
        <v>1</v>
      </c>
      <c r="AB612" s="379">
        <v>6000</v>
      </c>
      <c r="AC612" s="501">
        <v>14551</v>
      </c>
      <c r="AD612" s="379">
        <v>8551</v>
      </c>
    </row>
    <row r="613" spans="1:30" hidden="1">
      <c r="A613" s="462">
        <v>316</v>
      </c>
      <c r="B613" s="462" t="s">
        <v>1712</v>
      </c>
      <c r="C613">
        <v>1112</v>
      </c>
      <c r="D613" s="462" t="s">
        <v>1723</v>
      </c>
      <c r="E613">
        <v>3397</v>
      </c>
      <c r="F613" s="462" t="s">
        <v>1726</v>
      </c>
      <c r="G613" t="s">
        <v>1013</v>
      </c>
      <c r="H613" t="s">
        <v>473</v>
      </c>
      <c r="O613" s="72">
        <v>1</v>
      </c>
      <c r="P613">
        <v>1</v>
      </c>
      <c r="Q613" s="499">
        <v>13351</v>
      </c>
      <c r="R613" s="499">
        <v>1200</v>
      </c>
      <c r="S613" s="499">
        <v>150</v>
      </c>
      <c r="T613" s="500">
        <v>0</v>
      </c>
      <c r="U613" s="501">
        <v>14701</v>
      </c>
      <c r="V613">
        <v>0</v>
      </c>
      <c r="W613" s="499">
        <v>0</v>
      </c>
      <c r="X613" s="499">
        <v>0</v>
      </c>
      <c r="Y613" s="500">
        <v>0</v>
      </c>
      <c r="Z613" s="501">
        <v>0</v>
      </c>
      <c r="AA613" s="494">
        <v>1</v>
      </c>
      <c r="AB613" s="379">
        <v>6000</v>
      </c>
      <c r="AC613" s="501">
        <v>14701</v>
      </c>
      <c r="AD613" s="379">
        <v>8701</v>
      </c>
    </row>
    <row r="614" spans="1:30" hidden="1">
      <c r="A614" s="462">
        <v>316</v>
      </c>
      <c r="B614" s="462" t="s">
        <v>1712</v>
      </c>
      <c r="C614">
        <v>1112</v>
      </c>
      <c r="D614" s="462" t="s">
        <v>1723</v>
      </c>
      <c r="E614">
        <v>3403</v>
      </c>
      <c r="F614" s="462" t="s">
        <v>1503</v>
      </c>
      <c r="G614" t="s">
        <v>1013</v>
      </c>
      <c r="H614" t="s">
        <v>473</v>
      </c>
      <c r="J614">
        <v>1</v>
      </c>
      <c r="O614" s="72">
        <v>3</v>
      </c>
      <c r="P614">
        <v>2</v>
      </c>
      <c r="Q614" s="499">
        <v>26702</v>
      </c>
      <c r="R614" s="499">
        <v>2400</v>
      </c>
      <c r="S614" s="499">
        <v>300</v>
      </c>
      <c r="T614" s="500">
        <v>0</v>
      </c>
      <c r="U614" s="501">
        <v>29402</v>
      </c>
      <c r="V614">
        <v>1</v>
      </c>
      <c r="W614" s="499">
        <v>13351</v>
      </c>
      <c r="X614" s="499">
        <v>1200</v>
      </c>
      <c r="Y614" s="500">
        <v>0</v>
      </c>
      <c r="Z614" s="501">
        <v>14551</v>
      </c>
      <c r="AA614" s="494">
        <v>3</v>
      </c>
      <c r="AB614" s="379">
        <v>18000</v>
      </c>
      <c r="AC614" s="501">
        <v>43953</v>
      </c>
      <c r="AD614" s="379">
        <v>25953</v>
      </c>
    </row>
    <row r="615" spans="1:30" hidden="1">
      <c r="A615" s="462">
        <v>316</v>
      </c>
      <c r="B615" s="462" t="s">
        <v>1712</v>
      </c>
      <c r="C615">
        <v>1112</v>
      </c>
      <c r="D615" s="462" t="s">
        <v>1723</v>
      </c>
      <c r="E615">
        <v>3460</v>
      </c>
      <c r="F615" s="462" t="s">
        <v>1497</v>
      </c>
      <c r="G615" t="s">
        <v>1013</v>
      </c>
      <c r="H615" t="s">
        <v>473</v>
      </c>
      <c r="O615" s="72">
        <v>1</v>
      </c>
      <c r="P615">
        <v>1</v>
      </c>
      <c r="Q615" s="499">
        <v>13351</v>
      </c>
      <c r="R615" s="499">
        <v>1200</v>
      </c>
      <c r="S615" s="499">
        <v>150</v>
      </c>
      <c r="T615" s="500">
        <v>0</v>
      </c>
      <c r="U615" s="501">
        <v>14701</v>
      </c>
      <c r="V615">
        <v>0</v>
      </c>
      <c r="W615" s="499">
        <v>0</v>
      </c>
      <c r="X615" s="499">
        <v>0</v>
      </c>
      <c r="Y615" s="500">
        <v>0</v>
      </c>
      <c r="Z615" s="501">
        <v>0</v>
      </c>
      <c r="AA615" s="494">
        <v>1</v>
      </c>
      <c r="AB615" s="379">
        <v>6000</v>
      </c>
      <c r="AC615" s="501">
        <v>14701</v>
      </c>
      <c r="AD615" s="379">
        <v>8701</v>
      </c>
    </row>
    <row r="616" spans="1:30" hidden="1">
      <c r="A616" s="462">
        <v>316</v>
      </c>
      <c r="B616" s="462" t="s">
        <v>1712</v>
      </c>
      <c r="C616">
        <v>1112</v>
      </c>
      <c r="D616" s="462" t="s">
        <v>1723</v>
      </c>
      <c r="E616">
        <v>3524</v>
      </c>
      <c r="F616" s="462" t="s">
        <v>1498</v>
      </c>
      <c r="G616" t="s">
        <v>1013</v>
      </c>
      <c r="H616" t="s">
        <v>473</v>
      </c>
      <c r="J616">
        <v>1</v>
      </c>
      <c r="O616" s="72">
        <v>1</v>
      </c>
      <c r="P616">
        <v>0</v>
      </c>
      <c r="Q616" s="499">
        <v>0</v>
      </c>
      <c r="R616" s="499">
        <v>0</v>
      </c>
      <c r="S616" s="499">
        <v>0</v>
      </c>
      <c r="T616" s="500">
        <v>0</v>
      </c>
      <c r="U616" s="501">
        <v>0</v>
      </c>
      <c r="V616">
        <v>1</v>
      </c>
      <c r="W616" s="499">
        <v>13351</v>
      </c>
      <c r="X616" s="499">
        <v>1200</v>
      </c>
      <c r="Y616" s="500">
        <v>0</v>
      </c>
      <c r="Z616" s="501">
        <v>14551</v>
      </c>
      <c r="AA616" s="494">
        <v>1</v>
      </c>
      <c r="AB616" s="379">
        <v>6000</v>
      </c>
      <c r="AC616" s="501">
        <v>14551</v>
      </c>
      <c r="AD616" s="379">
        <v>8551</v>
      </c>
    </row>
    <row r="617" spans="1:30" hidden="1">
      <c r="A617" s="463">
        <v>316</v>
      </c>
      <c r="B617" s="462" t="s">
        <v>1712</v>
      </c>
      <c r="C617">
        <v>1112</v>
      </c>
      <c r="D617" s="462" t="s">
        <v>1723</v>
      </c>
      <c r="E617">
        <v>6003</v>
      </c>
      <c r="F617" s="462" t="s">
        <v>1066</v>
      </c>
      <c r="G617" t="s">
        <v>1013</v>
      </c>
      <c r="H617" t="s">
        <v>473</v>
      </c>
      <c r="O617" s="72">
        <v>1</v>
      </c>
      <c r="P617">
        <v>1</v>
      </c>
      <c r="Q617" s="499">
        <v>13351</v>
      </c>
      <c r="R617" s="499">
        <v>1200</v>
      </c>
      <c r="S617" s="499">
        <v>150</v>
      </c>
      <c r="T617" s="500">
        <v>0</v>
      </c>
      <c r="U617" s="501">
        <v>14701</v>
      </c>
      <c r="V617">
        <v>0</v>
      </c>
      <c r="W617" s="499">
        <v>0</v>
      </c>
      <c r="X617" s="499">
        <v>0</v>
      </c>
      <c r="Y617" s="500">
        <v>0</v>
      </c>
      <c r="Z617" s="501">
        <v>0</v>
      </c>
      <c r="AA617" s="494">
        <v>1</v>
      </c>
      <c r="AB617" s="379">
        <v>6000</v>
      </c>
      <c r="AC617" s="501">
        <v>14701</v>
      </c>
      <c r="AD617" s="379">
        <v>8701</v>
      </c>
    </row>
    <row r="618" spans="1:30" hidden="1">
      <c r="A618" s="462">
        <v>318</v>
      </c>
      <c r="B618" s="462" t="s">
        <v>1727</v>
      </c>
      <c r="C618">
        <v>318</v>
      </c>
      <c r="D618" s="462" t="s">
        <v>1692</v>
      </c>
      <c r="E618">
        <v>1758</v>
      </c>
      <c r="F618" s="462" t="s">
        <v>1020</v>
      </c>
      <c r="G618" t="s">
        <v>1013</v>
      </c>
      <c r="H618" s="502" t="s">
        <v>474</v>
      </c>
      <c r="I618">
        <v>13</v>
      </c>
      <c r="O618" s="72">
        <v>21</v>
      </c>
      <c r="P618">
        <v>8</v>
      </c>
      <c r="Q618" s="499">
        <v>106808</v>
      </c>
      <c r="R618" s="499">
        <v>32000</v>
      </c>
      <c r="S618" s="499">
        <v>4000</v>
      </c>
      <c r="T618" s="500">
        <v>0</v>
      </c>
      <c r="U618" s="501">
        <v>142808</v>
      </c>
      <c r="V618">
        <v>13</v>
      </c>
      <c r="W618" s="499">
        <v>173563</v>
      </c>
      <c r="X618" s="499">
        <v>52000</v>
      </c>
      <c r="Y618" s="500">
        <v>0</v>
      </c>
      <c r="Z618" s="501">
        <v>225563</v>
      </c>
      <c r="AA618" s="494">
        <v>21</v>
      </c>
      <c r="AB618" s="379">
        <v>126000</v>
      </c>
      <c r="AC618" s="501">
        <v>368371</v>
      </c>
      <c r="AD618" s="379">
        <v>242371</v>
      </c>
    </row>
    <row r="619" spans="1:30" hidden="1">
      <c r="A619" s="463">
        <v>318</v>
      </c>
      <c r="B619" s="462" t="s">
        <v>1727</v>
      </c>
      <c r="C619">
        <v>9011</v>
      </c>
      <c r="D619" s="462" t="s">
        <v>1576</v>
      </c>
      <c r="E619">
        <v>7502</v>
      </c>
      <c r="F619" s="462" t="s">
        <v>1026</v>
      </c>
      <c r="G619" t="s">
        <v>1027</v>
      </c>
      <c r="H619" t="s">
        <v>474</v>
      </c>
      <c r="M619">
        <v>1</v>
      </c>
      <c r="O619" s="72">
        <v>3</v>
      </c>
      <c r="P619">
        <v>2</v>
      </c>
      <c r="Q619" s="499">
        <v>26702</v>
      </c>
      <c r="R619" s="499">
        <v>8000</v>
      </c>
      <c r="S619" s="499">
        <v>1000</v>
      </c>
      <c r="T619" s="500">
        <v>0</v>
      </c>
      <c r="U619" s="501">
        <v>35702</v>
      </c>
      <c r="V619">
        <v>1</v>
      </c>
      <c r="W619" s="499">
        <v>13351</v>
      </c>
      <c r="X619" s="499">
        <v>4000</v>
      </c>
      <c r="Y619" s="500">
        <v>0</v>
      </c>
      <c r="Z619" s="501">
        <v>17351</v>
      </c>
      <c r="AA619" s="494">
        <v>3</v>
      </c>
      <c r="AB619" s="379">
        <v>18000</v>
      </c>
      <c r="AC619" s="501">
        <v>53053</v>
      </c>
      <c r="AD619" s="379">
        <v>35053</v>
      </c>
    </row>
    <row r="620" spans="1:30" hidden="1">
      <c r="A620" s="462">
        <v>324</v>
      </c>
      <c r="B620" s="462" t="s">
        <v>1732</v>
      </c>
      <c r="C620">
        <v>324</v>
      </c>
      <c r="D620" s="462" t="s">
        <v>1711</v>
      </c>
      <c r="E620">
        <v>1758</v>
      </c>
      <c r="F620" s="462" t="s">
        <v>1020</v>
      </c>
      <c r="G620" t="s">
        <v>1013</v>
      </c>
      <c r="H620" t="s">
        <v>473</v>
      </c>
      <c r="O620" s="72">
        <v>3</v>
      </c>
      <c r="P620">
        <v>3</v>
      </c>
      <c r="Q620" s="499">
        <v>40053</v>
      </c>
      <c r="R620" s="499">
        <v>3600</v>
      </c>
      <c r="S620" s="499">
        <v>450</v>
      </c>
      <c r="T620" s="500">
        <v>0</v>
      </c>
      <c r="U620" s="501">
        <v>44103</v>
      </c>
      <c r="V620">
        <v>0</v>
      </c>
      <c r="W620" s="499">
        <v>0</v>
      </c>
      <c r="X620" s="499">
        <v>0</v>
      </c>
      <c r="Y620" s="500">
        <v>0</v>
      </c>
      <c r="Z620" s="501">
        <v>0</v>
      </c>
      <c r="AA620" s="494">
        <v>3</v>
      </c>
      <c r="AB620" s="379">
        <v>18000</v>
      </c>
      <c r="AC620" s="501">
        <v>44103</v>
      </c>
      <c r="AD620" s="379">
        <v>26103</v>
      </c>
    </row>
    <row r="621" spans="1:30" hidden="1">
      <c r="A621" s="462">
        <v>324</v>
      </c>
      <c r="B621" s="462" t="s">
        <v>1732</v>
      </c>
      <c r="C621">
        <v>324</v>
      </c>
      <c r="D621" s="462" t="s">
        <v>1711</v>
      </c>
      <c r="E621">
        <v>3305</v>
      </c>
      <c r="F621" s="462" t="s">
        <v>1024</v>
      </c>
      <c r="G621" t="s">
        <v>1013</v>
      </c>
      <c r="H621" t="s">
        <v>473</v>
      </c>
      <c r="O621" s="72">
        <v>1</v>
      </c>
      <c r="P621">
        <v>1</v>
      </c>
      <c r="Q621" s="499">
        <v>13351</v>
      </c>
      <c r="R621" s="499">
        <v>1200</v>
      </c>
      <c r="S621" s="499">
        <v>150</v>
      </c>
      <c r="T621" s="500">
        <v>0</v>
      </c>
      <c r="U621" s="501">
        <v>14701</v>
      </c>
      <c r="V621">
        <v>0</v>
      </c>
      <c r="W621" s="499">
        <v>0</v>
      </c>
      <c r="X621" s="499">
        <v>0</v>
      </c>
      <c r="Y621" s="500">
        <v>0</v>
      </c>
      <c r="Z621" s="501">
        <v>0</v>
      </c>
      <c r="AA621" s="494">
        <v>1</v>
      </c>
      <c r="AB621" s="379">
        <v>6000</v>
      </c>
      <c r="AC621" s="501">
        <v>14701</v>
      </c>
      <c r="AD621" s="379">
        <v>8701</v>
      </c>
    </row>
    <row r="622" spans="1:30" hidden="1">
      <c r="A622" s="462">
        <v>324</v>
      </c>
      <c r="B622" s="462" t="s">
        <v>1732</v>
      </c>
      <c r="C622">
        <v>324</v>
      </c>
      <c r="D622" s="462" t="s">
        <v>1711</v>
      </c>
      <c r="E622">
        <v>3343</v>
      </c>
      <c r="F622" s="462" t="s">
        <v>1473</v>
      </c>
      <c r="G622" t="s">
        <v>1013</v>
      </c>
      <c r="H622" t="s">
        <v>473</v>
      </c>
      <c r="O622" s="72">
        <v>2</v>
      </c>
      <c r="P622">
        <v>2</v>
      </c>
      <c r="Q622" s="499">
        <v>26702</v>
      </c>
      <c r="R622" s="499">
        <v>2400</v>
      </c>
      <c r="S622" s="499">
        <v>300</v>
      </c>
      <c r="T622" s="500">
        <v>0</v>
      </c>
      <c r="U622" s="501">
        <v>29402</v>
      </c>
      <c r="V622">
        <v>0</v>
      </c>
      <c r="W622" s="499">
        <v>0</v>
      </c>
      <c r="X622" s="499">
        <v>0</v>
      </c>
      <c r="Y622" s="500">
        <v>0</v>
      </c>
      <c r="Z622" s="501">
        <v>0</v>
      </c>
      <c r="AA622" s="494">
        <v>2</v>
      </c>
      <c r="AB622" s="379">
        <v>12000</v>
      </c>
      <c r="AC622" s="501">
        <v>29402</v>
      </c>
      <c r="AD622" s="379">
        <v>17402</v>
      </c>
    </row>
    <row r="623" spans="1:30" hidden="1">
      <c r="A623" s="462">
        <v>324</v>
      </c>
      <c r="B623" s="462" t="s">
        <v>1732</v>
      </c>
      <c r="C623">
        <v>324</v>
      </c>
      <c r="D623" s="462" t="s">
        <v>1711</v>
      </c>
      <c r="E623">
        <v>3370</v>
      </c>
      <c r="F623" s="462" t="s">
        <v>1049</v>
      </c>
      <c r="G623" t="s">
        <v>1013</v>
      </c>
      <c r="H623" t="s">
        <v>473</v>
      </c>
      <c r="O623" s="72">
        <v>1</v>
      </c>
      <c r="P623">
        <v>1</v>
      </c>
      <c r="Q623" s="499">
        <v>13351</v>
      </c>
      <c r="R623" s="499">
        <v>1200</v>
      </c>
      <c r="S623" s="499">
        <v>150</v>
      </c>
      <c r="T623" s="500">
        <v>0</v>
      </c>
      <c r="U623" s="501">
        <v>14701</v>
      </c>
      <c r="V623">
        <v>0</v>
      </c>
      <c r="W623" s="499">
        <v>0</v>
      </c>
      <c r="X623" s="499">
        <v>0</v>
      </c>
      <c r="Y623" s="500">
        <v>0</v>
      </c>
      <c r="Z623" s="501">
        <v>0</v>
      </c>
      <c r="AA623" s="494">
        <v>1</v>
      </c>
      <c r="AB623" s="379">
        <v>6000</v>
      </c>
      <c r="AC623" s="501">
        <v>14701</v>
      </c>
      <c r="AD623" s="379">
        <v>8701</v>
      </c>
    </row>
    <row r="624" spans="1:30" hidden="1">
      <c r="A624" s="462">
        <v>324</v>
      </c>
      <c r="B624" s="462" t="s">
        <v>1732</v>
      </c>
      <c r="C624">
        <v>324</v>
      </c>
      <c r="D624" s="462" t="s">
        <v>1711</v>
      </c>
      <c r="E624">
        <v>3383</v>
      </c>
      <c r="F624" s="462" t="s">
        <v>1709</v>
      </c>
      <c r="G624" t="s">
        <v>1013</v>
      </c>
      <c r="H624" t="s">
        <v>473</v>
      </c>
      <c r="J624">
        <v>3</v>
      </c>
      <c r="O624" s="72">
        <v>17</v>
      </c>
      <c r="P624">
        <v>14</v>
      </c>
      <c r="Q624" s="499">
        <v>173563</v>
      </c>
      <c r="R624" s="499">
        <v>15600</v>
      </c>
      <c r="S624" s="499">
        <v>1950</v>
      </c>
      <c r="T624" s="500">
        <v>7208</v>
      </c>
      <c r="U624" s="501">
        <v>198321</v>
      </c>
      <c r="V624">
        <v>3</v>
      </c>
      <c r="W624" s="499">
        <v>40053</v>
      </c>
      <c r="X624" s="499">
        <v>3600</v>
      </c>
      <c r="Y624" s="500">
        <v>0</v>
      </c>
      <c r="Z624" s="501">
        <v>43653</v>
      </c>
      <c r="AA624" s="494">
        <v>17</v>
      </c>
      <c r="AB624" s="379">
        <v>102000</v>
      </c>
      <c r="AC624" s="501">
        <v>241974</v>
      </c>
      <c r="AD624" s="379">
        <v>139974</v>
      </c>
    </row>
    <row r="625" spans="1:30" hidden="1">
      <c r="A625" s="462">
        <v>324</v>
      </c>
      <c r="B625" s="462" t="s">
        <v>1732</v>
      </c>
      <c r="C625">
        <v>324</v>
      </c>
      <c r="D625" s="462" t="s">
        <v>1711</v>
      </c>
      <c r="E625">
        <v>3397</v>
      </c>
      <c r="F625" s="462" t="s">
        <v>1726</v>
      </c>
      <c r="G625" t="s">
        <v>1013</v>
      </c>
      <c r="H625" t="s">
        <v>473</v>
      </c>
      <c r="O625" s="72">
        <v>1</v>
      </c>
      <c r="P625">
        <v>1</v>
      </c>
      <c r="Q625" s="499">
        <v>13351</v>
      </c>
      <c r="R625" s="499">
        <v>1200</v>
      </c>
      <c r="S625" s="499">
        <v>150</v>
      </c>
      <c r="T625" s="500">
        <v>0</v>
      </c>
      <c r="U625" s="501">
        <v>14701</v>
      </c>
      <c r="V625">
        <v>0</v>
      </c>
      <c r="W625" s="499">
        <v>0</v>
      </c>
      <c r="X625" s="499">
        <v>0</v>
      </c>
      <c r="Y625" s="500">
        <v>0</v>
      </c>
      <c r="Z625" s="501">
        <v>0</v>
      </c>
      <c r="AA625" s="494">
        <v>1</v>
      </c>
      <c r="AB625" s="379">
        <v>6000</v>
      </c>
      <c r="AC625" s="501">
        <v>14701</v>
      </c>
      <c r="AD625" s="379">
        <v>8701</v>
      </c>
    </row>
    <row r="626" spans="1:30" hidden="1">
      <c r="A626" s="463">
        <v>324</v>
      </c>
      <c r="B626" s="462" t="s">
        <v>1732</v>
      </c>
      <c r="C626">
        <v>324</v>
      </c>
      <c r="D626" s="462" t="s">
        <v>1711</v>
      </c>
      <c r="E626">
        <v>9825</v>
      </c>
      <c r="F626" s="462" t="s">
        <v>1703</v>
      </c>
      <c r="G626" t="s">
        <v>1013</v>
      </c>
      <c r="H626" t="s">
        <v>473</v>
      </c>
      <c r="J626">
        <v>1</v>
      </c>
      <c r="O626" s="72">
        <v>1</v>
      </c>
      <c r="P626">
        <v>0</v>
      </c>
      <c r="Q626" s="499">
        <v>0</v>
      </c>
      <c r="R626" s="499">
        <v>0</v>
      </c>
      <c r="S626" s="499">
        <v>0</v>
      </c>
      <c r="T626" s="500">
        <v>0</v>
      </c>
      <c r="U626" s="501">
        <v>0</v>
      </c>
      <c r="V626">
        <v>1</v>
      </c>
      <c r="W626" s="499">
        <v>13351</v>
      </c>
      <c r="X626" s="499">
        <v>1200</v>
      </c>
      <c r="Y626" s="500">
        <v>0</v>
      </c>
      <c r="Z626" s="501">
        <v>14551</v>
      </c>
      <c r="AA626" s="494">
        <v>1</v>
      </c>
      <c r="AB626" s="379">
        <v>6000</v>
      </c>
      <c r="AC626" s="501">
        <v>14551</v>
      </c>
      <c r="AD626" s="379">
        <v>8551</v>
      </c>
    </row>
    <row r="627" spans="1:30" hidden="1">
      <c r="A627" s="462">
        <v>327</v>
      </c>
      <c r="B627" s="462" t="s">
        <v>638</v>
      </c>
      <c r="C627">
        <v>9011</v>
      </c>
      <c r="D627" s="462" t="s">
        <v>1576</v>
      </c>
      <c r="E627">
        <v>1758</v>
      </c>
      <c r="F627" s="462" t="s">
        <v>1020</v>
      </c>
      <c r="G627" t="s">
        <v>1013</v>
      </c>
      <c r="H627" t="s">
        <v>473</v>
      </c>
      <c r="M627">
        <v>2</v>
      </c>
      <c r="O627" s="72">
        <v>4</v>
      </c>
      <c r="P627">
        <v>2</v>
      </c>
      <c r="Q627" s="499">
        <v>26702</v>
      </c>
      <c r="R627" s="499">
        <v>2400</v>
      </c>
      <c r="S627" s="499">
        <v>300</v>
      </c>
      <c r="T627" s="500">
        <v>0</v>
      </c>
      <c r="U627" s="501">
        <v>29402</v>
      </c>
      <c r="V627">
        <v>2</v>
      </c>
      <c r="W627" s="499">
        <v>26702</v>
      </c>
      <c r="X627" s="499">
        <v>2400</v>
      </c>
      <c r="Y627" s="500">
        <v>0</v>
      </c>
      <c r="Z627" s="501">
        <v>29102</v>
      </c>
      <c r="AA627" s="494">
        <v>4</v>
      </c>
      <c r="AB627" s="379">
        <v>24000</v>
      </c>
      <c r="AC627" s="501">
        <v>58504</v>
      </c>
      <c r="AD627" s="379">
        <v>34504</v>
      </c>
    </row>
    <row r="628" spans="1:30" hidden="1">
      <c r="A628" s="462">
        <v>327</v>
      </c>
      <c r="B628" s="462" t="s">
        <v>638</v>
      </c>
      <c r="C628">
        <v>9011</v>
      </c>
      <c r="D628" s="462" t="s">
        <v>1576</v>
      </c>
      <c r="E628">
        <v>3401</v>
      </c>
      <c r="F628" s="462" t="s">
        <v>1034</v>
      </c>
      <c r="G628" t="s">
        <v>1013</v>
      </c>
      <c r="H628" t="s">
        <v>473</v>
      </c>
      <c r="J628">
        <v>1</v>
      </c>
      <c r="O628" s="72">
        <v>1</v>
      </c>
      <c r="P628">
        <v>0</v>
      </c>
      <c r="Q628" s="499">
        <v>0</v>
      </c>
      <c r="R628" s="499">
        <v>0</v>
      </c>
      <c r="S628" s="499">
        <v>0</v>
      </c>
      <c r="T628" s="500">
        <v>0</v>
      </c>
      <c r="U628" s="501">
        <v>0</v>
      </c>
      <c r="V628">
        <v>1</v>
      </c>
      <c r="W628" s="499">
        <v>13351</v>
      </c>
      <c r="X628" s="499">
        <v>1200</v>
      </c>
      <c r="Y628" s="500">
        <v>0</v>
      </c>
      <c r="Z628" s="501">
        <v>14551</v>
      </c>
      <c r="AA628" s="494">
        <v>1</v>
      </c>
      <c r="AB628" s="379">
        <v>6000</v>
      </c>
      <c r="AC628" s="501">
        <v>14551</v>
      </c>
      <c r="AD628" s="379">
        <v>8551</v>
      </c>
    </row>
    <row r="629" spans="1:30" hidden="1">
      <c r="A629" s="463">
        <v>327</v>
      </c>
      <c r="B629" s="462" t="s">
        <v>638</v>
      </c>
      <c r="C629">
        <v>9011</v>
      </c>
      <c r="D629" s="462" t="s">
        <v>1576</v>
      </c>
      <c r="E629">
        <v>7502</v>
      </c>
      <c r="F629" s="462" t="s">
        <v>1026</v>
      </c>
      <c r="G629" t="s">
        <v>1027</v>
      </c>
      <c r="H629" t="s">
        <v>473</v>
      </c>
      <c r="M629">
        <v>3</v>
      </c>
      <c r="O629" s="72">
        <v>14</v>
      </c>
      <c r="P629">
        <v>11</v>
      </c>
      <c r="Q629" s="499">
        <v>146861</v>
      </c>
      <c r="R629" s="499">
        <v>13200</v>
      </c>
      <c r="S629" s="499">
        <v>1650</v>
      </c>
      <c r="T629" s="500">
        <v>0</v>
      </c>
      <c r="U629" s="501">
        <v>161711</v>
      </c>
      <c r="V629">
        <v>3</v>
      </c>
      <c r="W629" s="499">
        <v>40053</v>
      </c>
      <c r="X629" s="499">
        <v>3600</v>
      </c>
      <c r="Y629" s="500">
        <v>0</v>
      </c>
      <c r="Z629" s="501">
        <v>43653</v>
      </c>
      <c r="AA629" s="494">
        <v>14</v>
      </c>
      <c r="AB629" s="379">
        <v>84000</v>
      </c>
      <c r="AC629" s="501">
        <v>205364</v>
      </c>
      <c r="AD629" s="379">
        <v>121364</v>
      </c>
    </row>
    <row r="630" spans="1:30" hidden="1">
      <c r="A630" s="503">
        <v>340</v>
      </c>
      <c r="B630" s="503" t="s">
        <v>1736</v>
      </c>
      <c r="C630" s="485">
        <v>274</v>
      </c>
      <c r="D630" s="503" t="s">
        <v>1601</v>
      </c>
      <c r="E630" s="485">
        <v>3522</v>
      </c>
      <c r="F630" s="503" t="s">
        <v>1614</v>
      </c>
      <c r="G630" s="485" t="s">
        <v>1013</v>
      </c>
      <c r="H630" s="485" t="s">
        <v>474</v>
      </c>
      <c r="O630" s="72">
        <v>1</v>
      </c>
      <c r="P630">
        <v>0</v>
      </c>
      <c r="Q630" s="499">
        <v>0</v>
      </c>
      <c r="R630" s="499">
        <v>0</v>
      </c>
      <c r="S630" s="499">
        <v>0</v>
      </c>
      <c r="T630" s="500">
        <v>0</v>
      </c>
      <c r="U630" s="501">
        <v>0</v>
      </c>
      <c r="V630">
        <v>0</v>
      </c>
      <c r="W630" s="499">
        <v>0</v>
      </c>
      <c r="X630" s="499">
        <v>0</v>
      </c>
      <c r="Y630" s="500">
        <v>0</v>
      </c>
      <c r="Z630" s="501">
        <v>0</v>
      </c>
      <c r="AA630" s="494">
        <v>0</v>
      </c>
      <c r="AB630" s="379">
        <v>0</v>
      </c>
      <c r="AC630" s="501">
        <v>0</v>
      </c>
      <c r="AD630" s="379">
        <v>0</v>
      </c>
    </row>
    <row r="631" spans="1:30" ht="15" hidden="1">
      <c r="A631" s="1329" t="s">
        <v>697</v>
      </c>
      <c r="B631" s="1329"/>
      <c r="C631" s="1329"/>
      <c r="D631" s="1329"/>
      <c r="E631" s="1329"/>
      <c r="F631" s="1329"/>
      <c r="G631" s="1329"/>
      <c r="H631" s="1330"/>
      <c r="I631" s="1329">
        <v>16</v>
      </c>
      <c r="J631" s="1329">
        <v>132</v>
      </c>
      <c r="K631" s="1329">
        <v>9</v>
      </c>
      <c r="L631" s="1329">
        <v>0</v>
      </c>
      <c r="M631" s="1329">
        <v>68</v>
      </c>
      <c r="N631" s="1329">
        <v>1</v>
      </c>
      <c r="O631" s="1329">
        <v>825</v>
      </c>
      <c r="P631" s="1329">
        <v>579</v>
      </c>
      <c r="Q631" s="1331">
        <v>7570017</v>
      </c>
      <c r="R631" s="1331">
        <v>1528800</v>
      </c>
      <c r="S631" s="1331">
        <v>191100</v>
      </c>
      <c r="T631" s="1331">
        <v>86496</v>
      </c>
      <c r="U631" s="1331">
        <v>9376413</v>
      </c>
      <c r="V631" s="1331">
        <v>225</v>
      </c>
      <c r="W631" s="1331">
        <v>2883816</v>
      </c>
      <c r="X631" s="1331">
        <v>617600</v>
      </c>
      <c r="Y631" s="1331">
        <v>64872</v>
      </c>
      <c r="Z631" s="1331">
        <v>3566288</v>
      </c>
      <c r="AA631" s="1331">
        <v>804</v>
      </c>
      <c r="AB631" s="1331">
        <v>4824000</v>
      </c>
      <c r="AC631" s="1331">
        <v>12942701</v>
      </c>
      <c r="AD631" s="1331">
        <v>8118701</v>
      </c>
    </row>
  </sheetData>
  <autoFilter ref="A424:AD631" xr:uid="{00000000-0009-0000-0000-000038000000}">
    <filterColumn colId="0">
      <filters>
        <filter val="261"/>
        <filter val="267"/>
        <filter val="271"/>
        <filter val="272"/>
        <filter val="273"/>
        <filter val="275"/>
        <filter val="286"/>
        <filter val="304"/>
      </filters>
    </filterColumn>
    <filterColumn colId="9">
      <customFilters>
        <customFilter operator="notEqual" val=" "/>
      </customFilters>
    </filterColumn>
  </autoFilter>
  <mergeCells count="5">
    <mergeCell ref="A421:P421"/>
    <mergeCell ref="P422:U422"/>
    <mergeCell ref="P423:U423"/>
    <mergeCell ref="V423:Z423"/>
    <mergeCell ref="AA423:AD423"/>
  </mergeCells>
  <conditionalFormatting sqref="H404:AV404">
    <cfRule type="cellIs" dxfId="1" priority="1" operator="lessThan">
      <formula>0</formula>
    </cfRule>
  </conditionalFormatting>
  <pageMargins left="0.7" right="0.7" top="0.75" bottom="0.75" header="0.3" footer="0.3"/>
  <pageSetup orientation="portrait" r:id="rId1"/>
  <tableParts count="1">
    <tablePart r:id="rId2"/>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FFF00"/>
  </sheetPr>
  <dimension ref="A2:BV20"/>
  <sheetViews>
    <sheetView topLeftCell="AB1" workbookViewId="0"/>
  </sheetViews>
  <sheetFormatPr baseColWidth="10" defaultColWidth="9" defaultRowHeight="14"/>
  <cols>
    <col min="2" max="2" width="19.796875" customWidth="1"/>
    <col min="3" max="3" width="15.3984375" customWidth="1"/>
    <col min="4" max="4" width="15.796875" customWidth="1"/>
    <col min="5" max="14" width="7" customWidth="1"/>
    <col min="15" max="15" width="12.59765625" customWidth="1"/>
    <col min="16" max="19" width="8.796875" customWidth="1"/>
    <col min="20" max="20" width="10" customWidth="1"/>
    <col min="21" max="21" width="9.796875" customWidth="1"/>
    <col min="22" max="23" width="10.19921875" customWidth="1"/>
    <col min="24" max="24" width="8.796875" customWidth="1"/>
    <col min="25" max="26" width="8" customWidth="1"/>
    <col min="27" max="27" width="11.19921875" customWidth="1"/>
    <col min="28" max="34" width="8" customWidth="1"/>
    <col min="35" max="35" width="12" customWidth="1"/>
    <col min="36" max="36" width="8.3984375" customWidth="1"/>
    <col min="37" max="39" width="8.59765625" customWidth="1"/>
    <col min="40" max="40" width="12.19921875" customWidth="1"/>
    <col min="41" max="41" width="10.796875" customWidth="1"/>
    <col min="42" max="43" width="11.796875" customWidth="1"/>
    <col min="44" max="44" width="15.796875" customWidth="1"/>
    <col min="45" max="52" width="11.796875" customWidth="1"/>
    <col min="53" max="53" width="14.3984375" customWidth="1"/>
    <col min="54" max="56" width="17.59765625" customWidth="1"/>
    <col min="57" max="57" width="18.59765625" customWidth="1"/>
    <col min="58" max="58" width="14" customWidth="1"/>
    <col min="59" max="59" width="11.3984375" customWidth="1"/>
    <col min="60" max="66" width="12.3984375" customWidth="1"/>
    <col min="67" max="67" width="13.796875" customWidth="1"/>
    <col min="68" max="70" width="12.3984375" customWidth="1"/>
    <col min="71" max="71" width="15.59765625" customWidth="1"/>
    <col min="72" max="73" width="14.19921875" customWidth="1"/>
    <col min="74" max="74" width="15.19921875" customWidth="1"/>
    <col min="75" max="76" width="13.3984375" customWidth="1"/>
    <col min="77" max="77" width="12.59765625" customWidth="1"/>
    <col min="78" max="78" width="16.19921875" customWidth="1"/>
  </cols>
  <sheetData>
    <row r="2" spans="1:74" ht="19">
      <c r="A2" s="33" t="s">
        <v>1754</v>
      </c>
      <c r="C2" s="2"/>
      <c r="E2" s="135" t="s">
        <v>1755</v>
      </c>
      <c r="BB2" s="135" t="s">
        <v>1756</v>
      </c>
      <c r="BH2" s="135" t="s">
        <v>1756</v>
      </c>
    </row>
    <row r="3" spans="1:74" ht="19">
      <c r="A3" s="33" t="s">
        <v>1757</v>
      </c>
    </row>
    <row r="4" spans="1:74">
      <c r="A4" t="s">
        <v>1312</v>
      </c>
    </row>
    <row r="5" spans="1:74" ht="28.5" customHeight="1">
      <c r="C5" s="133" t="s">
        <v>308</v>
      </c>
      <c r="D5" s="36"/>
      <c r="E5" s="127" t="s">
        <v>1100</v>
      </c>
      <c r="F5" s="134"/>
      <c r="G5" s="134"/>
      <c r="H5" s="134"/>
      <c r="I5" s="134"/>
      <c r="J5" s="134"/>
      <c r="K5" s="134"/>
      <c r="L5" s="134"/>
      <c r="M5" s="134"/>
      <c r="N5" s="134"/>
      <c r="O5" s="134"/>
      <c r="P5" s="134"/>
      <c r="Q5" s="134"/>
      <c r="R5" s="134"/>
      <c r="S5" s="134"/>
      <c r="T5" s="134"/>
      <c r="U5" s="134"/>
      <c r="V5" s="127" t="s">
        <v>1758</v>
      </c>
      <c r="W5" s="134"/>
      <c r="X5" s="134"/>
      <c r="Y5" s="134"/>
      <c r="Z5" s="134"/>
      <c r="AA5" s="134"/>
      <c r="AB5" s="125" t="s">
        <v>1102</v>
      </c>
      <c r="AC5" s="36"/>
      <c r="AD5" s="36"/>
      <c r="AE5" s="36"/>
      <c r="AF5" s="36"/>
      <c r="AG5" s="36"/>
      <c r="AH5" s="36"/>
      <c r="AI5" s="36"/>
      <c r="AJ5" s="36"/>
      <c r="AK5" s="36"/>
      <c r="AL5" s="36"/>
      <c r="AM5" s="36"/>
      <c r="AN5" s="36"/>
      <c r="AO5" s="36"/>
      <c r="AP5" s="36"/>
      <c r="AQ5" s="36"/>
      <c r="AR5" s="36"/>
      <c r="AS5" s="125" t="s">
        <v>1103</v>
      </c>
      <c r="AT5" s="36"/>
      <c r="AU5" s="36"/>
      <c r="AV5" s="36"/>
      <c r="AW5" s="36"/>
      <c r="AX5" s="36"/>
      <c r="AY5" s="399"/>
      <c r="AZ5" s="36"/>
      <c r="BA5" s="36"/>
      <c r="BB5" s="129" t="s">
        <v>1759</v>
      </c>
      <c r="BC5" s="129"/>
      <c r="BD5" s="129"/>
      <c r="BE5" s="129"/>
      <c r="BF5" s="129"/>
      <c r="BG5" s="129"/>
      <c r="BH5" s="125" t="s">
        <v>309</v>
      </c>
      <c r="BI5" s="125"/>
      <c r="BJ5" s="125"/>
      <c r="BK5" s="125"/>
      <c r="BL5" s="125"/>
      <c r="BM5" s="125"/>
      <c r="BN5" s="125"/>
      <c r="BO5" s="125"/>
      <c r="BP5" s="125"/>
      <c r="BQ5" s="129" t="s">
        <v>1760</v>
      </c>
      <c r="BR5" s="128"/>
      <c r="BS5" s="128"/>
      <c r="BT5" s="128"/>
      <c r="BU5" s="128"/>
      <c r="BV5" s="128"/>
    </row>
    <row r="6" spans="1:74" ht="51" customHeight="1">
      <c r="A6" s="85" t="s">
        <v>285</v>
      </c>
      <c r="B6" s="85" t="s">
        <v>286</v>
      </c>
      <c r="C6" s="132" t="s">
        <v>1166</v>
      </c>
      <c r="D6" s="132" t="s">
        <v>1761</v>
      </c>
      <c r="E6" s="1470" t="s">
        <v>1276</v>
      </c>
      <c r="F6" s="1470" t="s">
        <v>1277</v>
      </c>
      <c r="G6" s="1470" t="s">
        <v>1118</v>
      </c>
      <c r="H6" s="1470" t="s">
        <v>1119</v>
      </c>
      <c r="I6" s="1470" t="s">
        <v>1120</v>
      </c>
      <c r="J6" s="1470" t="s">
        <v>1121</v>
      </c>
      <c r="K6" s="1470" t="s">
        <v>1122</v>
      </c>
      <c r="L6" s="1470" t="s">
        <v>1123</v>
      </c>
      <c r="M6" s="1470" t="s">
        <v>1124</v>
      </c>
      <c r="N6" s="1470" t="s">
        <v>1125</v>
      </c>
      <c r="O6" s="117" t="s">
        <v>1126</v>
      </c>
      <c r="P6" s="1470" t="s">
        <v>1127</v>
      </c>
      <c r="Q6" s="1470" t="s">
        <v>1128</v>
      </c>
      <c r="R6" s="1470" t="s">
        <v>1129</v>
      </c>
      <c r="S6" s="1470" t="s">
        <v>1130</v>
      </c>
      <c r="T6" s="117" t="s">
        <v>1131</v>
      </c>
      <c r="U6" s="1494" t="s">
        <v>1132</v>
      </c>
      <c r="V6" s="1470" t="s">
        <v>1133</v>
      </c>
      <c r="W6" s="1470" t="s">
        <v>1134</v>
      </c>
      <c r="X6" s="117" t="s">
        <v>1135</v>
      </c>
      <c r="Y6" s="1470" t="s">
        <v>1136</v>
      </c>
      <c r="Z6" s="117" t="s">
        <v>1137</v>
      </c>
      <c r="AA6" s="1494" t="s">
        <v>1762</v>
      </c>
      <c r="AB6" s="117" t="s">
        <v>1278</v>
      </c>
      <c r="AC6" s="117" t="s">
        <v>1279</v>
      </c>
      <c r="AD6" s="117" t="s">
        <v>1143</v>
      </c>
      <c r="AE6" s="117" t="s">
        <v>1144</v>
      </c>
      <c r="AF6" s="117" t="s">
        <v>1145</v>
      </c>
      <c r="AG6" s="117" t="s">
        <v>1146</v>
      </c>
      <c r="AH6" s="117" t="s">
        <v>1147</v>
      </c>
      <c r="AI6" s="117" t="s">
        <v>1148</v>
      </c>
      <c r="AJ6" s="117" t="s">
        <v>1149</v>
      </c>
      <c r="AK6" s="117" t="s">
        <v>1150</v>
      </c>
      <c r="AL6" s="117" t="s">
        <v>1151</v>
      </c>
      <c r="AM6" s="117" t="s">
        <v>1152</v>
      </c>
      <c r="AN6" s="117" t="s">
        <v>1153</v>
      </c>
      <c r="AO6" s="117" t="s">
        <v>1154</v>
      </c>
      <c r="AP6" s="117" t="s">
        <v>1155</v>
      </c>
      <c r="AQ6" s="117" t="s">
        <v>1156</v>
      </c>
      <c r="AR6" s="117" t="s">
        <v>1157</v>
      </c>
      <c r="AS6" s="117" t="s">
        <v>1158</v>
      </c>
      <c r="AT6" s="117" t="s">
        <v>1159</v>
      </c>
      <c r="AU6" s="117" t="s">
        <v>1160</v>
      </c>
      <c r="AV6" s="117" t="s">
        <v>1161</v>
      </c>
      <c r="AW6" s="117" t="s">
        <v>1162</v>
      </c>
      <c r="AX6" s="1494" t="s">
        <v>1163</v>
      </c>
      <c r="AY6" s="132" t="s">
        <v>1763</v>
      </c>
      <c r="AZ6" s="132" t="s">
        <v>1764</v>
      </c>
      <c r="BA6" s="132" t="s">
        <v>1765</v>
      </c>
      <c r="BB6" s="78" t="s">
        <v>1556</v>
      </c>
      <c r="BC6" s="409" t="s">
        <v>1766</v>
      </c>
      <c r="BD6" s="132" t="s">
        <v>1767</v>
      </c>
      <c r="BE6" s="78" t="s">
        <v>1564</v>
      </c>
      <c r="BF6" s="409" t="s">
        <v>1768</v>
      </c>
      <c r="BG6" s="132" t="s">
        <v>1769</v>
      </c>
      <c r="BH6" s="132" t="s">
        <v>483</v>
      </c>
      <c r="BI6" s="411" t="s">
        <v>990</v>
      </c>
      <c r="BJ6" s="132" t="s">
        <v>484</v>
      </c>
      <c r="BK6" s="411" t="s">
        <v>991</v>
      </c>
      <c r="BL6" s="395" t="s">
        <v>1770</v>
      </c>
      <c r="BM6" s="396" t="s">
        <v>1771</v>
      </c>
      <c r="BN6" s="395" t="s">
        <v>1772</v>
      </c>
      <c r="BO6" s="396" t="s">
        <v>1773</v>
      </c>
      <c r="BP6" s="412" t="s">
        <v>1774</v>
      </c>
      <c r="BQ6" s="410" t="s">
        <v>918</v>
      </c>
      <c r="BR6" s="410" t="s">
        <v>919</v>
      </c>
      <c r="BS6" s="410" t="s">
        <v>920</v>
      </c>
      <c r="BT6" s="410" t="s">
        <v>1775</v>
      </c>
      <c r="BU6" s="117" t="s">
        <v>1776</v>
      </c>
      <c r="BV6" s="423" t="s">
        <v>1777</v>
      </c>
    </row>
    <row r="7" spans="1:74">
      <c r="A7">
        <v>261</v>
      </c>
      <c r="B7" t="s">
        <v>1295</v>
      </c>
      <c r="C7" s="131">
        <f t="shared" ref="C7:C17" si="0">AA7+BD7</f>
        <v>179</v>
      </c>
      <c r="D7" s="250">
        <f>D1718EnrlmentbyFN[[#This Row],[Total Headcount]]+D1718EnrlmentbyFN[[#This Row],[Total Prov&amp;Priv Headcount]]</f>
        <v>179</v>
      </c>
      <c r="E7">
        <f>SUMIF('A. 20-21 FN Schools Data'!$A$7:$A$18,'D. 19-20 Enrolment by FN'!$A7,'A. 20-21 FN Schools Data'!E$7:E$18)</f>
        <v>0</v>
      </c>
      <c r="F7">
        <f>SUMIF('A. 20-21 FN Schools Data'!$A$7:$A$18,'D. 19-20 Enrolment by FN'!$A7,'A. 20-21 FN Schools Data'!G$7:G$18)</f>
        <v>0</v>
      </c>
      <c r="G7">
        <f>SUMIF('A. 20-21 FN Schools Data'!$A$7:$A$18,'D. 19-20 Enrolment by FN'!$A7,'A. 20-21 FN Schools Data'!I$7:I$18)</f>
        <v>8</v>
      </c>
      <c r="H7">
        <f>SUMIF('A. 20-21 FN Schools Data'!$A$7:$A$18,'D. 19-20 Enrolment by FN'!$A7,'A. 20-21 FN Schools Data'!J$7:J$18)</f>
        <v>11</v>
      </c>
      <c r="I7">
        <f>SUMIF('A. 20-21 FN Schools Data'!$A$7:$A$18,'D. 19-20 Enrolment by FN'!$A7,'A. 20-21 FN Schools Data'!K$7:K$18)</f>
        <v>4</v>
      </c>
      <c r="J7">
        <f>SUMIF('A. 20-21 FN Schools Data'!$A$7:$A$18,'D. 19-20 Enrolment by FN'!$A7,'A. 20-21 FN Schools Data'!L$7:L$18)</f>
        <v>10</v>
      </c>
      <c r="K7">
        <f>SUMIF('A. 20-21 FN Schools Data'!$A$7:$A$18,'D. 19-20 Enrolment by FN'!$A7,'A. 20-21 FN Schools Data'!M$7:M$18)</f>
        <v>7</v>
      </c>
      <c r="L7">
        <f>SUMIF('A. 20-21 FN Schools Data'!$A$7:$A$18,'D. 19-20 Enrolment by FN'!$A7,'A. 20-21 FN Schools Data'!N$7:N$18)</f>
        <v>14</v>
      </c>
      <c r="M7">
        <f>SUMIF('A. 20-21 FN Schools Data'!$A$7:$A$18,'D. 19-20 Enrolment by FN'!$A7,'A. 20-21 FN Schools Data'!O$7:O$18)</f>
        <v>11</v>
      </c>
      <c r="N7">
        <f>SUMIF('A. 20-21 FN Schools Data'!$A$7:$A$18,'D. 19-20 Enrolment by FN'!$A7,'A. 20-21 FN Schools Data'!P$7:P$18)</f>
        <v>13</v>
      </c>
      <c r="O7">
        <f>SUMIF('A. 20-21 FN Schools Data'!$A$7:$A$18,'D. 19-20 Enrolment by FN'!$A7,'A. 20-21 FN Schools Data'!Q$7:Q$18)</f>
        <v>0</v>
      </c>
      <c r="P7">
        <f>SUMIF('A. 20-21 FN Schools Data'!$A$7:$A$18,'D. 19-20 Enrolment by FN'!$A7,'A. 20-21 FN Schools Data'!R$7:R$18)</f>
        <v>14</v>
      </c>
      <c r="Q7">
        <f>SUMIF('A. 20-21 FN Schools Data'!$A$7:$A$18,'D. 19-20 Enrolment by FN'!$A7,'A. 20-21 FN Schools Data'!S$7:S$18)</f>
        <v>2</v>
      </c>
      <c r="R7">
        <f>SUMIF('A. 20-21 FN Schools Data'!$A$7:$A$18,'D. 19-20 Enrolment by FN'!$A7,'A. 20-21 FN Schools Data'!T$7:T$18)</f>
        <v>3</v>
      </c>
      <c r="S7">
        <f>SUMIF('A. 20-21 FN Schools Data'!$A$7:$A$18,'D. 19-20 Enrolment by FN'!$A7,'A. 20-21 FN Schools Data'!U$7:U$18)</f>
        <v>8</v>
      </c>
      <c r="U7">
        <f>SUMIF('A. 20-21 FN Schools Data'!$A$7:$A$18,'D. 19-20 Enrolment by FN'!$A7,'A. 20-21 FN Schools Data'!W$7:W$18)</f>
        <v>126</v>
      </c>
      <c r="V7">
        <f>SUMIF('A. 20-21 FN Schools Data'!$A$7:$A$18,'D. 19-20 Enrolment by FN'!$A7,'A. 20-21 FN Schools Data'!X$7:X$18)</f>
        <v>0</v>
      </c>
      <c r="W7">
        <f>SUMIF('A. 20-21 FN Schools Data'!$A$7:$A$18,'D. 19-20 Enrolment by FN'!$A7,'A. 20-21 FN Schools Data'!Y$7:Y$18)</f>
        <v>0</v>
      </c>
      <c r="X7">
        <f>SUMIF('A. 20-21 FN Schools Data'!$A$7:$A$18,'D. 19-20 Enrolment by FN'!$A7,'A. 20-21 FN Schools Data'!Z$7:Z$18)</f>
        <v>0</v>
      </c>
      <c r="Y7">
        <f>SUMIF('A. 20-21 FN Schools Data'!$A$7:$A$18,'D. 19-20 Enrolment by FN'!$A7,'A. 20-21 FN Schools Data'!AA$7:AA$18)</f>
        <v>22</v>
      </c>
      <c r="Z7">
        <f>SUMIF('A. 20-21 FN Schools Data'!$A$7:$A$18,'D. 19-20 Enrolment by FN'!$A7,'A. 20-21 FN Schools Data'!AB$7:AB$18)</f>
        <v>0</v>
      </c>
      <c r="AA7" s="121">
        <f>SUMIF('A. 20-21 FN Schools Data'!$A$7:$A$18,'D. 19-20 Enrolment by FN'!$A7,'A. 20-21 FN Schools Data'!AC$7:AC$18)</f>
        <v>148</v>
      </c>
      <c r="AB7">
        <f>SUMIF('A. 20-21 FN Schools Data'!$A$7:$A$18,'D. 19-20 Enrolment by FN'!$A7,'A. 20-21 FN Schools Data'!AD$7:AD$18)</f>
        <v>0</v>
      </c>
      <c r="AC7">
        <f>SUMIF('A. 20-21 FN Schools Data'!$A$7:$A$18,'D. 19-20 Enrolment by FN'!$A7,'A. 20-21 FN Schools Data'!AF$7:AF$18)</f>
        <v>0</v>
      </c>
      <c r="AD7">
        <f>SUMIF('A. 20-21 FN Schools Data'!$A$7:$A$18,'D. 19-20 Enrolment by FN'!$A7,'A. 20-21 FN Schools Data'!AH$7:AH$18)</f>
        <v>8</v>
      </c>
      <c r="AE7">
        <f>SUMIF('A. 20-21 FN Schools Data'!$A$7:$A$18,'D. 19-20 Enrolment by FN'!$A7,'A. 20-21 FN Schools Data'!AI$7:AI$18)</f>
        <v>11</v>
      </c>
      <c r="AF7">
        <f>SUMIF('A. 20-21 FN Schools Data'!$A$7:$A$18,'D. 19-20 Enrolment by FN'!$A7,'A. 20-21 FN Schools Data'!AJ$7:AJ$18)</f>
        <v>4</v>
      </c>
      <c r="AG7">
        <f>SUMIF('A. 20-21 FN Schools Data'!$A$7:$A$18,'D. 19-20 Enrolment by FN'!$A7,'A. 20-21 FN Schools Data'!AK$7:AK$18)</f>
        <v>10</v>
      </c>
      <c r="AH7">
        <f>SUMIF('A. 20-21 FN Schools Data'!$A$7:$A$18,'D. 19-20 Enrolment by FN'!$A7,'A. 20-21 FN Schools Data'!AL$7:AL$18)</f>
        <v>7</v>
      </c>
      <c r="AI7">
        <f>SUMIF('A. 20-21 FN Schools Data'!$A$7:$A$18,'D. 19-20 Enrolment by FN'!$A7,'A. 20-21 FN Schools Data'!AM$7:AM$18)</f>
        <v>14</v>
      </c>
      <c r="AJ7">
        <f>SUMIF('A. 20-21 FN Schools Data'!$A$7:$A$18,'D. 19-20 Enrolment by FN'!$A7,'A. 20-21 FN Schools Data'!AN$7:AN$18)</f>
        <v>11</v>
      </c>
      <c r="AK7">
        <f>SUMIF('A. 20-21 FN Schools Data'!$A$7:$A$18,'D. 19-20 Enrolment by FN'!$A7,'A. 20-21 FN Schools Data'!AO$7:AO$18)</f>
        <v>13</v>
      </c>
      <c r="AL7">
        <f>SUMIF('A. 20-21 FN Schools Data'!$A$7:$A$18,'D. 19-20 Enrolment by FN'!$A7,'A. 20-21 FN Schools Data'!AP$7:AP$18)</f>
        <v>0</v>
      </c>
      <c r="AM7">
        <f>SUMIF('A. 20-21 FN Schools Data'!$A$7:$A$18,'D. 19-20 Enrolment by FN'!$A7,'A. 20-21 FN Schools Data'!AQ$7:AQ$18)</f>
        <v>14</v>
      </c>
      <c r="AN7">
        <f>SUMIF('A. 20-21 FN Schools Data'!$A$7:$A$18,'D. 19-20 Enrolment by FN'!$A7,'A. 20-21 FN Schools Data'!AR$7:AR$18)</f>
        <v>2</v>
      </c>
      <c r="AO7">
        <f>SUMIF('A. 20-21 FN Schools Data'!$A$7:$A$18,'D. 19-20 Enrolment by FN'!$A7,'A. 20-21 FN Schools Data'!AS$7:AS$18)</f>
        <v>3</v>
      </c>
      <c r="AP7">
        <f>SUMIF('A. 20-21 FN Schools Data'!$A$7:$A$18,'D. 19-20 Enrolment by FN'!$A7,'A. 20-21 FN Schools Data'!AT$7:AT$18)</f>
        <v>8</v>
      </c>
      <c r="AQ7">
        <f>SUMIF('A. 20-21 FN Schools Data'!$A$7:$A$18,'D. 19-20 Enrolment by FN'!$A7,'A. 20-21 FN Schools Data'!AU$7:AU$18)</f>
        <v>0</v>
      </c>
      <c r="AR7">
        <f>SUMIF('A. 20-21 FN Schools Data'!$A$7:$A$18,'D. 19-20 Enrolment by FN'!$A7,'A. 20-21 FN Schools Data'!AV$7:AV$18)</f>
        <v>126</v>
      </c>
      <c r="AS7">
        <f>SUMIF('A. 20-21 FN Schools Data'!$A$7:$A$18,'D. 19-20 Enrolment by FN'!$A7,'A. 20-21 FN Schools Data'!AW$7:AW$18)</f>
        <v>0</v>
      </c>
      <c r="AT7">
        <f>SUMIF('A. 20-21 FN Schools Data'!$A$7:$A$18,'D. 19-20 Enrolment by FN'!$A7,'A. 20-21 FN Schools Data'!AX$7:AX$18)</f>
        <v>0</v>
      </c>
      <c r="AU7">
        <f>SUMIF('A. 20-21 FN Schools Data'!$A$7:$A$18,'D. 19-20 Enrolment by FN'!$A7,'A. 20-21 FN Schools Data'!AY$7:AY$18)</f>
        <v>0</v>
      </c>
      <c r="AV7">
        <f>SUMIF('A. 20-21 FN Schools Data'!$A$7:$A$18,'D. 19-20 Enrolment by FN'!$A7,'A. 20-21 FN Schools Data'!AZ$7:AZ$18)</f>
        <v>22</v>
      </c>
      <c r="AW7">
        <f>SUMIF('A. 20-21 FN Schools Data'!$A$7:$A$18,'D. 19-20 Enrolment by FN'!$A7,'A. 20-21 FN Schools Data'!BA$7:BA$18)</f>
        <v>0</v>
      </c>
      <c r="AX7" s="121">
        <f>SUMIF(TableAFNSchools[Band No '#],D1718EnrlmentbyFN[[#This Row],[Band '#]],TableAFNSchools[Total Headcount])</f>
        <v>148</v>
      </c>
      <c r="AY7" t="str">
        <f>INDEX(TableAFNSchools[K4 Program Type],MATCH(D1718EnrlmentbyFN[[#This Row],[Band '#]],TableAFNSchools[Band No '#],0))</f>
        <v>Full-Day</v>
      </c>
      <c r="AZ7" t="str">
        <f t="array" ref="AZ7">INDEX(TableAFNSchools[K5 Program Type],MATCH(D1718EnrlmentbyFN[Band '#],TableAFNSchools[Band No '#],0))</f>
        <v>Full-Day</v>
      </c>
      <c r="BA7" s="383">
        <f>SUMIF(TableAFNSchools[Band No '#],D1718EnrlmentbyFN[[#This Row],[Band '#]],TableAFNSchools[Mandatory room &amp; board &lt;18])</f>
        <v>0</v>
      </c>
      <c r="BB7" s="383">
        <f>SUMIF('B. 20-21 Prov&amp;Priv Enrolment&lt;22'!$A$8:$A$54,D1718EnrlmentbyFN[[#This Row],[Band '#]],'B. 20-21 Prov&amp;Priv Enrolment&lt;22'!$Y$8:$Y$54)</f>
        <v>31</v>
      </c>
      <c r="BC7" s="383">
        <f>SUMIF('C. 20-21 Prov&amp;Priv 22+'!$A$7:$A$7,D1718EnrlmentbyFN[[#This Row],[Band '#]],'C. 20-21 Prov&amp;Priv 22+'!$Q$7:$Q$7)</f>
        <v>0</v>
      </c>
      <c r="BD7" s="383">
        <f>SUM(D1718EnrlmentbyFN[[#This Row],[Total &lt;22 FTE]:[22+ FTE Enrolment (including Invalid Values)]])</f>
        <v>31</v>
      </c>
      <c r="BE7" s="383">
        <f>SUMIF('B. 20-21 Prov&amp;Priv Enrolment&lt;22'!$A$8:$A$54,D1718EnrlmentbyFN[[#This Row],[Band '#]],'B. 20-21 Prov&amp;Priv Enrolment&lt;22'!$AR$8:$AR$54)</f>
        <v>31</v>
      </c>
      <c r="BF7" s="383">
        <f>SUMIF('C. 20-21 Prov&amp;Priv 22+'!$A$7:$A$7,D1718EnrlmentbyFN[[#This Row],[Band '#]],'C. 20-21 Prov&amp;Priv 22+'!$AH$7:$AH$7)</f>
        <v>0</v>
      </c>
      <c r="BG7" s="378">
        <f>SUM(D1718EnrlmentbyFN[[#This Row],[Total &lt;22 Headcount]:[22+ Headcount Enrolment (including Invalid Values)]])</f>
        <v>31</v>
      </c>
      <c r="BH7" s="383">
        <f>SUMIF('B.1 Accommmodation Data'!$A$8:$A$37,D1718EnrlmentbyFN[[#This Row],[Band '#]],'B.1 Accommmodation Data'!$K$8:$K$37)</f>
        <v>0</v>
      </c>
      <c r="BI7" s="383">
        <f>SUMIF('B.1 Accommmodation Data'!$A$8:$A$37,D1718EnrlmentbyFN[[#This Row],[Band '#]],'B.1 Accommmodation Data'!$P$8:$P$37)</f>
        <v>1</v>
      </c>
      <c r="BJ7" s="383">
        <f>SUMIF('B.1 Accommmodation Data'!$A$8:$A$37,D1718EnrlmentbyFN[[#This Row],[Band '#]],'B.1 Accommmodation Data'!$I$8:$I$37)</f>
        <v>0</v>
      </c>
      <c r="BK7" s="383">
        <f>SUMIF('B.1 Accommmodation Data'!$A$8:$A$37,D1718EnrlmentbyFN[[#This Row],[Band '#]],'B.1 Accommmodation Data'!$N$8:$N$37)</f>
        <v>0</v>
      </c>
      <c r="BL7" s="383">
        <f>SUMIF('B.1 Accommmodation Data'!$A$8:$A$37,D1718EnrlmentbyFN[[#This Row],[Band '#]],'B.1 Accommmodation Data'!$H$8:$H$37)</f>
        <v>0</v>
      </c>
      <c r="BM7" s="383">
        <f>SUMIF('B.1 Accommmodation Data'!$A$8:$A$37,D1718EnrlmentbyFN[[#This Row],[Band '#]],'B.1 Accommmodation Data'!$M$8:$M$37)</f>
        <v>0</v>
      </c>
      <c r="BN7" s="383">
        <f>SUMIF('B.1 Accommmodation Data'!$A$8:$A$37,D1718EnrlmentbyFN[[#This Row],[Band '#]],'B.1 Accommmodation Data'!$J$8:$J$37)</f>
        <v>0</v>
      </c>
      <c r="BO7" s="383">
        <f>SUMIF('B.1 Accommmodation Data'!$A$8:$A$37,D1718EnrlmentbyFN[[#This Row],[Band '#]],'B.1 Accommmodation Data'!$O$8:$O$37)</f>
        <v>0</v>
      </c>
      <c r="BP7"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1</v>
      </c>
      <c r="BQ7" s="986">
        <f>SUMIF('B. 20-21 Prov&amp;Priv Enrolment&lt;22'!$A$8:$A$54,D1718EnrlmentbyFN[[#This Row],[Band '#]],'B. 20-21 Prov&amp;Priv Enrolment&lt;22'!$Z$8:$Z$54)</f>
        <v>0</v>
      </c>
      <c r="BR7" s="986" t="s">
        <v>1306</v>
      </c>
      <c r="BS7" s="986">
        <f>SUMIF('B. 20-21 Prov&amp;Priv Enrolment&lt;22'!$A$8:$A$54,D1718EnrlmentbyFN[[#This Row],[Band '#]],'B. 20-21 Prov&amp;Priv Enrolment&lt;22'!$AC$8:$AC$54)</f>
        <v>0</v>
      </c>
      <c r="BT7" s="92" t="s">
        <v>1778</v>
      </c>
      <c r="BU7" s="986">
        <f>SUMIF('B. 20-21 Prov&amp;Priv Enrolment&lt;22'!$A$8:$A$54,D1718EnrlmentbyFN[[#This Row],[Band '#]],'B. 20-21 Prov&amp;Priv Enrolment&lt;22'!$AR$8:$AR$54)-D1718EnrlmentbyFN[[#This Row],[Prov K4 Headcount]]-D1718EnrlmentbyFN[[#This Row],[Prov K5 Headcount]]</f>
        <v>31</v>
      </c>
      <c r="BV7">
        <v>37</v>
      </c>
    </row>
    <row r="8" spans="1:74">
      <c r="A8">
        <v>267</v>
      </c>
      <c r="B8" t="s">
        <v>392</v>
      </c>
      <c r="C8" s="131">
        <f t="shared" si="0"/>
        <v>238</v>
      </c>
      <c r="D8" s="250">
        <f>D1718EnrlmentbyFN[[#This Row],[Total Headcount]]+D1718EnrlmentbyFN[[#This Row],[Total Prov&amp;Priv Headcount]]</f>
        <v>238</v>
      </c>
      <c r="E8">
        <f>SUMIF('A. 20-21 FN Schools Data'!$A$7:$A$18,'D. 19-20 Enrolment by FN'!$A8,'A. 20-21 FN Schools Data'!E$7:E$18)</f>
        <v>0</v>
      </c>
      <c r="F8">
        <f>SUMIF('A. 20-21 FN Schools Data'!$A$7:$A$18,'D. 19-20 Enrolment by FN'!$A8,'A. 20-21 FN Schools Data'!G$7:G$18)</f>
        <v>0</v>
      </c>
      <c r="G8">
        <f>SUMIF('A. 20-21 FN Schools Data'!$A$7:$A$18,'D. 19-20 Enrolment by FN'!$A8,'A. 20-21 FN Schools Data'!I$7:I$18)</f>
        <v>24</v>
      </c>
      <c r="H8">
        <f>SUMIF('A. 20-21 FN Schools Data'!$A$7:$A$18,'D. 19-20 Enrolment by FN'!$A8,'A. 20-21 FN Schools Data'!J$7:J$18)</f>
        <v>13</v>
      </c>
      <c r="I8">
        <f>SUMIF('A. 20-21 FN Schools Data'!$A$7:$A$18,'D. 19-20 Enrolment by FN'!$A8,'A. 20-21 FN Schools Data'!K$7:K$18)</f>
        <v>13</v>
      </c>
      <c r="J8">
        <f>SUMIF('A. 20-21 FN Schools Data'!$A$7:$A$18,'D. 19-20 Enrolment by FN'!$A8,'A. 20-21 FN Schools Data'!L$7:L$18)</f>
        <v>20</v>
      </c>
      <c r="K8">
        <f>SUMIF('A. 20-21 FN Schools Data'!$A$7:$A$18,'D. 19-20 Enrolment by FN'!$A8,'A. 20-21 FN Schools Data'!M$7:M$18)</f>
        <v>15</v>
      </c>
      <c r="L8">
        <f>SUMIF('A. 20-21 FN Schools Data'!$A$7:$A$18,'D. 19-20 Enrolment by FN'!$A8,'A. 20-21 FN Schools Data'!N$7:N$18)</f>
        <v>19</v>
      </c>
      <c r="M8">
        <f>SUMIF('A. 20-21 FN Schools Data'!$A$7:$A$18,'D. 19-20 Enrolment by FN'!$A8,'A. 20-21 FN Schools Data'!O$7:O$18)</f>
        <v>14</v>
      </c>
      <c r="N8">
        <f>SUMIF('A. 20-21 FN Schools Data'!$A$7:$A$18,'D. 19-20 Enrolment by FN'!$A8,'A. 20-21 FN Schools Data'!P$7:P$18)</f>
        <v>22</v>
      </c>
      <c r="O8">
        <f>SUMIF('A. 20-21 FN Schools Data'!$A$7:$A$18,'D. 19-20 Enrolment by FN'!$A8,'A. 20-21 FN Schools Data'!Q$7:Q$18)</f>
        <v>0</v>
      </c>
      <c r="P8">
        <f>SUMIF('A. 20-21 FN Schools Data'!$A$7:$A$18,'D. 19-20 Enrolment by FN'!$A8,'A. 20-21 FN Schools Data'!R$7:R$18)</f>
        <v>11</v>
      </c>
      <c r="Q8">
        <f>SUMIF('A. 20-21 FN Schools Data'!$A$7:$A$18,'D. 19-20 Enrolment by FN'!$A8,'A. 20-21 FN Schools Data'!S$7:S$18)</f>
        <v>5</v>
      </c>
      <c r="R8">
        <f>SUMIF('A. 20-21 FN Schools Data'!$A$7:$A$18,'D. 19-20 Enrolment by FN'!$A8,'A. 20-21 FN Schools Data'!T$7:T$18)</f>
        <v>2</v>
      </c>
      <c r="S8">
        <f>SUMIF('A. 20-21 FN Schools Data'!$A$7:$A$18,'D. 19-20 Enrolment by FN'!$A8,'A. 20-21 FN Schools Data'!U$7:U$18)</f>
        <v>0</v>
      </c>
      <c r="U8">
        <f>SUMIF('A. 20-21 FN Schools Data'!$A$7:$A$18,'D. 19-20 Enrolment by FN'!$A8,'A. 20-21 FN Schools Data'!W$7:W$18)</f>
        <v>194</v>
      </c>
      <c r="V8">
        <f>SUMIF('A. 20-21 FN Schools Data'!$A$7:$A$18,'D. 19-20 Enrolment by FN'!$A8,'A. 20-21 FN Schools Data'!X$7:X$18)</f>
        <v>0</v>
      </c>
      <c r="W8">
        <f>SUMIF('A. 20-21 FN Schools Data'!$A$7:$A$18,'D. 19-20 Enrolment by FN'!$A8,'A. 20-21 FN Schools Data'!Y$7:Y$18)</f>
        <v>0</v>
      </c>
      <c r="X8">
        <f>SUMIF('A. 20-21 FN Schools Data'!$A$7:$A$18,'D. 19-20 Enrolment by FN'!$A8,'A. 20-21 FN Schools Data'!Z$7:Z$18)</f>
        <v>0</v>
      </c>
      <c r="Y8">
        <f>SUMIF('A. 20-21 FN Schools Data'!$A$7:$A$18,'D. 19-20 Enrolment by FN'!$A8,'A. 20-21 FN Schools Data'!AA$7:AA$18)</f>
        <v>0</v>
      </c>
      <c r="Z8">
        <f>SUMIF('A. 20-21 FN Schools Data'!$A$7:$A$18,'D. 19-20 Enrolment by FN'!$A8,'A. 20-21 FN Schools Data'!AB$7:AB$18)</f>
        <v>0</v>
      </c>
      <c r="AA8" s="121">
        <f>SUMIF('A. 20-21 FN Schools Data'!$A$7:$A$18,'D. 19-20 Enrolment by FN'!$A8,'A. 20-21 FN Schools Data'!AC$7:AC$18)</f>
        <v>194</v>
      </c>
      <c r="AB8">
        <f>SUMIF('A. 20-21 FN Schools Data'!$A$7:$A$18,'D. 19-20 Enrolment by FN'!$A8,'A. 20-21 FN Schools Data'!AD$7:AD$18)</f>
        <v>0</v>
      </c>
      <c r="AC8">
        <f>SUMIF('A. 20-21 FN Schools Data'!$A$7:$A$18,'D. 19-20 Enrolment by FN'!$A8,'A. 20-21 FN Schools Data'!AF$7:AF$18)</f>
        <v>0</v>
      </c>
      <c r="AD8">
        <f>SUMIF('A. 20-21 FN Schools Data'!$A$7:$A$18,'D. 19-20 Enrolment by FN'!$A8,'A. 20-21 FN Schools Data'!AH$7:AH$18)</f>
        <v>24</v>
      </c>
      <c r="AE8">
        <f>SUMIF('A. 20-21 FN Schools Data'!$A$7:$A$18,'D. 19-20 Enrolment by FN'!$A8,'A. 20-21 FN Schools Data'!AI$7:AI$18)</f>
        <v>13</v>
      </c>
      <c r="AF8">
        <f>SUMIF('A. 20-21 FN Schools Data'!$A$7:$A$18,'D. 19-20 Enrolment by FN'!$A8,'A. 20-21 FN Schools Data'!AJ$7:AJ$18)</f>
        <v>13</v>
      </c>
      <c r="AG8">
        <f>SUMIF('A. 20-21 FN Schools Data'!$A$7:$A$18,'D. 19-20 Enrolment by FN'!$A8,'A. 20-21 FN Schools Data'!AK$7:AK$18)</f>
        <v>20</v>
      </c>
      <c r="AH8">
        <f>SUMIF('A. 20-21 FN Schools Data'!$A$7:$A$18,'D. 19-20 Enrolment by FN'!$A8,'A. 20-21 FN Schools Data'!AL$7:AL$18)</f>
        <v>15</v>
      </c>
      <c r="AI8">
        <f>SUMIF('A. 20-21 FN Schools Data'!$A$7:$A$18,'D. 19-20 Enrolment by FN'!$A8,'A. 20-21 FN Schools Data'!AM$7:AM$18)</f>
        <v>19</v>
      </c>
      <c r="AJ8">
        <f>SUMIF('A. 20-21 FN Schools Data'!$A$7:$A$18,'D. 19-20 Enrolment by FN'!$A8,'A. 20-21 FN Schools Data'!AN$7:AN$18)</f>
        <v>14</v>
      </c>
      <c r="AK8">
        <f>SUMIF('A. 20-21 FN Schools Data'!$A$7:$A$18,'D. 19-20 Enrolment by FN'!$A8,'A. 20-21 FN Schools Data'!AO$7:AO$18)</f>
        <v>22</v>
      </c>
      <c r="AL8">
        <f>SUMIF('A. 20-21 FN Schools Data'!$A$7:$A$18,'D. 19-20 Enrolment by FN'!$A8,'A. 20-21 FN Schools Data'!AP$7:AP$18)</f>
        <v>0</v>
      </c>
      <c r="AM8">
        <f>SUMIF('A. 20-21 FN Schools Data'!$A$7:$A$18,'D. 19-20 Enrolment by FN'!$A8,'A. 20-21 FN Schools Data'!AQ$7:AQ$18)</f>
        <v>11</v>
      </c>
      <c r="AN8">
        <f>SUMIF('A. 20-21 FN Schools Data'!$A$7:$A$18,'D. 19-20 Enrolment by FN'!$A8,'A. 20-21 FN Schools Data'!AR$7:AR$18)</f>
        <v>5</v>
      </c>
      <c r="AO8">
        <f>SUMIF('A. 20-21 FN Schools Data'!$A$7:$A$18,'D. 19-20 Enrolment by FN'!$A8,'A. 20-21 FN Schools Data'!AS$7:AS$18)</f>
        <v>2</v>
      </c>
      <c r="AP8">
        <f>SUMIF('A. 20-21 FN Schools Data'!$A$7:$A$18,'D. 19-20 Enrolment by FN'!$A8,'A. 20-21 FN Schools Data'!AT$7:AT$18)</f>
        <v>0</v>
      </c>
      <c r="AQ8">
        <f>SUMIF('A. 20-21 FN Schools Data'!$A$7:$A$18,'D. 19-20 Enrolment by FN'!$A8,'A. 20-21 FN Schools Data'!AU$7:AU$18)</f>
        <v>0</v>
      </c>
      <c r="AR8">
        <f>SUMIF('A. 20-21 FN Schools Data'!$A$7:$A$18,'D. 19-20 Enrolment by FN'!$A8,'A. 20-21 FN Schools Data'!AV$7:AV$18)</f>
        <v>194</v>
      </c>
      <c r="AS8">
        <f>SUMIF('A. 20-21 FN Schools Data'!$A$7:$A$18,'D. 19-20 Enrolment by FN'!$A8,'A. 20-21 FN Schools Data'!AW$7:AW$18)</f>
        <v>0</v>
      </c>
      <c r="AT8">
        <f>SUMIF('A. 20-21 FN Schools Data'!$A$7:$A$18,'D. 19-20 Enrolment by FN'!$A8,'A. 20-21 FN Schools Data'!AX$7:AX$18)</f>
        <v>0</v>
      </c>
      <c r="AU8">
        <f>SUMIF('A. 20-21 FN Schools Data'!$A$7:$A$18,'D. 19-20 Enrolment by FN'!$A8,'A. 20-21 FN Schools Data'!AY$7:AY$18)</f>
        <v>0</v>
      </c>
      <c r="AV8">
        <f>SUMIF('A. 20-21 FN Schools Data'!$A$7:$A$18,'D. 19-20 Enrolment by FN'!$A8,'A. 20-21 FN Schools Data'!AZ$7:AZ$18)</f>
        <v>0</v>
      </c>
      <c r="AW8">
        <f>SUMIF('A. 20-21 FN Schools Data'!$A$7:$A$18,'D. 19-20 Enrolment by FN'!$A8,'A. 20-21 FN Schools Data'!BA$7:BA$18)</f>
        <v>0</v>
      </c>
      <c r="AX8" s="121">
        <f>SUMIF(TableAFNSchools[Band No '#],D1718EnrlmentbyFN[[#This Row],[Band '#]],TableAFNSchools[Total Headcount])</f>
        <v>194</v>
      </c>
      <c r="AY8" t="str">
        <f>INDEX(TableAFNSchools[K4 Program Type],MATCH(D1718EnrlmentbyFN[[#This Row],[Band '#]],TableAFNSchools[Band No '#],0))</f>
        <v>Full-Day</v>
      </c>
      <c r="AZ8" t="str">
        <f t="array" ref="AZ8">INDEX(TableAFNSchools[K5 Program Type],MATCH(D1718EnrlmentbyFN[Band '#],TableAFNSchools[Band No '#],0))</f>
        <v>Full-Day</v>
      </c>
      <c r="BA8" s="383">
        <f>SUMIF(TableAFNSchools[Band No '#],D1718EnrlmentbyFN[[#This Row],[Band '#]],TableAFNSchools[Mandatory room &amp; board &lt;18])</f>
        <v>0</v>
      </c>
      <c r="BB8" s="383">
        <f>SUMIF('B. 20-21 Prov&amp;Priv Enrolment&lt;22'!$A$8:$A$54,D1718EnrlmentbyFN[[#This Row],[Band '#]],'B. 20-21 Prov&amp;Priv Enrolment&lt;22'!$Y$8:$Y$54)</f>
        <v>28</v>
      </c>
      <c r="BC8" s="383">
        <f>SUMIF('C. 20-21 Prov&amp;Priv 22+'!$A$7:$A$7,D1718EnrlmentbyFN[[#This Row],[Band '#]],'C. 20-21 Prov&amp;Priv 22+'!$Q$7:$Q$7)</f>
        <v>16</v>
      </c>
      <c r="BD8" s="383">
        <f>SUM(D1718EnrlmentbyFN[[#This Row],[Total &lt;22 FTE]:[22+ FTE Enrolment (including Invalid Values)]])</f>
        <v>44</v>
      </c>
      <c r="BE8" s="383">
        <f>SUMIF('B. 20-21 Prov&amp;Priv Enrolment&lt;22'!$A$8:$A$54,D1718EnrlmentbyFN[[#This Row],[Band '#]],'B. 20-21 Prov&amp;Priv Enrolment&lt;22'!$AR$8:$AR$54)</f>
        <v>28</v>
      </c>
      <c r="BF8" s="383">
        <f>SUMIF('C. 20-21 Prov&amp;Priv 22+'!$A$7:$A$7,D1718EnrlmentbyFN[[#This Row],[Band '#]],'C. 20-21 Prov&amp;Priv 22+'!$AH$7:$AH$7)</f>
        <v>16</v>
      </c>
      <c r="BG8" s="378">
        <f>SUM(D1718EnrlmentbyFN[[#This Row],[Total &lt;22 Headcount]:[22+ Headcount Enrolment (including Invalid Values)]])</f>
        <v>44</v>
      </c>
      <c r="BH8" s="383">
        <f>SUMIF('B.1 Accommmodation Data'!$A$8:$A$37,D1718EnrlmentbyFN[[#This Row],[Band '#]],'B.1 Accommmodation Data'!$K$8:$K$37)</f>
        <v>7</v>
      </c>
      <c r="BI8" s="383">
        <f>SUMIF('B.1 Accommmodation Data'!$A$8:$A$37,D1718EnrlmentbyFN[[#This Row],[Band '#]],'B.1 Accommmodation Data'!$P$8:$P$37)</f>
        <v>14</v>
      </c>
      <c r="BJ8" s="383">
        <f>SUMIF('B.1 Accommmodation Data'!$A$8:$A$37,D1718EnrlmentbyFN[[#This Row],[Band '#]],'B.1 Accommmodation Data'!$I$8:$I$37)</f>
        <v>4</v>
      </c>
      <c r="BK8" s="383">
        <f>SUMIF('B.1 Accommmodation Data'!$A$8:$A$37,D1718EnrlmentbyFN[[#This Row],[Band '#]],'B.1 Accommmodation Data'!$N$8:$N$37)</f>
        <v>0</v>
      </c>
      <c r="BL8" s="383">
        <f>SUMIF('B.1 Accommmodation Data'!$A$8:$A$37,D1718EnrlmentbyFN[[#This Row],[Band '#]],'B.1 Accommmodation Data'!$H$8:$H$37)</f>
        <v>0</v>
      </c>
      <c r="BM8" s="383">
        <f>SUMIF('B.1 Accommmodation Data'!$A$8:$A$37,D1718EnrlmentbyFN[[#This Row],[Band '#]],'B.1 Accommmodation Data'!$M$8:$M$37)</f>
        <v>0</v>
      </c>
      <c r="BN8" s="383">
        <f>SUMIF('B.1 Accommmodation Data'!$A$8:$A$37,D1718EnrlmentbyFN[[#This Row],[Band '#]],'B.1 Accommmodation Data'!$J$8:$J$37)</f>
        <v>0</v>
      </c>
      <c r="BO8" s="383">
        <f>SUMIF('B.1 Accommmodation Data'!$A$8:$A$37,D1718EnrlmentbyFN[[#This Row],[Band '#]],'B.1 Accommmodation Data'!$O$8:$O$37)</f>
        <v>0</v>
      </c>
      <c r="BP8"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25</v>
      </c>
      <c r="BQ8" s="986">
        <f>SUMIF('B. 20-21 Prov&amp;Priv Enrolment&lt;22'!$A$8:$A$54,D1718EnrlmentbyFN[[#This Row],[Band '#]],'B. 20-21 Prov&amp;Priv Enrolment&lt;22'!$Z$8:$Z$54)</f>
        <v>0</v>
      </c>
      <c r="BR8" s="986" t="s">
        <v>1306</v>
      </c>
      <c r="BS8" s="986">
        <f>SUMIF('B. 20-21 Prov&amp;Priv Enrolment&lt;22'!$A$8:$A$54,D1718EnrlmentbyFN[[#This Row],[Band '#]],'B. 20-21 Prov&amp;Priv Enrolment&lt;22'!$AC$8:$AC$54)</f>
        <v>0</v>
      </c>
      <c r="BT8" s="92" t="s">
        <v>1306</v>
      </c>
      <c r="BU8" s="986">
        <f>SUMIF('B. 20-21 Prov&amp;Priv Enrolment&lt;22'!$A$8:$A$54,D1718EnrlmentbyFN[[#This Row],[Band '#]],'B. 20-21 Prov&amp;Priv Enrolment&lt;22'!$AR$8:$AR$54)-D1718EnrlmentbyFN[[#This Row],[Prov K4 Headcount]]-D1718EnrlmentbyFN[[#This Row],[Prov K5 Headcount]]</f>
        <v>28</v>
      </c>
      <c r="BV8">
        <v>17</v>
      </c>
    </row>
    <row r="9" spans="1:74">
      <c r="A9">
        <v>271</v>
      </c>
      <c r="B9" t="s">
        <v>396</v>
      </c>
      <c r="C9" s="131">
        <f t="shared" si="0"/>
        <v>307</v>
      </c>
      <c r="D9" s="250">
        <f>D1718EnrlmentbyFN[[#This Row],[Total Headcount]]+D1718EnrlmentbyFN[[#This Row],[Total Prov&amp;Priv Headcount]]</f>
        <v>307</v>
      </c>
      <c r="E9">
        <f>SUMIF('A. 20-21 FN Schools Data'!$A$7:$A$18,'D. 19-20 Enrolment by FN'!$A9,'A. 20-21 FN Schools Data'!E$7:E$18)</f>
        <v>0</v>
      </c>
      <c r="F9">
        <f>SUMIF('A. 20-21 FN Schools Data'!$A$7:$A$18,'D. 19-20 Enrolment by FN'!$A9,'A. 20-21 FN Schools Data'!G$7:G$18)</f>
        <v>0</v>
      </c>
      <c r="G9">
        <f>SUMIF('A. 20-21 FN Schools Data'!$A$7:$A$18,'D. 19-20 Enrolment by FN'!$A9,'A. 20-21 FN Schools Data'!I$7:I$18)</f>
        <v>29</v>
      </c>
      <c r="H9">
        <f>SUMIF('A. 20-21 FN Schools Data'!$A$7:$A$18,'D. 19-20 Enrolment by FN'!$A9,'A. 20-21 FN Schools Data'!J$7:J$18)</f>
        <v>21</v>
      </c>
      <c r="I9">
        <f>SUMIF('A. 20-21 FN Schools Data'!$A$7:$A$18,'D. 19-20 Enrolment by FN'!$A9,'A. 20-21 FN Schools Data'!K$7:K$18)</f>
        <v>20</v>
      </c>
      <c r="J9">
        <f>SUMIF('A. 20-21 FN Schools Data'!$A$7:$A$18,'D. 19-20 Enrolment by FN'!$A9,'A. 20-21 FN Schools Data'!L$7:L$18)</f>
        <v>16</v>
      </c>
      <c r="K9">
        <f>SUMIF('A. 20-21 FN Schools Data'!$A$7:$A$18,'D. 19-20 Enrolment by FN'!$A9,'A. 20-21 FN Schools Data'!M$7:M$18)</f>
        <v>19</v>
      </c>
      <c r="L9">
        <f>SUMIF('A. 20-21 FN Schools Data'!$A$7:$A$18,'D. 19-20 Enrolment by FN'!$A9,'A. 20-21 FN Schools Data'!N$7:N$18)</f>
        <v>17</v>
      </c>
      <c r="M9">
        <f>SUMIF('A. 20-21 FN Schools Data'!$A$7:$A$18,'D. 19-20 Enrolment by FN'!$A9,'A. 20-21 FN Schools Data'!O$7:O$18)</f>
        <v>27</v>
      </c>
      <c r="N9">
        <f>SUMIF('A. 20-21 FN Schools Data'!$A$7:$A$18,'D. 19-20 Enrolment by FN'!$A9,'A. 20-21 FN Schools Data'!P$7:P$18)</f>
        <v>22</v>
      </c>
      <c r="O9">
        <f>SUMIF('A. 20-21 FN Schools Data'!$A$7:$A$18,'D. 19-20 Enrolment by FN'!$A9,'A. 20-21 FN Schools Data'!Q$7:Q$18)</f>
        <v>0</v>
      </c>
      <c r="P9">
        <f>SUMIF('A. 20-21 FN Schools Data'!$A$7:$A$18,'D. 19-20 Enrolment by FN'!$A9,'A. 20-21 FN Schools Data'!R$7:R$18)</f>
        <v>27</v>
      </c>
      <c r="Q9">
        <f>SUMIF('A. 20-21 FN Schools Data'!$A$7:$A$18,'D. 19-20 Enrolment by FN'!$A9,'A. 20-21 FN Schools Data'!S$7:S$18)</f>
        <v>18</v>
      </c>
      <c r="R9">
        <f>SUMIF('A. 20-21 FN Schools Data'!$A$7:$A$18,'D. 19-20 Enrolment by FN'!$A9,'A. 20-21 FN Schools Data'!T$7:T$18)</f>
        <v>27</v>
      </c>
      <c r="S9">
        <f>SUMIF('A. 20-21 FN Schools Data'!$A$7:$A$18,'D. 19-20 Enrolment by FN'!$A9,'A. 20-21 FN Schools Data'!U$7:U$18)</f>
        <v>21</v>
      </c>
      <c r="U9">
        <f>SUMIF('A. 20-21 FN Schools Data'!$A$7:$A$18,'D. 19-20 Enrolment by FN'!$A9,'A. 20-21 FN Schools Data'!W$7:W$18)</f>
        <v>303</v>
      </c>
      <c r="V9">
        <f>SUMIF('A. 20-21 FN Schools Data'!$A$7:$A$18,'D. 19-20 Enrolment by FN'!$A9,'A. 20-21 FN Schools Data'!X$7:X$18)</f>
        <v>0</v>
      </c>
      <c r="W9">
        <f>SUMIF('A. 20-21 FN Schools Data'!$A$7:$A$18,'D. 19-20 Enrolment by FN'!$A9,'A. 20-21 FN Schools Data'!Y$7:Y$18)</f>
        <v>0</v>
      </c>
      <c r="X9">
        <f>SUMIF('A. 20-21 FN Schools Data'!$A$7:$A$18,'D. 19-20 Enrolment by FN'!$A9,'A. 20-21 FN Schools Data'!Z$7:Z$18)</f>
        <v>0</v>
      </c>
      <c r="Y9">
        <f>SUMIF('A. 20-21 FN Schools Data'!$A$7:$A$18,'D. 19-20 Enrolment by FN'!$A9,'A. 20-21 FN Schools Data'!AA$7:AA$18)</f>
        <v>0</v>
      </c>
      <c r="Z9">
        <f>SUMIF('A. 20-21 FN Schools Data'!$A$7:$A$18,'D. 19-20 Enrolment by FN'!$A9,'A. 20-21 FN Schools Data'!AB$7:AB$18)</f>
        <v>0</v>
      </c>
      <c r="AA9" s="121">
        <f>SUMIF('A. 20-21 FN Schools Data'!$A$7:$A$18,'D. 19-20 Enrolment by FN'!$A9,'A. 20-21 FN Schools Data'!AC$7:AC$18)</f>
        <v>303</v>
      </c>
      <c r="AB9">
        <f>SUMIF('A. 20-21 FN Schools Data'!$A$7:$A$18,'D. 19-20 Enrolment by FN'!$A9,'A. 20-21 FN Schools Data'!AD$7:AD$18)</f>
        <v>0</v>
      </c>
      <c r="AC9">
        <f>SUMIF('A. 20-21 FN Schools Data'!$A$7:$A$18,'D. 19-20 Enrolment by FN'!$A9,'A. 20-21 FN Schools Data'!AF$7:AF$18)</f>
        <v>0</v>
      </c>
      <c r="AD9">
        <f>SUMIF('A. 20-21 FN Schools Data'!$A$7:$A$18,'D. 19-20 Enrolment by FN'!$A9,'A. 20-21 FN Schools Data'!AH$7:AH$18)</f>
        <v>29</v>
      </c>
      <c r="AE9">
        <f>SUMIF('A. 20-21 FN Schools Data'!$A$7:$A$18,'D. 19-20 Enrolment by FN'!$A9,'A. 20-21 FN Schools Data'!AI$7:AI$18)</f>
        <v>21</v>
      </c>
      <c r="AF9">
        <f>SUMIF('A. 20-21 FN Schools Data'!$A$7:$A$18,'D. 19-20 Enrolment by FN'!$A9,'A. 20-21 FN Schools Data'!AJ$7:AJ$18)</f>
        <v>20</v>
      </c>
      <c r="AG9">
        <f>SUMIF('A. 20-21 FN Schools Data'!$A$7:$A$18,'D. 19-20 Enrolment by FN'!$A9,'A. 20-21 FN Schools Data'!AK$7:AK$18)</f>
        <v>16</v>
      </c>
      <c r="AH9">
        <f>SUMIF('A. 20-21 FN Schools Data'!$A$7:$A$18,'D. 19-20 Enrolment by FN'!$A9,'A. 20-21 FN Schools Data'!AL$7:AL$18)</f>
        <v>19</v>
      </c>
      <c r="AI9">
        <f>SUMIF('A. 20-21 FN Schools Data'!$A$7:$A$18,'D. 19-20 Enrolment by FN'!$A9,'A. 20-21 FN Schools Data'!AM$7:AM$18)</f>
        <v>17</v>
      </c>
      <c r="AJ9">
        <f>SUMIF('A. 20-21 FN Schools Data'!$A$7:$A$18,'D. 19-20 Enrolment by FN'!$A9,'A. 20-21 FN Schools Data'!AN$7:AN$18)</f>
        <v>27</v>
      </c>
      <c r="AK9">
        <f>SUMIF('A. 20-21 FN Schools Data'!$A$7:$A$18,'D. 19-20 Enrolment by FN'!$A9,'A. 20-21 FN Schools Data'!AO$7:AO$18)</f>
        <v>22</v>
      </c>
      <c r="AL9">
        <f>SUMIF('A. 20-21 FN Schools Data'!$A$7:$A$18,'D. 19-20 Enrolment by FN'!$A9,'A. 20-21 FN Schools Data'!AP$7:AP$18)</f>
        <v>0</v>
      </c>
      <c r="AM9">
        <f>SUMIF('A. 20-21 FN Schools Data'!$A$7:$A$18,'D. 19-20 Enrolment by FN'!$A9,'A. 20-21 FN Schools Data'!AQ$7:AQ$18)</f>
        <v>27</v>
      </c>
      <c r="AN9">
        <f>SUMIF('A. 20-21 FN Schools Data'!$A$7:$A$18,'D. 19-20 Enrolment by FN'!$A9,'A. 20-21 FN Schools Data'!AR$7:AR$18)</f>
        <v>18</v>
      </c>
      <c r="AO9">
        <f>SUMIF('A. 20-21 FN Schools Data'!$A$7:$A$18,'D. 19-20 Enrolment by FN'!$A9,'A. 20-21 FN Schools Data'!AS$7:AS$18)</f>
        <v>27</v>
      </c>
      <c r="AP9">
        <f>SUMIF('A. 20-21 FN Schools Data'!$A$7:$A$18,'D. 19-20 Enrolment by FN'!$A9,'A. 20-21 FN Schools Data'!AT$7:AT$18)</f>
        <v>21</v>
      </c>
      <c r="AQ9">
        <f>SUMIF('A. 20-21 FN Schools Data'!$A$7:$A$18,'D. 19-20 Enrolment by FN'!$A9,'A. 20-21 FN Schools Data'!AU$7:AU$18)</f>
        <v>0</v>
      </c>
      <c r="AR9">
        <f>SUMIF('A. 20-21 FN Schools Data'!$A$7:$A$18,'D. 19-20 Enrolment by FN'!$A9,'A. 20-21 FN Schools Data'!AV$7:AV$18)</f>
        <v>303</v>
      </c>
      <c r="AS9">
        <f>SUMIF('A. 20-21 FN Schools Data'!$A$7:$A$18,'D. 19-20 Enrolment by FN'!$A9,'A. 20-21 FN Schools Data'!AW$7:AW$18)</f>
        <v>0</v>
      </c>
      <c r="AT9">
        <f>SUMIF('A. 20-21 FN Schools Data'!$A$7:$A$18,'D. 19-20 Enrolment by FN'!$A9,'A. 20-21 FN Schools Data'!AX$7:AX$18)</f>
        <v>0</v>
      </c>
      <c r="AU9">
        <f>SUMIF('A. 20-21 FN Schools Data'!$A$7:$A$18,'D. 19-20 Enrolment by FN'!$A9,'A. 20-21 FN Schools Data'!AY$7:AY$18)</f>
        <v>0</v>
      </c>
      <c r="AV9">
        <f>SUMIF('A. 20-21 FN Schools Data'!$A$7:$A$18,'D. 19-20 Enrolment by FN'!$A9,'A. 20-21 FN Schools Data'!AZ$7:AZ$18)</f>
        <v>0</v>
      </c>
      <c r="AW9">
        <f>SUMIF('A. 20-21 FN Schools Data'!$A$7:$A$18,'D. 19-20 Enrolment by FN'!$A9,'A. 20-21 FN Schools Data'!BA$7:BA$18)</f>
        <v>0</v>
      </c>
      <c r="AX9" s="121">
        <f>SUMIF(TableAFNSchools[Band No '#],D1718EnrlmentbyFN[[#This Row],[Band '#]],TableAFNSchools[Total Headcount])</f>
        <v>303</v>
      </c>
      <c r="AY9" t="str">
        <f>INDEX(TableAFNSchools[K4 Program Type],MATCH(D1718EnrlmentbyFN[[#This Row],[Band '#]],TableAFNSchools[Band No '#],0))</f>
        <v>Full-Day</v>
      </c>
      <c r="AZ9" t="str">
        <f t="array" ref="AZ9">INDEX(TableAFNSchools[K5 Program Type],MATCH(D1718EnrlmentbyFN[Band '#],TableAFNSchools[Band No '#],0))</f>
        <v>Full-Day</v>
      </c>
      <c r="BA9" s="383">
        <f>SUMIF(TableAFNSchools[Band No '#],D1718EnrlmentbyFN[[#This Row],[Band '#]],TableAFNSchools[Mandatory room &amp; board &lt;18])</f>
        <v>0</v>
      </c>
      <c r="BB9" s="383">
        <f>SUMIF('B. 20-21 Prov&amp;Priv Enrolment&lt;22'!$A$8:$A$54,D1718EnrlmentbyFN[[#This Row],[Band '#]],'B. 20-21 Prov&amp;Priv Enrolment&lt;22'!$Y$8:$Y$54)</f>
        <v>4</v>
      </c>
      <c r="BC9" s="383">
        <f>SUMIF('C. 20-21 Prov&amp;Priv 22+'!$A$7:$A$7,D1718EnrlmentbyFN[[#This Row],[Band '#]],'C. 20-21 Prov&amp;Priv 22+'!$Q$7:$Q$7)</f>
        <v>0</v>
      </c>
      <c r="BD9" s="383">
        <f>SUM(D1718EnrlmentbyFN[[#This Row],[Total &lt;22 FTE]:[22+ FTE Enrolment (including Invalid Values)]])</f>
        <v>4</v>
      </c>
      <c r="BE9" s="383">
        <f>SUMIF('B. 20-21 Prov&amp;Priv Enrolment&lt;22'!$A$8:$A$54,D1718EnrlmentbyFN[[#This Row],[Band '#]],'B. 20-21 Prov&amp;Priv Enrolment&lt;22'!$AR$8:$AR$54)</f>
        <v>4</v>
      </c>
      <c r="BF9" s="383">
        <f>SUMIF('C. 20-21 Prov&amp;Priv 22+'!$A$7:$A$7,D1718EnrlmentbyFN[[#This Row],[Band '#]],'C. 20-21 Prov&amp;Priv 22+'!$AH$7:$AH$7)</f>
        <v>0</v>
      </c>
      <c r="BG9" s="378">
        <f>SUM(D1718EnrlmentbyFN[[#This Row],[Total &lt;22 Headcount]:[22+ Headcount Enrolment (including Invalid Values)]])</f>
        <v>4</v>
      </c>
      <c r="BH9" s="383">
        <f>SUMIF('B.1 Accommmodation Data'!$A$8:$A$37,D1718EnrlmentbyFN[[#This Row],[Band '#]],'B.1 Accommmodation Data'!$K$8:$K$37)</f>
        <v>1</v>
      </c>
      <c r="BI9" s="383">
        <f>SUMIF('B.1 Accommmodation Data'!$A$8:$A$37,D1718EnrlmentbyFN[[#This Row],[Band '#]],'B.1 Accommmodation Data'!$P$8:$P$37)</f>
        <v>3</v>
      </c>
      <c r="BJ9" s="383">
        <f>SUMIF('B.1 Accommmodation Data'!$A$8:$A$37,D1718EnrlmentbyFN[[#This Row],[Band '#]],'B.1 Accommmodation Data'!$I$8:$I$37)</f>
        <v>0</v>
      </c>
      <c r="BK9" s="383">
        <f>SUMIF('B.1 Accommmodation Data'!$A$8:$A$37,D1718EnrlmentbyFN[[#This Row],[Band '#]],'B.1 Accommmodation Data'!$N$8:$N$37)</f>
        <v>0</v>
      </c>
      <c r="BL9" s="383">
        <f>SUMIF('B.1 Accommmodation Data'!$A$8:$A$37,D1718EnrlmentbyFN[[#This Row],[Band '#]],'B.1 Accommmodation Data'!$H$8:$H$37)</f>
        <v>0</v>
      </c>
      <c r="BM9" s="383">
        <f>SUMIF('B.1 Accommmodation Data'!$A$8:$A$37,D1718EnrlmentbyFN[[#This Row],[Band '#]],'B.1 Accommmodation Data'!$M$8:$M$37)</f>
        <v>0</v>
      </c>
      <c r="BN9" s="383">
        <f>SUMIF('B.1 Accommmodation Data'!$A$8:$A$37,D1718EnrlmentbyFN[[#This Row],[Band '#]],'B.1 Accommmodation Data'!$J$8:$J$37)</f>
        <v>0</v>
      </c>
      <c r="BO9" s="383">
        <f>SUMIF('B.1 Accommmodation Data'!$A$8:$A$37,D1718EnrlmentbyFN[[#This Row],[Band '#]],'B.1 Accommmodation Data'!$O$8:$O$37)</f>
        <v>0</v>
      </c>
      <c r="BP9"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4</v>
      </c>
      <c r="BQ9" s="986">
        <f>SUMIF('B. 20-21 Prov&amp;Priv Enrolment&lt;22'!$A$8:$A$54,D1718EnrlmentbyFN[[#This Row],[Band '#]],'B. 20-21 Prov&amp;Priv Enrolment&lt;22'!$Z$8:$Z$54)</f>
        <v>0</v>
      </c>
      <c r="BR9" s="986" t="s">
        <v>1306</v>
      </c>
      <c r="BS9" s="986">
        <f>SUMIF('B. 20-21 Prov&amp;Priv Enrolment&lt;22'!$A$8:$A$54,D1718EnrlmentbyFN[[#This Row],[Band '#]],'B. 20-21 Prov&amp;Priv Enrolment&lt;22'!$AC$8:$AC$54)</f>
        <v>0</v>
      </c>
      <c r="BT9" s="92" t="s">
        <v>1306</v>
      </c>
      <c r="BU9" s="986">
        <f>SUMIF('B. 20-21 Prov&amp;Priv Enrolment&lt;22'!$A$8:$A$54,D1718EnrlmentbyFN[[#This Row],[Band '#]],'B. 20-21 Prov&amp;Priv Enrolment&lt;22'!$AR$8:$AR$54)-D1718EnrlmentbyFN[[#This Row],[Prov K4 Headcount]]-D1718EnrlmentbyFN[[#This Row],[Prov K5 Headcount]]</f>
        <v>4</v>
      </c>
      <c r="BV9">
        <v>2</v>
      </c>
    </row>
    <row r="10" spans="1:74">
      <c r="A10">
        <v>272</v>
      </c>
      <c r="B10" t="s">
        <v>388</v>
      </c>
      <c r="C10" s="131">
        <f t="shared" si="0"/>
        <v>447</v>
      </c>
      <c r="D10" s="250">
        <f>D1718EnrlmentbyFN[[#This Row],[Total Headcount]]+D1718EnrlmentbyFN[[#This Row],[Total Prov&amp;Priv Headcount]]</f>
        <v>447</v>
      </c>
      <c r="E10">
        <f>SUMIF('A. 20-21 FN Schools Data'!$A$7:$A$18,'D. 19-20 Enrolment by FN'!$A10,'A. 20-21 FN Schools Data'!E$7:E$18)</f>
        <v>0</v>
      </c>
      <c r="F10">
        <f>SUMIF('A. 20-21 FN Schools Data'!$A$7:$A$18,'D. 19-20 Enrolment by FN'!$A10,'A. 20-21 FN Schools Data'!G$7:G$18)</f>
        <v>0</v>
      </c>
      <c r="G10">
        <f>SUMIF('A. 20-21 FN Schools Data'!$A$7:$A$18,'D. 19-20 Enrolment by FN'!$A10,'A. 20-21 FN Schools Data'!I$7:I$18)</f>
        <v>29</v>
      </c>
      <c r="H10">
        <f>SUMIF('A. 20-21 FN Schools Data'!$A$7:$A$18,'D. 19-20 Enrolment by FN'!$A10,'A. 20-21 FN Schools Data'!J$7:J$18)</f>
        <v>16</v>
      </c>
      <c r="I10">
        <f>SUMIF('A. 20-21 FN Schools Data'!$A$7:$A$18,'D. 19-20 Enrolment by FN'!$A10,'A. 20-21 FN Schools Data'!K$7:K$18)</f>
        <v>42</v>
      </c>
      <c r="J10">
        <f>SUMIF('A. 20-21 FN Schools Data'!$A$7:$A$18,'D. 19-20 Enrolment by FN'!$A10,'A. 20-21 FN Schools Data'!L$7:L$18)</f>
        <v>32</v>
      </c>
      <c r="K10">
        <f>SUMIF('A. 20-21 FN Schools Data'!$A$7:$A$18,'D. 19-20 Enrolment by FN'!$A10,'A. 20-21 FN Schools Data'!M$7:M$18)</f>
        <v>26</v>
      </c>
      <c r="L10">
        <f>SUMIF('A. 20-21 FN Schools Data'!$A$7:$A$18,'D. 19-20 Enrolment by FN'!$A10,'A. 20-21 FN Schools Data'!N$7:N$18)</f>
        <v>21</v>
      </c>
      <c r="M10">
        <f>SUMIF('A. 20-21 FN Schools Data'!$A$7:$A$18,'D. 19-20 Enrolment by FN'!$A10,'A. 20-21 FN Schools Data'!O$7:O$18)</f>
        <v>19</v>
      </c>
      <c r="N10">
        <f>SUMIF('A. 20-21 FN Schools Data'!$A$7:$A$18,'D. 19-20 Enrolment by FN'!$A10,'A. 20-21 FN Schools Data'!P$7:P$18)</f>
        <v>43</v>
      </c>
      <c r="O10">
        <f>SUMIF('A. 20-21 FN Schools Data'!$A$7:$A$18,'D. 19-20 Enrolment by FN'!$A10,'A. 20-21 FN Schools Data'!Q$7:Q$18)</f>
        <v>0</v>
      </c>
      <c r="P10">
        <f>SUMIF('A. 20-21 FN Schools Data'!$A$7:$A$18,'D. 19-20 Enrolment by FN'!$A10,'A. 20-21 FN Schools Data'!R$7:R$18)</f>
        <v>30</v>
      </c>
      <c r="Q10">
        <f>SUMIF('A. 20-21 FN Schools Data'!$A$7:$A$18,'D. 19-20 Enrolment by FN'!$A10,'A. 20-21 FN Schools Data'!S$7:S$18)</f>
        <v>31</v>
      </c>
      <c r="R10">
        <f>SUMIF('A. 20-21 FN Schools Data'!$A$7:$A$18,'D. 19-20 Enrolment by FN'!$A10,'A. 20-21 FN Schools Data'!T$7:T$18)</f>
        <v>31</v>
      </c>
      <c r="S10">
        <f>SUMIF('A. 20-21 FN Schools Data'!$A$7:$A$18,'D. 19-20 Enrolment by FN'!$A10,'A. 20-21 FN Schools Data'!U$7:U$18)</f>
        <v>21</v>
      </c>
      <c r="U10">
        <f>SUMIF('A. 20-21 FN Schools Data'!$A$7:$A$18,'D. 19-20 Enrolment by FN'!$A10,'A. 20-21 FN Schools Data'!W$7:W$18)</f>
        <v>399</v>
      </c>
      <c r="V10">
        <f>SUMIF('A. 20-21 FN Schools Data'!$A$7:$A$18,'D. 19-20 Enrolment by FN'!$A10,'A. 20-21 FN Schools Data'!X$7:X$18)</f>
        <v>0</v>
      </c>
      <c r="W10">
        <f>SUMIF('A. 20-21 FN Schools Data'!$A$7:$A$18,'D. 19-20 Enrolment by FN'!$A10,'A. 20-21 FN Schools Data'!Y$7:Y$18)</f>
        <v>0</v>
      </c>
      <c r="X10">
        <f>SUMIF('A. 20-21 FN Schools Data'!$A$7:$A$18,'D. 19-20 Enrolment by FN'!$A10,'A. 20-21 FN Schools Data'!Z$7:Z$18)</f>
        <v>0</v>
      </c>
      <c r="Y10">
        <f>SUMIF('A. 20-21 FN Schools Data'!$A$7:$A$18,'D. 19-20 Enrolment by FN'!$A10,'A. 20-21 FN Schools Data'!AA$7:AA$18)</f>
        <v>36</v>
      </c>
      <c r="Z10">
        <f>SUMIF('A. 20-21 FN Schools Data'!$A$7:$A$18,'D. 19-20 Enrolment by FN'!$A10,'A. 20-21 FN Schools Data'!AB$7:AB$18)</f>
        <v>0</v>
      </c>
      <c r="AA10" s="121">
        <f>SUMIF('A. 20-21 FN Schools Data'!$A$7:$A$18,'D. 19-20 Enrolment by FN'!$A10,'A. 20-21 FN Schools Data'!AC$7:AC$18)</f>
        <v>435</v>
      </c>
      <c r="AB10">
        <f>SUMIF('A. 20-21 FN Schools Data'!$A$7:$A$18,'D. 19-20 Enrolment by FN'!$A10,'A. 20-21 FN Schools Data'!AD$7:AD$18)</f>
        <v>0</v>
      </c>
      <c r="AC10">
        <f>SUMIF('A. 20-21 FN Schools Data'!$A$7:$A$18,'D. 19-20 Enrolment by FN'!$A10,'A. 20-21 FN Schools Data'!AF$7:AF$18)</f>
        <v>0</v>
      </c>
      <c r="AD10">
        <f>SUMIF('A. 20-21 FN Schools Data'!$A$7:$A$18,'D. 19-20 Enrolment by FN'!$A10,'A. 20-21 FN Schools Data'!AH$7:AH$18)</f>
        <v>29</v>
      </c>
      <c r="AE10">
        <f>SUMIF('A. 20-21 FN Schools Data'!$A$7:$A$18,'D. 19-20 Enrolment by FN'!$A10,'A. 20-21 FN Schools Data'!AI$7:AI$18)</f>
        <v>16</v>
      </c>
      <c r="AF10">
        <f>SUMIF('A. 20-21 FN Schools Data'!$A$7:$A$18,'D. 19-20 Enrolment by FN'!$A10,'A. 20-21 FN Schools Data'!AJ$7:AJ$18)</f>
        <v>42</v>
      </c>
      <c r="AG10">
        <f>SUMIF('A. 20-21 FN Schools Data'!$A$7:$A$18,'D. 19-20 Enrolment by FN'!$A10,'A. 20-21 FN Schools Data'!AK$7:AK$18)</f>
        <v>32</v>
      </c>
      <c r="AH10">
        <f>SUMIF('A. 20-21 FN Schools Data'!$A$7:$A$18,'D. 19-20 Enrolment by FN'!$A10,'A. 20-21 FN Schools Data'!AL$7:AL$18)</f>
        <v>26</v>
      </c>
      <c r="AI10">
        <f>SUMIF('A. 20-21 FN Schools Data'!$A$7:$A$18,'D. 19-20 Enrolment by FN'!$A10,'A. 20-21 FN Schools Data'!AM$7:AM$18)</f>
        <v>21</v>
      </c>
      <c r="AJ10">
        <f>SUMIF('A. 20-21 FN Schools Data'!$A$7:$A$18,'D. 19-20 Enrolment by FN'!$A10,'A. 20-21 FN Schools Data'!AN$7:AN$18)</f>
        <v>19</v>
      </c>
      <c r="AK10">
        <f>SUMIF('A. 20-21 FN Schools Data'!$A$7:$A$18,'D. 19-20 Enrolment by FN'!$A10,'A. 20-21 FN Schools Data'!AO$7:AO$18)</f>
        <v>43</v>
      </c>
      <c r="AL10">
        <f>SUMIF('A. 20-21 FN Schools Data'!$A$7:$A$18,'D. 19-20 Enrolment by FN'!$A10,'A. 20-21 FN Schools Data'!AP$7:AP$18)</f>
        <v>0</v>
      </c>
      <c r="AM10">
        <f>SUMIF('A. 20-21 FN Schools Data'!$A$7:$A$18,'D. 19-20 Enrolment by FN'!$A10,'A. 20-21 FN Schools Data'!AQ$7:AQ$18)</f>
        <v>30</v>
      </c>
      <c r="AN10">
        <f>SUMIF('A. 20-21 FN Schools Data'!$A$7:$A$18,'D. 19-20 Enrolment by FN'!$A10,'A. 20-21 FN Schools Data'!AR$7:AR$18)</f>
        <v>31</v>
      </c>
      <c r="AO10">
        <f>SUMIF('A. 20-21 FN Schools Data'!$A$7:$A$18,'D. 19-20 Enrolment by FN'!$A10,'A. 20-21 FN Schools Data'!AS$7:AS$18)</f>
        <v>31</v>
      </c>
      <c r="AP10">
        <f>SUMIF('A. 20-21 FN Schools Data'!$A$7:$A$18,'D. 19-20 Enrolment by FN'!$A10,'A. 20-21 FN Schools Data'!AT$7:AT$18)</f>
        <v>21</v>
      </c>
      <c r="AQ10">
        <f>SUMIF('A. 20-21 FN Schools Data'!$A$7:$A$18,'D. 19-20 Enrolment by FN'!$A10,'A. 20-21 FN Schools Data'!AU$7:AU$18)</f>
        <v>0</v>
      </c>
      <c r="AR10">
        <f>SUMIF('A. 20-21 FN Schools Data'!$A$7:$A$18,'D. 19-20 Enrolment by FN'!$A10,'A. 20-21 FN Schools Data'!AV$7:AV$18)</f>
        <v>399</v>
      </c>
      <c r="AS10">
        <f>SUMIF('A. 20-21 FN Schools Data'!$A$7:$A$18,'D. 19-20 Enrolment by FN'!$A10,'A. 20-21 FN Schools Data'!AW$7:AW$18)</f>
        <v>0</v>
      </c>
      <c r="AT10">
        <f>SUMIF('A. 20-21 FN Schools Data'!$A$7:$A$18,'D. 19-20 Enrolment by FN'!$A10,'A. 20-21 FN Schools Data'!AX$7:AX$18)</f>
        <v>0</v>
      </c>
      <c r="AU10">
        <f>SUMIF('A. 20-21 FN Schools Data'!$A$7:$A$18,'D. 19-20 Enrolment by FN'!$A10,'A. 20-21 FN Schools Data'!AY$7:AY$18)</f>
        <v>0</v>
      </c>
      <c r="AV10">
        <f>SUMIF('A. 20-21 FN Schools Data'!$A$7:$A$18,'D. 19-20 Enrolment by FN'!$A10,'A. 20-21 FN Schools Data'!AZ$7:AZ$18)</f>
        <v>36</v>
      </c>
      <c r="AW10">
        <f>SUMIF('A. 20-21 FN Schools Data'!$A$7:$A$18,'D. 19-20 Enrolment by FN'!$A10,'A. 20-21 FN Schools Data'!BA$7:BA$18)</f>
        <v>0</v>
      </c>
      <c r="AX10" s="121">
        <f>SUMIF(TableAFNSchools[Band No '#],D1718EnrlmentbyFN[[#This Row],[Band '#]],TableAFNSchools[Total Headcount])</f>
        <v>435</v>
      </c>
      <c r="AY10" t="str">
        <f>INDEX(TableAFNSchools[K4 Program Type],MATCH(D1718EnrlmentbyFN[[#This Row],[Band '#]],TableAFNSchools[Band No '#],0))</f>
        <v>Full-Day</v>
      </c>
      <c r="AZ10" t="str">
        <f t="array" ref="AZ10">INDEX(TableAFNSchools[K5 Program Type],MATCH(D1718EnrlmentbyFN[Band '#],TableAFNSchools[Band No '#],0))</f>
        <v>Full-Day</v>
      </c>
      <c r="BA10" s="383">
        <f>SUMIF(TableAFNSchools[Band No '#],D1718EnrlmentbyFN[[#This Row],[Band '#]],TableAFNSchools[Mandatory room &amp; board &lt;18])</f>
        <v>0</v>
      </c>
      <c r="BB10" s="383">
        <f>SUMIF('B. 20-21 Prov&amp;Priv Enrolment&lt;22'!$A$8:$A$54,D1718EnrlmentbyFN[[#This Row],[Band '#]],'B. 20-21 Prov&amp;Priv Enrolment&lt;22'!$Y$8:$Y$54)</f>
        <v>12</v>
      </c>
      <c r="BC10" s="383">
        <f>SUMIF('C. 20-21 Prov&amp;Priv 22+'!$A$7:$A$7,D1718EnrlmentbyFN[[#This Row],[Band '#]],'C. 20-21 Prov&amp;Priv 22+'!$Q$7:$Q$7)</f>
        <v>0</v>
      </c>
      <c r="BD10" s="383">
        <f>SUM(D1718EnrlmentbyFN[[#This Row],[Total &lt;22 FTE]:[22+ FTE Enrolment (including Invalid Values)]])</f>
        <v>12</v>
      </c>
      <c r="BE10" s="383">
        <f>SUMIF('B. 20-21 Prov&amp;Priv Enrolment&lt;22'!$A$8:$A$54,D1718EnrlmentbyFN[[#This Row],[Band '#]],'B. 20-21 Prov&amp;Priv Enrolment&lt;22'!$AR$8:$AR$54)</f>
        <v>12</v>
      </c>
      <c r="BF10" s="383">
        <f>SUMIF('C. 20-21 Prov&amp;Priv 22+'!$A$7:$A$7,D1718EnrlmentbyFN[[#This Row],[Band '#]],'C. 20-21 Prov&amp;Priv 22+'!$AH$7:$AH$7)</f>
        <v>0</v>
      </c>
      <c r="BG10" s="378">
        <f>SUM(D1718EnrlmentbyFN[[#This Row],[Total &lt;22 Headcount]:[22+ Headcount Enrolment (including Invalid Values)]])</f>
        <v>12</v>
      </c>
      <c r="BH10" s="383">
        <f>SUMIF('B.1 Accommmodation Data'!$A$8:$A$37,D1718EnrlmentbyFN[[#This Row],[Band '#]],'B.1 Accommmodation Data'!$K$8:$K$37)</f>
        <v>5</v>
      </c>
      <c r="BI10" s="383">
        <f>SUMIF('B.1 Accommmodation Data'!$A$8:$A$37,D1718EnrlmentbyFN[[#This Row],[Band '#]],'B.1 Accommmodation Data'!$P$8:$P$37)</f>
        <v>2</v>
      </c>
      <c r="BJ10" s="383">
        <f>SUMIF('B.1 Accommmodation Data'!$A$8:$A$37,D1718EnrlmentbyFN[[#This Row],[Band '#]],'B.1 Accommmodation Data'!$I$8:$I$37)</f>
        <v>0</v>
      </c>
      <c r="BK10" s="383">
        <f>SUMIF('B.1 Accommmodation Data'!$A$8:$A$37,D1718EnrlmentbyFN[[#This Row],[Band '#]],'B.1 Accommmodation Data'!$N$8:$N$37)</f>
        <v>0</v>
      </c>
      <c r="BL10" s="383">
        <f>SUMIF('B.1 Accommmodation Data'!$A$8:$A$37,D1718EnrlmentbyFN[[#This Row],[Band '#]],'B.1 Accommmodation Data'!$H$8:$H$37)</f>
        <v>0</v>
      </c>
      <c r="BM10" s="383">
        <f>SUMIF('B.1 Accommmodation Data'!$A$8:$A$37,D1718EnrlmentbyFN[[#This Row],[Band '#]],'B.1 Accommmodation Data'!$M$8:$M$37)</f>
        <v>0</v>
      </c>
      <c r="BN10" s="383">
        <f>SUMIF('B.1 Accommmodation Data'!$A$8:$A$37,D1718EnrlmentbyFN[[#This Row],[Band '#]],'B.1 Accommmodation Data'!$J$8:$J$37)</f>
        <v>0</v>
      </c>
      <c r="BO10" s="383">
        <f>SUMIF('B.1 Accommmodation Data'!$A$8:$A$37,D1718EnrlmentbyFN[[#This Row],[Band '#]],'B.1 Accommmodation Data'!$O$8:$O$37)</f>
        <v>0</v>
      </c>
      <c r="BP10"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7</v>
      </c>
      <c r="BQ10" s="986">
        <f>SUMIF('B. 20-21 Prov&amp;Priv Enrolment&lt;22'!$A$8:$A$54,D1718EnrlmentbyFN[[#This Row],[Band '#]],'B. 20-21 Prov&amp;Priv Enrolment&lt;22'!$Z$8:$Z$54)</f>
        <v>0</v>
      </c>
      <c r="BR10" s="986" t="s">
        <v>1306</v>
      </c>
      <c r="BS10" s="986">
        <f>SUMIF('B. 20-21 Prov&amp;Priv Enrolment&lt;22'!$A$8:$A$54,D1718EnrlmentbyFN[[#This Row],[Band '#]],'B. 20-21 Prov&amp;Priv Enrolment&lt;22'!$AC$8:$AC$54)</f>
        <v>0</v>
      </c>
      <c r="BT10" s="92" t="s">
        <v>1306</v>
      </c>
      <c r="BU10" s="986">
        <f>SUMIF('B. 20-21 Prov&amp;Priv Enrolment&lt;22'!$A$8:$A$54,D1718EnrlmentbyFN[[#This Row],[Band '#]],'B. 20-21 Prov&amp;Priv Enrolment&lt;22'!$AR$8:$AR$54)-D1718EnrlmentbyFN[[#This Row],[Prov K4 Headcount]]-D1718EnrlmentbyFN[[#This Row],[Prov K5 Headcount]]</f>
        <v>12</v>
      </c>
      <c r="BV10">
        <v>8</v>
      </c>
    </row>
    <row r="11" spans="1:74">
      <c r="A11">
        <v>273</v>
      </c>
      <c r="B11" t="s">
        <v>402</v>
      </c>
      <c r="C11" s="131">
        <f t="shared" si="0"/>
        <v>221</v>
      </c>
      <c r="D11" s="250">
        <f>D1718EnrlmentbyFN[[#This Row],[Total Headcount]]+D1718EnrlmentbyFN[[#This Row],[Total Prov&amp;Priv Headcount]]</f>
        <v>221</v>
      </c>
      <c r="E11">
        <f>SUMIF('A. 20-21 FN Schools Data'!$A$7:$A$18,'D. 19-20 Enrolment by FN'!$A11,'A. 20-21 FN Schools Data'!E$7:E$18)</f>
        <v>0</v>
      </c>
      <c r="F11">
        <f>SUMIF('A. 20-21 FN Schools Data'!$A$7:$A$18,'D. 19-20 Enrolment by FN'!$A11,'A. 20-21 FN Schools Data'!G$7:G$18)</f>
        <v>0</v>
      </c>
      <c r="G11">
        <f>SUMIF('A. 20-21 FN Schools Data'!$A$7:$A$18,'D. 19-20 Enrolment by FN'!$A11,'A. 20-21 FN Schools Data'!I$7:I$18)</f>
        <v>24</v>
      </c>
      <c r="H11">
        <f>SUMIF('A. 20-21 FN Schools Data'!$A$7:$A$18,'D. 19-20 Enrolment by FN'!$A11,'A. 20-21 FN Schools Data'!J$7:J$18)</f>
        <v>8</v>
      </c>
      <c r="I11">
        <f>SUMIF('A. 20-21 FN Schools Data'!$A$7:$A$18,'D. 19-20 Enrolment by FN'!$A11,'A. 20-21 FN Schools Data'!K$7:K$18)</f>
        <v>18</v>
      </c>
      <c r="J11">
        <f>SUMIF('A. 20-21 FN Schools Data'!$A$7:$A$18,'D. 19-20 Enrolment by FN'!$A11,'A. 20-21 FN Schools Data'!L$7:L$18)</f>
        <v>20</v>
      </c>
      <c r="K11">
        <f>SUMIF('A. 20-21 FN Schools Data'!$A$7:$A$18,'D. 19-20 Enrolment by FN'!$A11,'A. 20-21 FN Schools Data'!M$7:M$18)</f>
        <v>22</v>
      </c>
      <c r="L11">
        <f>SUMIF('A. 20-21 FN Schools Data'!$A$7:$A$18,'D. 19-20 Enrolment by FN'!$A11,'A. 20-21 FN Schools Data'!N$7:N$18)</f>
        <v>13</v>
      </c>
      <c r="M11">
        <f>SUMIF('A. 20-21 FN Schools Data'!$A$7:$A$18,'D. 19-20 Enrolment by FN'!$A11,'A. 20-21 FN Schools Data'!O$7:O$18)</f>
        <v>13</v>
      </c>
      <c r="N11">
        <f>SUMIF('A. 20-21 FN Schools Data'!$A$7:$A$18,'D. 19-20 Enrolment by FN'!$A11,'A. 20-21 FN Schools Data'!P$7:P$18)</f>
        <v>14</v>
      </c>
      <c r="O11">
        <f>SUMIF('A. 20-21 FN Schools Data'!$A$7:$A$18,'D. 19-20 Enrolment by FN'!$A11,'A. 20-21 FN Schools Data'!Q$7:Q$18)</f>
        <v>0</v>
      </c>
      <c r="P11">
        <f>SUMIF('A. 20-21 FN Schools Data'!$A$7:$A$18,'D. 19-20 Enrolment by FN'!$A11,'A. 20-21 FN Schools Data'!R$7:R$18)</f>
        <v>0</v>
      </c>
      <c r="Q11">
        <f>SUMIF('A. 20-21 FN Schools Data'!$A$7:$A$18,'D. 19-20 Enrolment by FN'!$A11,'A. 20-21 FN Schools Data'!S$7:S$18)</f>
        <v>0</v>
      </c>
      <c r="R11">
        <f>SUMIF('A. 20-21 FN Schools Data'!$A$7:$A$18,'D. 19-20 Enrolment by FN'!$A11,'A. 20-21 FN Schools Data'!T$7:T$18)</f>
        <v>0</v>
      </c>
      <c r="S11">
        <f>SUMIF('A. 20-21 FN Schools Data'!$A$7:$A$18,'D. 19-20 Enrolment by FN'!$A11,'A. 20-21 FN Schools Data'!U$7:U$18)</f>
        <v>0</v>
      </c>
      <c r="U11">
        <f>SUMIF('A. 20-21 FN Schools Data'!$A$7:$A$18,'D. 19-20 Enrolment by FN'!$A11,'A. 20-21 FN Schools Data'!W$7:W$18)</f>
        <v>153</v>
      </c>
      <c r="V11">
        <f>SUMIF('A. 20-21 FN Schools Data'!$A$7:$A$18,'D. 19-20 Enrolment by FN'!$A11,'A. 20-21 FN Schools Data'!X$7:X$18)</f>
        <v>0</v>
      </c>
      <c r="W11">
        <f>SUMIF('A. 20-21 FN Schools Data'!$A$7:$A$18,'D. 19-20 Enrolment by FN'!$A11,'A. 20-21 FN Schools Data'!Y$7:Y$18)</f>
        <v>0</v>
      </c>
      <c r="X11">
        <f>SUMIF('A. 20-21 FN Schools Data'!$A$7:$A$18,'D. 19-20 Enrolment by FN'!$A11,'A. 20-21 FN Schools Data'!Z$7:Z$18)</f>
        <v>0</v>
      </c>
      <c r="Y11">
        <f>SUMIF('A. 20-21 FN Schools Data'!$A$7:$A$18,'D. 19-20 Enrolment by FN'!$A11,'A. 20-21 FN Schools Data'!AA$7:AA$18)</f>
        <v>0</v>
      </c>
      <c r="Z11">
        <f>SUMIF('A. 20-21 FN Schools Data'!$A$7:$A$18,'D. 19-20 Enrolment by FN'!$A11,'A. 20-21 FN Schools Data'!AB$7:AB$18)</f>
        <v>0</v>
      </c>
      <c r="AA11" s="121">
        <f>SUMIF('A. 20-21 FN Schools Data'!$A$7:$A$18,'D. 19-20 Enrolment by FN'!$A11,'A. 20-21 FN Schools Data'!AC$7:AC$18)</f>
        <v>153</v>
      </c>
      <c r="AB11">
        <f>SUMIF('A. 20-21 FN Schools Data'!$A$7:$A$18,'D. 19-20 Enrolment by FN'!$A11,'A. 20-21 FN Schools Data'!AD$7:AD$18)</f>
        <v>0</v>
      </c>
      <c r="AC11">
        <f>SUMIF('A. 20-21 FN Schools Data'!$A$7:$A$18,'D. 19-20 Enrolment by FN'!$A11,'A. 20-21 FN Schools Data'!AF$7:AF$18)</f>
        <v>0</v>
      </c>
      <c r="AD11">
        <f>SUMIF('A. 20-21 FN Schools Data'!$A$7:$A$18,'D. 19-20 Enrolment by FN'!$A11,'A. 20-21 FN Schools Data'!AH$7:AH$18)</f>
        <v>24</v>
      </c>
      <c r="AE11">
        <f>SUMIF('A. 20-21 FN Schools Data'!$A$7:$A$18,'D. 19-20 Enrolment by FN'!$A11,'A. 20-21 FN Schools Data'!AI$7:AI$18)</f>
        <v>8</v>
      </c>
      <c r="AF11">
        <f>SUMIF('A. 20-21 FN Schools Data'!$A$7:$A$18,'D. 19-20 Enrolment by FN'!$A11,'A. 20-21 FN Schools Data'!AJ$7:AJ$18)</f>
        <v>18</v>
      </c>
      <c r="AG11">
        <f>SUMIF('A. 20-21 FN Schools Data'!$A$7:$A$18,'D. 19-20 Enrolment by FN'!$A11,'A. 20-21 FN Schools Data'!AK$7:AK$18)</f>
        <v>20</v>
      </c>
      <c r="AH11">
        <f>SUMIF('A. 20-21 FN Schools Data'!$A$7:$A$18,'D. 19-20 Enrolment by FN'!$A11,'A. 20-21 FN Schools Data'!AL$7:AL$18)</f>
        <v>22</v>
      </c>
      <c r="AI11">
        <f>SUMIF('A. 20-21 FN Schools Data'!$A$7:$A$18,'D. 19-20 Enrolment by FN'!$A11,'A. 20-21 FN Schools Data'!AM$7:AM$18)</f>
        <v>13</v>
      </c>
      <c r="AJ11">
        <f>SUMIF('A. 20-21 FN Schools Data'!$A$7:$A$18,'D. 19-20 Enrolment by FN'!$A11,'A. 20-21 FN Schools Data'!AN$7:AN$18)</f>
        <v>13</v>
      </c>
      <c r="AK11">
        <f>SUMIF('A. 20-21 FN Schools Data'!$A$7:$A$18,'D. 19-20 Enrolment by FN'!$A11,'A. 20-21 FN Schools Data'!AO$7:AO$18)</f>
        <v>14</v>
      </c>
      <c r="AL11">
        <f>SUMIF('A. 20-21 FN Schools Data'!$A$7:$A$18,'D. 19-20 Enrolment by FN'!$A11,'A. 20-21 FN Schools Data'!AP$7:AP$18)</f>
        <v>0</v>
      </c>
      <c r="AM11">
        <f>SUMIF('A. 20-21 FN Schools Data'!$A$7:$A$18,'D. 19-20 Enrolment by FN'!$A11,'A. 20-21 FN Schools Data'!AQ$7:AQ$18)</f>
        <v>0</v>
      </c>
      <c r="AN11">
        <f>SUMIF('A. 20-21 FN Schools Data'!$A$7:$A$18,'D. 19-20 Enrolment by FN'!$A11,'A. 20-21 FN Schools Data'!AR$7:AR$18)</f>
        <v>0</v>
      </c>
      <c r="AO11">
        <f>SUMIF('A. 20-21 FN Schools Data'!$A$7:$A$18,'D. 19-20 Enrolment by FN'!$A11,'A. 20-21 FN Schools Data'!AS$7:AS$18)</f>
        <v>0</v>
      </c>
      <c r="AP11">
        <f>SUMIF('A. 20-21 FN Schools Data'!$A$7:$A$18,'D. 19-20 Enrolment by FN'!$A11,'A. 20-21 FN Schools Data'!AT$7:AT$18)</f>
        <v>0</v>
      </c>
      <c r="AQ11">
        <f>SUMIF('A. 20-21 FN Schools Data'!$A$7:$A$18,'D. 19-20 Enrolment by FN'!$A11,'A. 20-21 FN Schools Data'!AU$7:AU$18)</f>
        <v>0</v>
      </c>
      <c r="AR11">
        <f>SUMIF('A. 20-21 FN Schools Data'!$A$7:$A$18,'D. 19-20 Enrolment by FN'!$A11,'A. 20-21 FN Schools Data'!AV$7:AV$18)</f>
        <v>153</v>
      </c>
      <c r="AS11">
        <f>SUMIF('A. 20-21 FN Schools Data'!$A$7:$A$18,'D. 19-20 Enrolment by FN'!$A11,'A. 20-21 FN Schools Data'!AW$7:AW$18)</f>
        <v>0</v>
      </c>
      <c r="AT11">
        <f>SUMIF('A. 20-21 FN Schools Data'!$A$7:$A$18,'D. 19-20 Enrolment by FN'!$A11,'A. 20-21 FN Schools Data'!AX$7:AX$18)</f>
        <v>0</v>
      </c>
      <c r="AU11">
        <f>SUMIF('A. 20-21 FN Schools Data'!$A$7:$A$18,'D. 19-20 Enrolment by FN'!$A11,'A. 20-21 FN Schools Data'!AY$7:AY$18)</f>
        <v>0</v>
      </c>
      <c r="AV11">
        <f>SUMIF('A. 20-21 FN Schools Data'!$A$7:$A$18,'D. 19-20 Enrolment by FN'!$A11,'A. 20-21 FN Schools Data'!AZ$7:AZ$18)</f>
        <v>0</v>
      </c>
      <c r="AW11">
        <f>SUMIF('A. 20-21 FN Schools Data'!$A$7:$A$18,'D. 19-20 Enrolment by FN'!$A11,'A. 20-21 FN Schools Data'!BA$7:BA$18)</f>
        <v>0</v>
      </c>
      <c r="AX11" s="121">
        <f>SUMIF(TableAFNSchools[Band No '#],D1718EnrlmentbyFN[[#This Row],[Band '#]],TableAFNSchools[Total Headcount])</f>
        <v>153</v>
      </c>
      <c r="AY11" t="str">
        <f>INDEX(TableAFNSchools[K4 Program Type],MATCH(D1718EnrlmentbyFN[[#This Row],[Band '#]],TableAFNSchools[Band No '#],0))</f>
        <v>Full-Day</v>
      </c>
      <c r="AZ11" t="str">
        <f t="array" ref="AZ11">INDEX(TableAFNSchools[K5 Program Type],MATCH(D1718EnrlmentbyFN[Band '#],TableAFNSchools[Band No '#],0))</f>
        <v>Full-Day</v>
      </c>
      <c r="BA11" s="383">
        <f>SUMIF(TableAFNSchools[Band No '#],D1718EnrlmentbyFN[[#This Row],[Band '#]],TableAFNSchools[Mandatory room &amp; board &lt;18])</f>
        <v>0</v>
      </c>
      <c r="BB11" s="383">
        <f>SUMIF('B. 20-21 Prov&amp;Priv Enrolment&lt;22'!$A$8:$A$54,D1718EnrlmentbyFN[[#This Row],[Band '#]],'B. 20-21 Prov&amp;Priv Enrolment&lt;22'!$Y$8:$Y$54)</f>
        <v>68</v>
      </c>
      <c r="BC11" s="383">
        <f>SUMIF('C. 20-21 Prov&amp;Priv 22+'!$A$7:$A$7,D1718EnrlmentbyFN[[#This Row],[Band '#]],'C. 20-21 Prov&amp;Priv 22+'!$Q$7:$Q$7)</f>
        <v>0</v>
      </c>
      <c r="BD11" s="383">
        <f>SUM(D1718EnrlmentbyFN[[#This Row],[Total &lt;22 FTE]:[22+ FTE Enrolment (including Invalid Values)]])</f>
        <v>68</v>
      </c>
      <c r="BE11" s="383">
        <f>SUMIF('B. 20-21 Prov&amp;Priv Enrolment&lt;22'!$A$8:$A$54,D1718EnrlmentbyFN[[#This Row],[Band '#]],'B. 20-21 Prov&amp;Priv Enrolment&lt;22'!$AR$8:$AR$54)</f>
        <v>68</v>
      </c>
      <c r="BF11" s="383">
        <f>SUMIF('C. 20-21 Prov&amp;Priv 22+'!$A$7:$A$7,D1718EnrlmentbyFN[[#This Row],[Band '#]],'C. 20-21 Prov&amp;Priv 22+'!$AH$7:$AH$7)</f>
        <v>0</v>
      </c>
      <c r="BG11" s="378">
        <f>SUM(D1718EnrlmentbyFN[[#This Row],[Total &lt;22 Headcount]:[22+ Headcount Enrolment (including Invalid Values)]])</f>
        <v>68</v>
      </c>
      <c r="BH11" s="383">
        <f>SUMIF('B.1 Accommmodation Data'!$A$8:$A$37,D1718EnrlmentbyFN[[#This Row],[Band '#]],'B.1 Accommmodation Data'!$K$8:$K$37)</f>
        <v>0</v>
      </c>
      <c r="BI11" s="383">
        <f>SUMIF('B.1 Accommmodation Data'!$A$8:$A$37,D1718EnrlmentbyFN[[#This Row],[Band '#]],'B.1 Accommmodation Data'!$P$8:$P$37)</f>
        <v>0</v>
      </c>
      <c r="BJ11" s="383">
        <f>SUMIF('B.1 Accommmodation Data'!$A$8:$A$37,D1718EnrlmentbyFN[[#This Row],[Band '#]],'B.1 Accommmodation Data'!$I$8:$I$37)</f>
        <v>0</v>
      </c>
      <c r="BK11" s="383">
        <f>SUMIF('B.1 Accommmodation Data'!$A$8:$A$37,D1718EnrlmentbyFN[[#This Row],[Band '#]],'B.1 Accommmodation Data'!$N$8:$N$37)</f>
        <v>0</v>
      </c>
      <c r="BL11" s="383">
        <f>SUMIF('B.1 Accommmodation Data'!$A$8:$A$37,D1718EnrlmentbyFN[[#This Row],[Band '#]],'B.1 Accommmodation Data'!$H$8:$H$37)</f>
        <v>0</v>
      </c>
      <c r="BM11" s="383">
        <f>SUMIF('B.1 Accommmodation Data'!$A$8:$A$37,D1718EnrlmentbyFN[[#This Row],[Band '#]],'B.1 Accommmodation Data'!$M$8:$M$37)</f>
        <v>0</v>
      </c>
      <c r="BN11" s="383">
        <f>SUMIF('B.1 Accommmodation Data'!$A$8:$A$37,D1718EnrlmentbyFN[[#This Row],[Band '#]],'B.1 Accommmodation Data'!$J$8:$J$37)</f>
        <v>0</v>
      </c>
      <c r="BO11" s="383">
        <f>SUMIF('B.1 Accommmodation Data'!$A$8:$A$37,D1718EnrlmentbyFN[[#This Row],[Band '#]],'B.1 Accommmodation Data'!$O$8:$O$37)</f>
        <v>0</v>
      </c>
      <c r="BP11"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1" s="986">
        <f>SUMIF('B. 20-21 Prov&amp;Priv Enrolment&lt;22'!$A$8:$A$54,D1718EnrlmentbyFN[[#This Row],[Band '#]],'B. 20-21 Prov&amp;Priv Enrolment&lt;22'!$Z$8:$Z$54)</f>
        <v>0</v>
      </c>
      <c r="BR11" s="986" t="s">
        <v>1306</v>
      </c>
      <c r="BS11" s="986">
        <f>SUMIF('B. 20-21 Prov&amp;Priv Enrolment&lt;22'!$A$8:$A$54,D1718EnrlmentbyFN[[#This Row],[Band '#]],'B. 20-21 Prov&amp;Priv Enrolment&lt;22'!$AC$8:$AC$54)</f>
        <v>1</v>
      </c>
      <c r="BT11" s="92" t="s">
        <v>1306</v>
      </c>
      <c r="BU11" s="986">
        <f>SUMIF('B. 20-21 Prov&amp;Priv Enrolment&lt;22'!$A$8:$A$54,D1718EnrlmentbyFN[[#This Row],[Band '#]],'B. 20-21 Prov&amp;Priv Enrolment&lt;22'!$AR$8:$AR$54)-D1718EnrlmentbyFN[[#This Row],[Prov K4 Headcount]]-D1718EnrlmentbyFN[[#This Row],[Prov K5 Headcount]]</f>
        <v>67</v>
      </c>
      <c r="BV11">
        <v>108</v>
      </c>
    </row>
    <row r="12" spans="1:74">
      <c r="A12">
        <v>275</v>
      </c>
      <c r="B12" t="s">
        <v>390</v>
      </c>
      <c r="C12" s="131">
        <f t="shared" si="0"/>
        <v>414</v>
      </c>
      <c r="D12" s="250">
        <f>D1718EnrlmentbyFN[[#This Row],[Total Headcount]]+D1718EnrlmentbyFN[[#This Row],[Total Prov&amp;Priv Headcount]]</f>
        <v>414</v>
      </c>
      <c r="E12">
        <f>SUMIF('A. 20-21 FN Schools Data'!$A$7:$A$18,'D. 19-20 Enrolment by FN'!$A12,'A. 20-21 FN Schools Data'!E$7:E$18)</f>
        <v>0</v>
      </c>
      <c r="F12">
        <f>SUMIF('A. 20-21 FN Schools Data'!$A$7:$A$18,'D. 19-20 Enrolment by FN'!$A12,'A. 20-21 FN Schools Data'!G$7:G$18)</f>
        <v>0</v>
      </c>
      <c r="G12">
        <f>SUMIF('A. 20-21 FN Schools Data'!$A$7:$A$18,'D. 19-20 Enrolment by FN'!$A12,'A. 20-21 FN Schools Data'!I$7:I$18)</f>
        <v>39</v>
      </c>
      <c r="H12">
        <f>SUMIF('A. 20-21 FN Schools Data'!$A$7:$A$18,'D. 19-20 Enrolment by FN'!$A12,'A. 20-21 FN Schools Data'!J$7:J$18)</f>
        <v>30</v>
      </c>
      <c r="I12">
        <f>SUMIF('A. 20-21 FN Schools Data'!$A$7:$A$18,'D. 19-20 Enrolment by FN'!$A12,'A. 20-21 FN Schools Data'!K$7:K$18)</f>
        <v>37</v>
      </c>
      <c r="J12">
        <f>SUMIF('A. 20-21 FN Schools Data'!$A$7:$A$18,'D. 19-20 Enrolment by FN'!$A12,'A. 20-21 FN Schools Data'!L$7:L$18)</f>
        <v>31</v>
      </c>
      <c r="K12">
        <f>SUMIF('A. 20-21 FN Schools Data'!$A$7:$A$18,'D. 19-20 Enrolment by FN'!$A12,'A. 20-21 FN Schools Data'!M$7:M$18)</f>
        <v>25</v>
      </c>
      <c r="L12">
        <f>SUMIF('A. 20-21 FN Schools Data'!$A$7:$A$18,'D. 19-20 Enrolment by FN'!$A12,'A. 20-21 FN Schools Data'!N$7:N$18)</f>
        <v>38</v>
      </c>
      <c r="M12">
        <f>SUMIF('A. 20-21 FN Schools Data'!$A$7:$A$18,'D. 19-20 Enrolment by FN'!$A12,'A. 20-21 FN Schools Data'!O$7:O$18)</f>
        <v>30</v>
      </c>
      <c r="N12">
        <f>SUMIF('A. 20-21 FN Schools Data'!$A$7:$A$18,'D. 19-20 Enrolment by FN'!$A12,'A. 20-21 FN Schools Data'!P$7:P$18)</f>
        <v>29</v>
      </c>
      <c r="O12">
        <f>SUMIF('A. 20-21 FN Schools Data'!$A$7:$A$18,'D. 19-20 Enrolment by FN'!$A12,'A. 20-21 FN Schools Data'!Q$7:Q$18)</f>
        <v>0</v>
      </c>
      <c r="P12">
        <f>SUMIF('A. 20-21 FN Schools Data'!$A$7:$A$18,'D. 19-20 Enrolment by FN'!$A12,'A. 20-21 FN Schools Data'!R$7:R$18)</f>
        <v>56</v>
      </c>
      <c r="Q12">
        <f>SUMIF('A. 20-21 FN Schools Data'!$A$7:$A$18,'D. 19-20 Enrolment by FN'!$A12,'A. 20-21 FN Schools Data'!S$7:S$18)</f>
        <v>24</v>
      </c>
      <c r="R12">
        <f>SUMIF('A. 20-21 FN Schools Data'!$A$7:$A$18,'D. 19-20 Enrolment by FN'!$A12,'A. 20-21 FN Schools Data'!T$7:T$18)</f>
        <v>15</v>
      </c>
      <c r="S12">
        <f>SUMIF('A. 20-21 FN Schools Data'!$A$7:$A$18,'D. 19-20 Enrolment by FN'!$A12,'A. 20-21 FN Schools Data'!U$7:U$18)</f>
        <v>2</v>
      </c>
      <c r="U12">
        <f>SUMIF('A. 20-21 FN Schools Data'!$A$7:$A$18,'D. 19-20 Enrolment by FN'!$A12,'A. 20-21 FN Schools Data'!W$7:W$18)</f>
        <v>398</v>
      </c>
      <c r="V12">
        <f>SUMIF('A. 20-21 FN Schools Data'!$A$7:$A$18,'D. 19-20 Enrolment by FN'!$A12,'A. 20-21 FN Schools Data'!X$7:X$18)</f>
        <v>0</v>
      </c>
      <c r="W12">
        <f>SUMIF('A. 20-21 FN Schools Data'!$A$7:$A$18,'D. 19-20 Enrolment by FN'!$A12,'A. 20-21 FN Schools Data'!Y$7:Y$18)</f>
        <v>0</v>
      </c>
      <c r="X12">
        <f>SUMIF('A. 20-21 FN Schools Data'!$A$7:$A$18,'D. 19-20 Enrolment by FN'!$A12,'A. 20-21 FN Schools Data'!Z$7:Z$18)</f>
        <v>0</v>
      </c>
      <c r="Y12">
        <f>SUMIF('A. 20-21 FN Schools Data'!$A$7:$A$18,'D. 19-20 Enrolment by FN'!$A12,'A. 20-21 FN Schools Data'!AA$7:AA$18)</f>
        <v>0</v>
      </c>
      <c r="Z12">
        <f>SUMIF('A. 20-21 FN Schools Data'!$A$7:$A$18,'D. 19-20 Enrolment by FN'!$A12,'A. 20-21 FN Schools Data'!AB$7:AB$18)</f>
        <v>0</v>
      </c>
      <c r="AA12" s="121">
        <f>SUMIF('A. 20-21 FN Schools Data'!$A$7:$A$18,'D. 19-20 Enrolment by FN'!$A12,'A. 20-21 FN Schools Data'!AC$7:AC$18)</f>
        <v>398</v>
      </c>
      <c r="AB12">
        <f>SUMIF('A. 20-21 FN Schools Data'!$A$7:$A$18,'D. 19-20 Enrolment by FN'!$A12,'A. 20-21 FN Schools Data'!AD$7:AD$18)</f>
        <v>0</v>
      </c>
      <c r="AC12">
        <f>SUMIF('A. 20-21 FN Schools Data'!$A$7:$A$18,'D. 19-20 Enrolment by FN'!$A12,'A. 20-21 FN Schools Data'!AF$7:AF$18)</f>
        <v>0</v>
      </c>
      <c r="AD12">
        <f>SUMIF('A. 20-21 FN Schools Data'!$A$7:$A$18,'D. 19-20 Enrolment by FN'!$A12,'A. 20-21 FN Schools Data'!AH$7:AH$18)</f>
        <v>39</v>
      </c>
      <c r="AE12">
        <f>SUMIF('A. 20-21 FN Schools Data'!$A$7:$A$18,'D. 19-20 Enrolment by FN'!$A12,'A. 20-21 FN Schools Data'!AI$7:AI$18)</f>
        <v>30</v>
      </c>
      <c r="AF12">
        <f>SUMIF('A. 20-21 FN Schools Data'!$A$7:$A$18,'D. 19-20 Enrolment by FN'!$A12,'A. 20-21 FN Schools Data'!AJ$7:AJ$18)</f>
        <v>37</v>
      </c>
      <c r="AG12">
        <f>SUMIF('A. 20-21 FN Schools Data'!$A$7:$A$18,'D. 19-20 Enrolment by FN'!$A12,'A. 20-21 FN Schools Data'!AK$7:AK$18)</f>
        <v>31</v>
      </c>
      <c r="AH12">
        <f>SUMIF('A. 20-21 FN Schools Data'!$A$7:$A$18,'D. 19-20 Enrolment by FN'!$A12,'A. 20-21 FN Schools Data'!AL$7:AL$18)</f>
        <v>25</v>
      </c>
      <c r="AI12">
        <f>SUMIF('A. 20-21 FN Schools Data'!$A$7:$A$18,'D. 19-20 Enrolment by FN'!$A12,'A. 20-21 FN Schools Data'!AM$7:AM$18)</f>
        <v>38</v>
      </c>
      <c r="AJ12">
        <f>SUMIF('A. 20-21 FN Schools Data'!$A$7:$A$18,'D. 19-20 Enrolment by FN'!$A12,'A. 20-21 FN Schools Data'!AN$7:AN$18)</f>
        <v>30</v>
      </c>
      <c r="AK12">
        <f>SUMIF('A. 20-21 FN Schools Data'!$A$7:$A$18,'D. 19-20 Enrolment by FN'!$A12,'A. 20-21 FN Schools Data'!AO$7:AO$18)</f>
        <v>29</v>
      </c>
      <c r="AL12">
        <f>SUMIF('A. 20-21 FN Schools Data'!$A$7:$A$18,'D. 19-20 Enrolment by FN'!$A12,'A. 20-21 FN Schools Data'!AP$7:AP$18)</f>
        <v>0</v>
      </c>
      <c r="AM12">
        <f>SUMIF('A. 20-21 FN Schools Data'!$A$7:$A$18,'D. 19-20 Enrolment by FN'!$A12,'A. 20-21 FN Schools Data'!AQ$7:AQ$18)</f>
        <v>56</v>
      </c>
      <c r="AN12">
        <f>SUMIF('A. 20-21 FN Schools Data'!$A$7:$A$18,'D. 19-20 Enrolment by FN'!$A12,'A. 20-21 FN Schools Data'!AR$7:AR$18)</f>
        <v>24</v>
      </c>
      <c r="AO12">
        <f>SUMIF('A. 20-21 FN Schools Data'!$A$7:$A$18,'D. 19-20 Enrolment by FN'!$A12,'A. 20-21 FN Schools Data'!AS$7:AS$18)</f>
        <v>15</v>
      </c>
      <c r="AP12">
        <f>SUMIF('A. 20-21 FN Schools Data'!$A$7:$A$18,'D. 19-20 Enrolment by FN'!$A12,'A. 20-21 FN Schools Data'!AT$7:AT$18)</f>
        <v>2</v>
      </c>
      <c r="AQ12">
        <f>SUMIF('A. 20-21 FN Schools Data'!$A$7:$A$18,'D. 19-20 Enrolment by FN'!$A12,'A. 20-21 FN Schools Data'!AU$7:AU$18)</f>
        <v>0</v>
      </c>
      <c r="AR12">
        <f>SUMIF('A. 20-21 FN Schools Data'!$A$7:$A$18,'D. 19-20 Enrolment by FN'!$A12,'A. 20-21 FN Schools Data'!AV$7:AV$18)</f>
        <v>398</v>
      </c>
      <c r="AS12">
        <f>SUMIF('A. 20-21 FN Schools Data'!$A$7:$A$18,'D. 19-20 Enrolment by FN'!$A12,'A. 20-21 FN Schools Data'!AW$7:AW$18)</f>
        <v>0</v>
      </c>
      <c r="AT12">
        <f>SUMIF('A. 20-21 FN Schools Data'!$A$7:$A$18,'D. 19-20 Enrolment by FN'!$A12,'A. 20-21 FN Schools Data'!AX$7:AX$18)</f>
        <v>0</v>
      </c>
      <c r="AU12">
        <f>SUMIF('A. 20-21 FN Schools Data'!$A$7:$A$18,'D. 19-20 Enrolment by FN'!$A12,'A. 20-21 FN Schools Data'!AY$7:AY$18)</f>
        <v>0</v>
      </c>
      <c r="AV12">
        <f>SUMIF('A. 20-21 FN Schools Data'!$A$7:$A$18,'D. 19-20 Enrolment by FN'!$A12,'A. 20-21 FN Schools Data'!AZ$7:AZ$18)</f>
        <v>0</v>
      </c>
      <c r="AW12">
        <f>SUMIF('A. 20-21 FN Schools Data'!$A$7:$A$18,'D. 19-20 Enrolment by FN'!$A12,'A. 20-21 FN Schools Data'!BA$7:BA$18)</f>
        <v>0</v>
      </c>
      <c r="AX12" s="121">
        <f>SUMIF(TableAFNSchools[Band No '#],D1718EnrlmentbyFN[[#This Row],[Band '#]],TableAFNSchools[Total Headcount])</f>
        <v>398</v>
      </c>
      <c r="AY12" t="str">
        <f>INDEX(TableAFNSchools[K4 Program Type],MATCH(D1718EnrlmentbyFN[[#This Row],[Band '#]],TableAFNSchools[Band No '#],0))</f>
        <v>Full-Day</v>
      </c>
      <c r="AZ12" t="str">
        <f t="array" ref="AZ12">INDEX(TableAFNSchools[K5 Program Type],MATCH(D1718EnrlmentbyFN[Band '#],TableAFNSchools[Band No '#],0))</f>
        <v>Full-Day</v>
      </c>
      <c r="BA12" s="383">
        <f>SUMIF(TableAFNSchools[Band No '#],D1718EnrlmentbyFN[[#This Row],[Band '#]],TableAFNSchools[Mandatory room &amp; board &lt;18])</f>
        <v>0</v>
      </c>
      <c r="BB12" s="383">
        <f>SUMIF('B. 20-21 Prov&amp;Priv Enrolment&lt;22'!$A$8:$A$54,D1718EnrlmentbyFN[[#This Row],[Band '#]],'B. 20-21 Prov&amp;Priv Enrolment&lt;22'!$Y$8:$Y$54)</f>
        <v>16</v>
      </c>
      <c r="BC12" s="383">
        <f>SUMIF('C. 20-21 Prov&amp;Priv 22+'!$A$7:$A$7,D1718EnrlmentbyFN[[#This Row],[Band '#]],'C. 20-21 Prov&amp;Priv 22+'!$Q$7:$Q$7)</f>
        <v>0</v>
      </c>
      <c r="BD12" s="383">
        <f>SUM(D1718EnrlmentbyFN[[#This Row],[Total &lt;22 FTE]:[22+ FTE Enrolment (including Invalid Values)]])</f>
        <v>16</v>
      </c>
      <c r="BE12" s="383">
        <f>SUMIF('B. 20-21 Prov&amp;Priv Enrolment&lt;22'!$A$8:$A$54,D1718EnrlmentbyFN[[#This Row],[Band '#]],'B. 20-21 Prov&amp;Priv Enrolment&lt;22'!$AR$8:$AR$54)</f>
        <v>16</v>
      </c>
      <c r="BF12" s="383">
        <f>SUMIF('C. 20-21 Prov&amp;Priv 22+'!$A$7:$A$7,D1718EnrlmentbyFN[[#This Row],[Band '#]],'C. 20-21 Prov&amp;Priv 22+'!$AH$7:$AH$7)</f>
        <v>0</v>
      </c>
      <c r="BG12" s="378">
        <f>SUM(D1718EnrlmentbyFN[[#This Row],[Total &lt;22 Headcount]:[22+ Headcount Enrolment (including Invalid Values)]])</f>
        <v>16</v>
      </c>
      <c r="BH12" s="383">
        <f>SUMIF('B.1 Accommmodation Data'!$A$8:$A$37,D1718EnrlmentbyFN[[#This Row],[Band '#]],'B.1 Accommmodation Data'!$K$8:$K$37)</f>
        <v>15</v>
      </c>
      <c r="BI12" s="383">
        <f>SUMIF('B.1 Accommmodation Data'!$A$8:$A$37,D1718EnrlmentbyFN[[#This Row],[Band '#]],'B.1 Accommmodation Data'!$P$8:$P$37)</f>
        <v>1</v>
      </c>
      <c r="BJ12" s="383">
        <f>SUMIF('B.1 Accommmodation Data'!$A$8:$A$37,D1718EnrlmentbyFN[[#This Row],[Band '#]],'B.1 Accommmodation Data'!$I$8:$I$37)</f>
        <v>0</v>
      </c>
      <c r="BK12" s="383">
        <f>SUMIF('B.1 Accommmodation Data'!$A$8:$A$37,D1718EnrlmentbyFN[[#This Row],[Band '#]],'B.1 Accommmodation Data'!$N$8:$N$37)</f>
        <v>0</v>
      </c>
      <c r="BL12" s="383">
        <f>SUMIF('B.1 Accommmodation Data'!$A$8:$A$37,D1718EnrlmentbyFN[[#This Row],[Band '#]],'B.1 Accommmodation Data'!$H$8:$H$37)</f>
        <v>0</v>
      </c>
      <c r="BM12" s="383">
        <f>SUMIF('B.1 Accommmodation Data'!$A$8:$A$37,D1718EnrlmentbyFN[[#This Row],[Band '#]],'B.1 Accommmodation Data'!$M$8:$M$37)</f>
        <v>0</v>
      </c>
      <c r="BN12" s="383">
        <f>SUMIF('B.1 Accommmodation Data'!$A$8:$A$37,D1718EnrlmentbyFN[[#This Row],[Band '#]],'B.1 Accommmodation Data'!$J$8:$J$37)</f>
        <v>0</v>
      </c>
      <c r="BO12" s="383">
        <f>SUMIF('B.1 Accommmodation Data'!$A$8:$A$37,D1718EnrlmentbyFN[[#This Row],[Band '#]],'B.1 Accommmodation Data'!$O$8:$O$37)</f>
        <v>0</v>
      </c>
      <c r="BP12"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16</v>
      </c>
      <c r="BQ12" s="986">
        <f>SUMIF('B. 20-21 Prov&amp;Priv Enrolment&lt;22'!$A$8:$A$54,D1718EnrlmentbyFN[[#This Row],[Band '#]],'B. 20-21 Prov&amp;Priv Enrolment&lt;22'!$Z$8:$Z$54)</f>
        <v>0</v>
      </c>
      <c r="BR12" s="986" t="s">
        <v>1306</v>
      </c>
      <c r="BS12" s="986">
        <f>SUMIF('B. 20-21 Prov&amp;Priv Enrolment&lt;22'!$A$8:$A$54,D1718EnrlmentbyFN[[#This Row],[Band '#]],'B. 20-21 Prov&amp;Priv Enrolment&lt;22'!$AC$8:$AC$54)</f>
        <v>0</v>
      </c>
      <c r="BT12" s="92" t="s">
        <v>1306</v>
      </c>
      <c r="BU12" s="986">
        <f>SUMIF('B. 20-21 Prov&amp;Priv Enrolment&lt;22'!$A$8:$A$54,D1718EnrlmentbyFN[[#This Row],[Band '#]],'B. 20-21 Prov&amp;Priv Enrolment&lt;22'!$AR$8:$AR$54)-D1718EnrlmentbyFN[[#This Row],[Prov K4 Headcount]]-D1718EnrlmentbyFN[[#This Row],[Prov K5 Headcount]]</f>
        <v>16</v>
      </c>
      <c r="BV12">
        <v>7</v>
      </c>
    </row>
    <row r="13" spans="1:74">
      <c r="A13">
        <v>286</v>
      </c>
      <c r="B13" t="s">
        <v>406</v>
      </c>
      <c r="C13" s="131">
        <f t="shared" si="0"/>
        <v>140</v>
      </c>
      <c r="D13" s="250">
        <f>D1718EnrlmentbyFN[[#This Row],[Total Headcount]]+D1718EnrlmentbyFN[[#This Row],[Total Prov&amp;Priv Headcount]]</f>
        <v>140</v>
      </c>
      <c r="E13">
        <f>SUMIF('A. 20-21 FN Schools Data'!$A$7:$A$18,'D. 19-20 Enrolment by FN'!$A13,'A. 20-21 FN Schools Data'!E$7:E$18)</f>
        <v>0</v>
      </c>
      <c r="F13">
        <f>SUMIF('A. 20-21 FN Schools Data'!$A$7:$A$18,'D. 19-20 Enrolment by FN'!$A13,'A. 20-21 FN Schools Data'!G$7:G$18)</f>
        <v>0</v>
      </c>
      <c r="G13">
        <f>SUMIF('A. 20-21 FN Schools Data'!$A$7:$A$18,'D. 19-20 Enrolment by FN'!$A13,'A. 20-21 FN Schools Data'!I$7:I$18)</f>
        <v>8</v>
      </c>
      <c r="H13">
        <f>SUMIF('A. 20-21 FN Schools Data'!$A$7:$A$18,'D. 19-20 Enrolment by FN'!$A13,'A. 20-21 FN Schools Data'!J$7:J$18)</f>
        <v>9</v>
      </c>
      <c r="I13">
        <f>SUMIF('A. 20-21 FN Schools Data'!$A$7:$A$18,'D. 19-20 Enrolment by FN'!$A13,'A. 20-21 FN Schools Data'!K$7:K$18)</f>
        <v>10</v>
      </c>
      <c r="J13">
        <f>SUMIF('A. 20-21 FN Schools Data'!$A$7:$A$18,'D. 19-20 Enrolment by FN'!$A13,'A. 20-21 FN Schools Data'!L$7:L$18)</f>
        <v>6</v>
      </c>
      <c r="K13">
        <f>SUMIF('A. 20-21 FN Schools Data'!$A$7:$A$18,'D. 19-20 Enrolment by FN'!$A13,'A. 20-21 FN Schools Data'!M$7:M$18)</f>
        <v>12</v>
      </c>
      <c r="L13">
        <f>SUMIF('A. 20-21 FN Schools Data'!$A$7:$A$18,'D. 19-20 Enrolment by FN'!$A13,'A. 20-21 FN Schools Data'!N$7:N$18)</f>
        <v>7</v>
      </c>
      <c r="M13">
        <f>SUMIF('A. 20-21 FN Schools Data'!$A$7:$A$18,'D. 19-20 Enrolment by FN'!$A13,'A. 20-21 FN Schools Data'!O$7:O$18)</f>
        <v>9</v>
      </c>
      <c r="N13">
        <f>SUMIF('A. 20-21 FN Schools Data'!$A$7:$A$18,'D. 19-20 Enrolment by FN'!$A13,'A. 20-21 FN Schools Data'!P$7:P$18)</f>
        <v>8</v>
      </c>
      <c r="O13">
        <f>SUMIF('A. 20-21 FN Schools Data'!$A$7:$A$18,'D. 19-20 Enrolment by FN'!$A13,'A. 20-21 FN Schools Data'!Q$7:Q$18)</f>
        <v>0</v>
      </c>
      <c r="P13">
        <f>SUMIF('A. 20-21 FN Schools Data'!$A$7:$A$18,'D. 19-20 Enrolment by FN'!$A13,'A. 20-21 FN Schools Data'!R$7:R$18)</f>
        <v>0</v>
      </c>
      <c r="Q13">
        <f>SUMIF('A. 20-21 FN Schools Data'!$A$7:$A$18,'D. 19-20 Enrolment by FN'!$A13,'A. 20-21 FN Schools Data'!S$7:S$18)</f>
        <v>0</v>
      </c>
      <c r="R13">
        <f>SUMIF('A. 20-21 FN Schools Data'!$A$7:$A$18,'D. 19-20 Enrolment by FN'!$A13,'A. 20-21 FN Schools Data'!T$7:T$18)</f>
        <v>0</v>
      </c>
      <c r="S13">
        <f>SUMIF('A. 20-21 FN Schools Data'!$A$7:$A$18,'D. 19-20 Enrolment by FN'!$A13,'A. 20-21 FN Schools Data'!U$7:U$18)</f>
        <v>0</v>
      </c>
      <c r="U13">
        <f>SUMIF('A. 20-21 FN Schools Data'!$A$7:$A$18,'D. 19-20 Enrolment by FN'!$A13,'A. 20-21 FN Schools Data'!W$7:W$18)</f>
        <v>99</v>
      </c>
      <c r="V13">
        <f>SUMIF('A. 20-21 FN Schools Data'!$A$7:$A$18,'D. 19-20 Enrolment by FN'!$A13,'A. 20-21 FN Schools Data'!X$7:X$18)</f>
        <v>0</v>
      </c>
      <c r="W13">
        <f>SUMIF('A. 20-21 FN Schools Data'!$A$7:$A$18,'D. 19-20 Enrolment by FN'!$A13,'A. 20-21 FN Schools Data'!Y$7:Y$18)</f>
        <v>0</v>
      </c>
      <c r="X13">
        <f>SUMIF('A. 20-21 FN Schools Data'!$A$7:$A$18,'D. 19-20 Enrolment by FN'!$A13,'A. 20-21 FN Schools Data'!Z$7:Z$18)</f>
        <v>0</v>
      </c>
      <c r="Y13">
        <f>SUMIF('A. 20-21 FN Schools Data'!$A$7:$A$18,'D. 19-20 Enrolment by FN'!$A13,'A. 20-21 FN Schools Data'!AA$7:AA$18)</f>
        <v>0</v>
      </c>
      <c r="Z13">
        <f>SUMIF('A. 20-21 FN Schools Data'!$A$7:$A$18,'D. 19-20 Enrolment by FN'!$A13,'A. 20-21 FN Schools Data'!AB$7:AB$18)</f>
        <v>0</v>
      </c>
      <c r="AA13" s="121">
        <f>SUMIF('A. 20-21 FN Schools Data'!$A$7:$A$18,'D. 19-20 Enrolment by FN'!$A13,'A. 20-21 FN Schools Data'!AC$7:AC$18)</f>
        <v>99</v>
      </c>
      <c r="AB13">
        <f>SUMIF('A. 20-21 FN Schools Data'!$A$7:$A$18,'D. 19-20 Enrolment by FN'!$A13,'A. 20-21 FN Schools Data'!AD$7:AD$18)</f>
        <v>0</v>
      </c>
      <c r="AC13">
        <f>SUMIF('A. 20-21 FN Schools Data'!$A$7:$A$18,'D. 19-20 Enrolment by FN'!$A13,'A. 20-21 FN Schools Data'!AF$7:AF$18)</f>
        <v>0</v>
      </c>
      <c r="AD13">
        <f>SUMIF('A. 20-21 FN Schools Data'!$A$7:$A$18,'D. 19-20 Enrolment by FN'!$A13,'A. 20-21 FN Schools Data'!AH$7:AH$18)</f>
        <v>8</v>
      </c>
      <c r="AE13">
        <f>SUMIF('A. 20-21 FN Schools Data'!$A$7:$A$18,'D. 19-20 Enrolment by FN'!$A13,'A. 20-21 FN Schools Data'!AI$7:AI$18)</f>
        <v>9</v>
      </c>
      <c r="AF13">
        <f>SUMIF('A. 20-21 FN Schools Data'!$A$7:$A$18,'D. 19-20 Enrolment by FN'!$A13,'A. 20-21 FN Schools Data'!AJ$7:AJ$18)</f>
        <v>10</v>
      </c>
      <c r="AG13">
        <f>SUMIF('A. 20-21 FN Schools Data'!$A$7:$A$18,'D. 19-20 Enrolment by FN'!$A13,'A. 20-21 FN Schools Data'!AK$7:AK$18)</f>
        <v>6</v>
      </c>
      <c r="AH13">
        <f>SUMIF('A. 20-21 FN Schools Data'!$A$7:$A$18,'D. 19-20 Enrolment by FN'!$A13,'A. 20-21 FN Schools Data'!AL$7:AL$18)</f>
        <v>12</v>
      </c>
      <c r="AI13">
        <f>SUMIF('A. 20-21 FN Schools Data'!$A$7:$A$18,'D. 19-20 Enrolment by FN'!$A13,'A. 20-21 FN Schools Data'!AM$7:AM$18)</f>
        <v>7</v>
      </c>
      <c r="AJ13">
        <f>SUMIF('A. 20-21 FN Schools Data'!$A$7:$A$18,'D. 19-20 Enrolment by FN'!$A13,'A. 20-21 FN Schools Data'!AN$7:AN$18)</f>
        <v>9</v>
      </c>
      <c r="AK13">
        <f>SUMIF('A. 20-21 FN Schools Data'!$A$7:$A$18,'D. 19-20 Enrolment by FN'!$A13,'A. 20-21 FN Schools Data'!AO$7:AO$18)</f>
        <v>8</v>
      </c>
      <c r="AL13">
        <f>SUMIF('A. 20-21 FN Schools Data'!$A$7:$A$18,'D. 19-20 Enrolment by FN'!$A13,'A. 20-21 FN Schools Data'!AP$7:AP$18)</f>
        <v>0</v>
      </c>
      <c r="AM13">
        <f>SUMIF('A. 20-21 FN Schools Data'!$A$7:$A$18,'D. 19-20 Enrolment by FN'!$A13,'A. 20-21 FN Schools Data'!AQ$7:AQ$18)</f>
        <v>0</v>
      </c>
      <c r="AN13">
        <f>SUMIF('A. 20-21 FN Schools Data'!$A$7:$A$18,'D. 19-20 Enrolment by FN'!$A13,'A. 20-21 FN Schools Data'!AR$7:AR$18)</f>
        <v>0</v>
      </c>
      <c r="AO13">
        <f>SUMIF('A. 20-21 FN Schools Data'!$A$7:$A$18,'D. 19-20 Enrolment by FN'!$A13,'A. 20-21 FN Schools Data'!AS$7:AS$18)</f>
        <v>0</v>
      </c>
      <c r="AP13">
        <f>SUMIF('A. 20-21 FN Schools Data'!$A$7:$A$18,'D. 19-20 Enrolment by FN'!$A13,'A. 20-21 FN Schools Data'!AT$7:AT$18)</f>
        <v>0</v>
      </c>
      <c r="AQ13">
        <f>SUMIF('A. 20-21 FN Schools Data'!$A$7:$A$18,'D. 19-20 Enrolment by FN'!$A13,'A. 20-21 FN Schools Data'!AU$7:AU$18)</f>
        <v>0</v>
      </c>
      <c r="AR13">
        <f>SUMIF('A. 20-21 FN Schools Data'!$A$7:$A$18,'D. 19-20 Enrolment by FN'!$A13,'A. 20-21 FN Schools Data'!AV$7:AV$18)</f>
        <v>99</v>
      </c>
      <c r="AS13">
        <f>SUMIF('A. 20-21 FN Schools Data'!$A$7:$A$18,'D. 19-20 Enrolment by FN'!$A13,'A. 20-21 FN Schools Data'!AW$7:AW$18)</f>
        <v>0</v>
      </c>
      <c r="AT13">
        <f>SUMIF('A. 20-21 FN Schools Data'!$A$7:$A$18,'D. 19-20 Enrolment by FN'!$A13,'A. 20-21 FN Schools Data'!AX$7:AX$18)</f>
        <v>0</v>
      </c>
      <c r="AU13">
        <f>SUMIF('A. 20-21 FN Schools Data'!$A$7:$A$18,'D. 19-20 Enrolment by FN'!$A13,'A. 20-21 FN Schools Data'!AY$7:AY$18)</f>
        <v>0</v>
      </c>
      <c r="AV13">
        <f>SUMIF('A. 20-21 FN Schools Data'!$A$7:$A$18,'D. 19-20 Enrolment by FN'!$A13,'A. 20-21 FN Schools Data'!AZ$7:AZ$18)</f>
        <v>0</v>
      </c>
      <c r="AW13">
        <f>SUMIF('A. 20-21 FN Schools Data'!$A$7:$A$18,'D. 19-20 Enrolment by FN'!$A13,'A. 20-21 FN Schools Data'!BA$7:BA$18)</f>
        <v>0</v>
      </c>
      <c r="AX13" s="121">
        <f>SUMIF(TableAFNSchools[Band No '#],D1718EnrlmentbyFN[[#This Row],[Band '#]],TableAFNSchools[Total Headcount])</f>
        <v>99</v>
      </c>
      <c r="AY13" t="str">
        <f>INDEX(TableAFNSchools[K4 Program Type],MATCH(D1718EnrlmentbyFN[[#This Row],[Band '#]],TableAFNSchools[Band No '#],0))</f>
        <v>Full-Day</v>
      </c>
      <c r="AZ13" t="str">
        <f t="array" ref="AZ13">INDEX(TableAFNSchools[K5 Program Type],MATCH(D1718EnrlmentbyFN[Band '#],TableAFNSchools[Band No '#],0))</f>
        <v>Full-Day</v>
      </c>
      <c r="BA13" s="383">
        <f>SUMIF(TableAFNSchools[Band No '#],D1718EnrlmentbyFN[[#This Row],[Band '#]],TableAFNSchools[Mandatory room &amp; board &lt;18])</f>
        <v>0</v>
      </c>
      <c r="BB13" s="383">
        <f>SUMIF('B. 20-21 Prov&amp;Priv Enrolment&lt;22'!$A$8:$A$54,D1718EnrlmentbyFN[[#This Row],[Band '#]],'B. 20-21 Prov&amp;Priv Enrolment&lt;22'!$Y$8:$Y$54)</f>
        <v>41</v>
      </c>
      <c r="BC13" s="383">
        <f>SUMIF('C. 20-21 Prov&amp;Priv 22+'!$A$7:$A$7,D1718EnrlmentbyFN[[#This Row],[Band '#]],'C. 20-21 Prov&amp;Priv 22+'!$Q$7:$Q$7)</f>
        <v>0</v>
      </c>
      <c r="BD13" s="383">
        <f>SUM(D1718EnrlmentbyFN[[#This Row],[Total &lt;22 FTE]:[22+ FTE Enrolment (including Invalid Values)]])</f>
        <v>41</v>
      </c>
      <c r="BE13" s="383">
        <f>SUMIF('B. 20-21 Prov&amp;Priv Enrolment&lt;22'!$A$8:$A$54,D1718EnrlmentbyFN[[#This Row],[Band '#]],'B. 20-21 Prov&amp;Priv Enrolment&lt;22'!$AR$8:$AR$54)</f>
        <v>41</v>
      </c>
      <c r="BF13" s="383">
        <f>SUMIF('C. 20-21 Prov&amp;Priv 22+'!$A$7:$A$7,D1718EnrlmentbyFN[[#This Row],[Band '#]],'C. 20-21 Prov&amp;Priv 22+'!$AH$7:$AH$7)</f>
        <v>0</v>
      </c>
      <c r="BG13" s="378">
        <f>SUM(D1718EnrlmentbyFN[[#This Row],[Total &lt;22 Headcount]:[22+ Headcount Enrolment (including Invalid Values)]])</f>
        <v>41</v>
      </c>
      <c r="BH13" s="383">
        <f>SUMIF('B.1 Accommmodation Data'!$A$8:$A$37,D1718EnrlmentbyFN[[#This Row],[Band '#]],'B.1 Accommmodation Data'!$K$8:$K$37)</f>
        <v>0</v>
      </c>
      <c r="BI13" s="383">
        <f>SUMIF('B.1 Accommmodation Data'!$A$8:$A$37,D1718EnrlmentbyFN[[#This Row],[Band '#]],'B.1 Accommmodation Data'!$P$8:$P$37)</f>
        <v>2</v>
      </c>
      <c r="BJ13" s="383">
        <f>SUMIF('B.1 Accommmodation Data'!$A$8:$A$37,D1718EnrlmentbyFN[[#This Row],[Band '#]],'B.1 Accommmodation Data'!$I$8:$I$37)</f>
        <v>0</v>
      </c>
      <c r="BK13" s="383">
        <f>SUMIF('B.1 Accommmodation Data'!$A$8:$A$37,D1718EnrlmentbyFN[[#This Row],[Band '#]],'B.1 Accommmodation Data'!$N$8:$N$37)</f>
        <v>0</v>
      </c>
      <c r="BL13" s="383">
        <f>SUMIF('B.1 Accommmodation Data'!$A$8:$A$37,D1718EnrlmentbyFN[[#This Row],[Band '#]],'B.1 Accommmodation Data'!$H$8:$H$37)</f>
        <v>0</v>
      </c>
      <c r="BM13" s="383">
        <f>SUMIF('B.1 Accommmodation Data'!$A$8:$A$37,D1718EnrlmentbyFN[[#This Row],[Band '#]],'B.1 Accommmodation Data'!$M$8:$M$37)</f>
        <v>0</v>
      </c>
      <c r="BN13" s="383">
        <f>SUMIF('B.1 Accommmodation Data'!$A$8:$A$37,D1718EnrlmentbyFN[[#This Row],[Band '#]],'B.1 Accommmodation Data'!$J$8:$J$37)</f>
        <v>0</v>
      </c>
      <c r="BO13" s="383">
        <f>SUMIF('B.1 Accommmodation Data'!$A$8:$A$37,D1718EnrlmentbyFN[[#This Row],[Band '#]],'B.1 Accommmodation Data'!$O$8:$O$37)</f>
        <v>0</v>
      </c>
      <c r="BP13"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v>
      </c>
      <c r="BQ13" s="986">
        <f>SUMIF('B. 20-21 Prov&amp;Priv Enrolment&lt;22'!$A$8:$A$54,D1718EnrlmentbyFN[[#This Row],[Band '#]],'B. 20-21 Prov&amp;Priv Enrolment&lt;22'!$Z$8:$Z$54)</f>
        <v>0</v>
      </c>
      <c r="BR13" s="986" t="s">
        <v>1306</v>
      </c>
      <c r="BS13" s="986">
        <f>SUMIF('B. 20-21 Prov&amp;Priv Enrolment&lt;22'!$A$8:$A$54,D1718EnrlmentbyFN[[#This Row],[Band '#]],'B. 20-21 Prov&amp;Priv Enrolment&lt;22'!$AC$8:$AC$54)</f>
        <v>0</v>
      </c>
      <c r="BT13" s="92" t="s">
        <v>1306</v>
      </c>
      <c r="BU13" s="986">
        <f>SUMIF('B. 20-21 Prov&amp;Priv Enrolment&lt;22'!$A$8:$A$54,D1718EnrlmentbyFN[[#This Row],[Band '#]],'B. 20-21 Prov&amp;Priv Enrolment&lt;22'!$AR$8:$AR$54)-D1718EnrlmentbyFN[[#This Row],[Prov K4 Headcount]]-D1718EnrlmentbyFN[[#This Row],[Prov K5 Headcount]]</f>
        <v>41</v>
      </c>
      <c r="BV13">
        <v>37</v>
      </c>
    </row>
    <row r="14" spans="1:74">
      <c r="A14">
        <v>288</v>
      </c>
      <c r="B14" t="s">
        <v>398</v>
      </c>
      <c r="C14" s="131">
        <f>AA14+BD14</f>
        <v>108</v>
      </c>
      <c r="D14" s="250">
        <f>D1718EnrlmentbyFN[[#This Row],[Total Headcount]]+D1718EnrlmentbyFN[[#This Row],[Total Prov&amp;Priv Headcount]]</f>
        <v>108</v>
      </c>
      <c r="E14">
        <f>SUMIF('A. 20-21 FN Schools Data'!$A$7:$A$18,'D. 19-20 Enrolment by FN'!$A14,'A. 20-21 FN Schools Data'!E$7:E$18)</f>
        <v>0</v>
      </c>
      <c r="F14">
        <f>SUMIF('A. 20-21 FN Schools Data'!$A$7:$A$18,'D. 19-20 Enrolment by FN'!$A14,'A. 20-21 FN Schools Data'!G$7:G$18)</f>
        <v>0</v>
      </c>
      <c r="G14">
        <f>SUMIF('A. 20-21 FN Schools Data'!$A$7:$A$18,'D. 19-20 Enrolment by FN'!$A14,'A. 20-21 FN Schools Data'!I$7:I$18)</f>
        <v>10</v>
      </c>
      <c r="H14">
        <f>SUMIF('A. 20-21 FN Schools Data'!$A$7:$A$18,'D. 19-20 Enrolment by FN'!$A14,'A. 20-21 FN Schools Data'!J$7:J$18)</f>
        <v>8</v>
      </c>
      <c r="I14">
        <f>SUMIF('A. 20-21 FN Schools Data'!$A$7:$A$18,'D. 19-20 Enrolment by FN'!$A14,'A. 20-21 FN Schools Data'!K$7:K$18)</f>
        <v>8</v>
      </c>
      <c r="J14">
        <f>SUMIF('A. 20-21 FN Schools Data'!$A$7:$A$18,'D. 19-20 Enrolment by FN'!$A14,'A. 20-21 FN Schools Data'!L$7:L$18)</f>
        <v>9</v>
      </c>
      <c r="K14">
        <f>SUMIF('A. 20-21 FN Schools Data'!$A$7:$A$18,'D. 19-20 Enrolment by FN'!$A14,'A. 20-21 FN Schools Data'!M$7:M$18)</f>
        <v>9</v>
      </c>
      <c r="L14">
        <f>SUMIF('A. 20-21 FN Schools Data'!$A$7:$A$18,'D. 19-20 Enrolment by FN'!$A14,'A. 20-21 FN Schools Data'!N$7:N$18)</f>
        <v>11</v>
      </c>
      <c r="M14">
        <f>SUMIF('A. 20-21 FN Schools Data'!$A$7:$A$18,'D. 19-20 Enrolment by FN'!$A14,'A. 20-21 FN Schools Data'!O$7:O$18)</f>
        <v>6</v>
      </c>
      <c r="N14">
        <f>SUMIF('A. 20-21 FN Schools Data'!$A$7:$A$18,'D. 19-20 Enrolment by FN'!$A14,'A. 20-21 FN Schools Data'!P$7:P$18)</f>
        <v>14</v>
      </c>
      <c r="O14">
        <f>SUMIF('A. 20-21 FN Schools Data'!$A$7:$A$18,'D. 19-20 Enrolment by FN'!$A14,'A. 20-21 FN Schools Data'!Q$7:Q$18)</f>
        <v>0</v>
      </c>
      <c r="P14">
        <f>SUMIF('A. 20-21 FN Schools Data'!$A$7:$A$18,'D. 19-20 Enrolment by FN'!$A14,'A. 20-21 FN Schools Data'!R$7:R$18)</f>
        <v>0</v>
      </c>
      <c r="Q14">
        <f>SUMIF('A. 20-21 FN Schools Data'!$A$7:$A$18,'D. 19-20 Enrolment by FN'!$A14,'A. 20-21 FN Schools Data'!S$7:S$18)</f>
        <v>0</v>
      </c>
      <c r="R14">
        <f>SUMIF('A. 20-21 FN Schools Data'!$A$7:$A$18,'D. 19-20 Enrolment by FN'!$A14,'A. 20-21 FN Schools Data'!T$7:T$18)</f>
        <v>0</v>
      </c>
      <c r="S14">
        <f>SUMIF('A. 20-21 FN Schools Data'!$A$7:$A$18,'D. 19-20 Enrolment by FN'!$A14,'A. 20-21 FN Schools Data'!U$7:U$18)</f>
        <v>0</v>
      </c>
      <c r="U14">
        <f>SUMIF('A. 20-21 FN Schools Data'!$A$7:$A$18,'D. 19-20 Enrolment by FN'!$A14,'A. 20-21 FN Schools Data'!W$7:W$18)</f>
        <v>86</v>
      </c>
      <c r="V14">
        <f>SUMIF('A. 20-21 FN Schools Data'!$A$7:$A$18,'D. 19-20 Enrolment by FN'!$A14,'A. 20-21 FN Schools Data'!X$7:X$18)</f>
        <v>0</v>
      </c>
      <c r="W14">
        <f>SUMIF('A. 20-21 FN Schools Data'!$A$7:$A$18,'D. 19-20 Enrolment by FN'!$A14,'A. 20-21 FN Schools Data'!Y$7:Y$18)</f>
        <v>0</v>
      </c>
      <c r="X14">
        <f>SUMIF('A. 20-21 FN Schools Data'!$A$7:$A$18,'D. 19-20 Enrolment by FN'!$A14,'A. 20-21 FN Schools Data'!Z$7:Z$18)</f>
        <v>0</v>
      </c>
      <c r="Y14">
        <f>SUMIF('A. 20-21 FN Schools Data'!$A$7:$A$18,'D. 19-20 Enrolment by FN'!$A14,'A. 20-21 FN Schools Data'!AA$7:AA$18)</f>
        <v>0</v>
      </c>
      <c r="Z14">
        <f>SUMIF('A. 20-21 FN Schools Data'!$A$7:$A$18,'D. 19-20 Enrolment by FN'!$A14,'A. 20-21 FN Schools Data'!AB$7:AB$18)</f>
        <v>0</v>
      </c>
      <c r="AA14" s="121">
        <f>SUMIF('A. 20-21 FN Schools Data'!$A$7:$A$18,'D. 19-20 Enrolment by FN'!$A14,'A. 20-21 FN Schools Data'!AC$7:AC$18)</f>
        <v>86</v>
      </c>
      <c r="AB14">
        <f>SUMIF('A. 20-21 FN Schools Data'!$A$7:$A$18,'D. 19-20 Enrolment by FN'!$A14,'A. 20-21 FN Schools Data'!AD$7:AD$18)</f>
        <v>0</v>
      </c>
      <c r="AC14">
        <f>SUMIF('A. 20-21 FN Schools Data'!$A$7:$A$18,'D. 19-20 Enrolment by FN'!$A14,'A. 20-21 FN Schools Data'!AF$7:AF$18)</f>
        <v>0</v>
      </c>
      <c r="AD14">
        <f>SUMIF('A. 20-21 FN Schools Data'!$A$7:$A$18,'D. 19-20 Enrolment by FN'!$A14,'A. 20-21 FN Schools Data'!AH$7:AH$18)</f>
        <v>10</v>
      </c>
      <c r="AE14">
        <f>SUMIF('A. 20-21 FN Schools Data'!$A$7:$A$18,'D. 19-20 Enrolment by FN'!$A14,'A. 20-21 FN Schools Data'!AI$7:AI$18)</f>
        <v>8</v>
      </c>
      <c r="AF14">
        <f>SUMIF('A. 20-21 FN Schools Data'!$A$7:$A$18,'D. 19-20 Enrolment by FN'!$A14,'A. 20-21 FN Schools Data'!AJ$7:AJ$18)</f>
        <v>8</v>
      </c>
      <c r="AG14">
        <f>SUMIF('A. 20-21 FN Schools Data'!$A$7:$A$18,'D. 19-20 Enrolment by FN'!$A14,'A. 20-21 FN Schools Data'!AK$7:AK$18)</f>
        <v>9</v>
      </c>
      <c r="AH14">
        <f>SUMIF('A. 20-21 FN Schools Data'!$A$7:$A$18,'D. 19-20 Enrolment by FN'!$A14,'A. 20-21 FN Schools Data'!AL$7:AL$18)</f>
        <v>9</v>
      </c>
      <c r="AI14">
        <f>SUMIF('A. 20-21 FN Schools Data'!$A$7:$A$18,'D. 19-20 Enrolment by FN'!$A14,'A. 20-21 FN Schools Data'!AM$7:AM$18)</f>
        <v>11</v>
      </c>
      <c r="AJ14">
        <f>SUMIF('A. 20-21 FN Schools Data'!$A$7:$A$18,'D. 19-20 Enrolment by FN'!$A14,'A. 20-21 FN Schools Data'!AN$7:AN$18)</f>
        <v>6</v>
      </c>
      <c r="AK14">
        <f>SUMIF('A. 20-21 FN Schools Data'!$A$7:$A$18,'D. 19-20 Enrolment by FN'!$A14,'A. 20-21 FN Schools Data'!AO$7:AO$18)</f>
        <v>14</v>
      </c>
      <c r="AL14">
        <f>SUMIF('A. 20-21 FN Schools Data'!$A$7:$A$18,'D. 19-20 Enrolment by FN'!$A14,'A. 20-21 FN Schools Data'!AP$7:AP$18)</f>
        <v>0</v>
      </c>
      <c r="AM14">
        <f>SUMIF('A. 20-21 FN Schools Data'!$A$7:$A$18,'D. 19-20 Enrolment by FN'!$A14,'A. 20-21 FN Schools Data'!AQ$7:AQ$18)</f>
        <v>0</v>
      </c>
      <c r="AN14">
        <f>SUMIF('A. 20-21 FN Schools Data'!$A$7:$A$18,'D. 19-20 Enrolment by FN'!$A14,'A. 20-21 FN Schools Data'!AR$7:AR$18)</f>
        <v>0</v>
      </c>
      <c r="AO14">
        <f>SUMIF('A. 20-21 FN Schools Data'!$A$7:$A$18,'D. 19-20 Enrolment by FN'!$A14,'A. 20-21 FN Schools Data'!AS$7:AS$18)</f>
        <v>0</v>
      </c>
      <c r="AP14">
        <f>SUMIF('A. 20-21 FN Schools Data'!$A$7:$A$18,'D. 19-20 Enrolment by FN'!$A14,'A. 20-21 FN Schools Data'!AT$7:AT$18)</f>
        <v>0</v>
      </c>
      <c r="AQ14">
        <f>SUMIF('A. 20-21 FN Schools Data'!$A$7:$A$18,'D. 19-20 Enrolment by FN'!$A14,'A. 20-21 FN Schools Data'!AU$7:AU$18)</f>
        <v>0</v>
      </c>
      <c r="AR14">
        <f>SUMIF('A. 20-21 FN Schools Data'!$A$7:$A$18,'D. 19-20 Enrolment by FN'!$A14,'A. 20-21 FN Schools Data'!AV$7:AV$18)</f>
        <v>86</v>
      </c>
      <c r="AS14">
        <f>SUMIF('A. 20-21 FN Schools Data'!$A$7:$A$18,'D. 19-20 Enrolment by FN'!$A14,'A. 20-21 FN Schools Data'!AW$7:AW$18)</f>
        <v>0</v>
      </c>
      <c r="AT14">
        <f>SUMIF('A. 20-21 FN Schools Data'!$A$7:$A$18,'D. 19-20 Enrolment by FN'!$A14,'A. 20-21 FN Schools Data'!AX$7:AX$18)</f>
        <v>0</v>
      </c>
      <c r="AU14">
        <f>SUMIF('A. 20-21 FN Schools Data'!$A$7:$A$18,'D. 19-20 Enrolment by FN'!$A14,'A. 20-21 FN Schools Data'!AY$7:AY$18)</f>
        <v>0</v>
      </c>
      <c r="AV14">
        <f>SUMIF('A. 20-21 FN Schools Data'!$A$7:$A$18,'D. 19-20 Enrolment by FN'!$A14,'A. 20-21 FN Schools Data'!AZ$7:AZ$18)</f>
        <v>0</v>
      </c>
      <c r="AW14">
        <f>SUMIF('A. 20-21 FN Schools Data'!$A$7:$A$18,'D. 19-20 Enrolment by FN'!$A14,'A. 20-21 FN Schools Data'!BA$7:BA$18)</f>
        <v>0</v>
      </c>
      <c r="AX14" s="121">
        <f>SUMIF(TableAFNSchools[Band No '#],D1718EnrlmentbyFN[[#This Row],[Band '#]],TableAFNSchools[Total Headcount])</f>
        <v>86</v>
      </c>
      <c r="AY14" t="str">
        <f>INDEX(TableAFNSchools[K4 Program Type],MATCH(D1718EnrlmentbyFN[[#This Row],[Band '#]],TableAFNSchools[Band No '#],0))</f>
        <v>Full-Day</v>
      </c>
      <c r="AZ14" t="str">
        <f t="array" ref="AZ14">INDEX(TableAFNSchools[K5 Program Type],MATCH(D1718EnrlmentbyFN[Band '#],TableAFNSchools[Band No '#],0))</f>
        <v>Full-Day</v>
      </c>
      <c r="BA14" s="383">
        <f>SUMIF(TableAFNSchools[Band No '#],D1718EnrlmentbyFN[[#This Row],[Band '#]],TableAFNSchools[Mandatory room &amp; board &lt;18])</f>
        <v>0</v>
      </c>
      <c r="BB14" s="383">
        <f>SUMIF('B. 20-21 Prov&amp;Priv Enrolment&lt;22'!$A$8:$A$54,D1718EnrlmentbyFN[[#This Row],[Band '#]],'B. 20-21 Prov&amp;Priv Enrolment&lt;22'!$Y$8:$Y$54)</f>
        <v>22</v>
      </c>
      <c r="BC14" s="383">
        <f>SUMIF('C. 20-21 Prov&amp;Priv 22+'!$A$7:$A$7,D1718EnrlmentbyFN[[#This Row],[Band '#]],'C. 20-21 Prov&amp;Priv 22+'!$Q$7:$Q$7)</f>
        <v>0</v>
      </c>
      <c r="BD14" s="383">
        <f>SUM(D1718EnrlmentbyFN[[#This Row],[Total &lt;22 FTE]:[22+ FTE Enrolment (including Invalid Values)]])</f>
        <v>22</v>
      </c>
      <c r="BE14" s="383">
        <f>SUMIF('B. 20-21 Prov&amp;Priv Enrolment&lt;22'!$A$8:$A$54,D1718EnrlmentbyFN[[#This Row],[Band '#]],'B. 20-21 Prov&amp;Priv Enrolment&lt;22'!$AR$8:$AR$54)</f>
        <v>22</v>
      </c>
      <c r="BF14" s="383">
        <f>SUMIF('C. 20-21 Prov&amp;Priv 22+'!$A$7:$A$7,D1718EnrlmentbyFN[[#This Row],[Band '#]],'C. 20-21 Prov&amp;Priv 22+'!$AH$7:$AH$7)</f>
        <v>0</v>
      </c>
      <c r="BG14" s="378">
        <f>SUM(D1718EnrlmentbyFN[[#This Row],[Total &lt;22 Headcount]:[22+ Headcount Enrolment (including Invalid Values)]])</f>
        <v>22</v>
      </c>
      <c r="BH14" s="383">
        <f>SUMIF('B.1 Accommmodation Data'!$A$8:$A$37,D1718EnrlmentbyFN[[#This Row],[Band '#]],'B.1 Accommmodation Data'!$K$8:$K$37)</f>
        <v>0</v>
      </c>
      <c r="BI14" s="383">
        <f>SUMIF('B.1 Accommmodation Data'!$A$8:$A$37,D1718EnrlmentbyFN[[#This Row],[Band '#]],'B.1 Accommmodation Data'!$P$8:$P$37)</f>
        <v>0</v>
      </c>
      <c r="BJ14" s="383">
        <f>SUMIF('B.1 Accommmodation Data'!$A$8:$A$37,D1718EnrlmentbyFN[[#This Row],[Band '#]],'B.1 Accommmodation Data'!$I$8:$I$37)</f>
        <v>0</v>
      </c>
      <c r="BK14" s="383">
        <f>SUMIF('B.1 Accommmodation Data'!$A$8:$A$37,D1718EnrlmentbyFN[[#This Row],[Band '#]],'B.1 Accommmodation Data'!$N$8:$N$37)</f>
        <v>0</v>
      </c>
      <c r="BL14" s="383">
        <f>SUMIF('B.1 Accommmodation Data'!$A$8:$A$37,D1718EnrlmentbyFN[[#This Row],[Band '#]],'B.1 Accommmodation Data'!$H$8:$H$37)</f>
        <v>0</v>
      </c>
      <c r="BM14" s="383">
        <f>SUMIF('B.1 Accommmodation Data'!$A$8:$A$37,D1718EnrlmentbyFN[[#This Row],[Band '#]],'B.1 Accommmodation Data'!$M$8:$M$37)</f>
        <v>0</v>
      </c>
      <c r="BN14" s="383">
        <f>SUMIF('B.1 Accommmodation Data'!$A$8:$A$37,D1718EnrlmentbyFN[[#This Row],[Band '#]],'B.1 Accommmodation Data'!$J$8:$J$37)</f>
        <v>0</v>
      </c>
      <c r="BO14" s="383">
        <f>SUMIF('B.1 Accommmodation Data'!$A$8:$A$37,D1718EnrlmentbyFN[[#This Row],[Band '#]],'B.1 Accommmodation Data'!$O$8:$O$37)</f>
        <v>0</v>
      </c>
      <c r="BP14"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4" s="986">
        <f>SUMIF('B. 20-21 Prov&amp;Priv Enrolment&lt;22'!$A$8:$A$54,D1718EnrlmentbyFN[[#This Row],[Band '#]],'B. 20-21 Prov&amp;Priv Enrolment&lt;22'!$Z$8:$Z$54)</f>
        <v>0</v>
      </c>
      <c r="BR14" s="986" t="s">
        <v>1306</v>
      </c>
      <c r="BS14" s="986">
        <f>SUMIF('B. 20-21 Prov&amp;Priv Enrolment&lt;22'!$A$8:$A$54,D1718EnrlmentbyFN[[#This Row],[Band '#]],'B. 20-21 Prov&amp;Priv Enrolment&lt;22'!$AC$8:$AC$54)</f>
        <v>0</v>
      </c>
      <c r="BT14" s="92" t="s">
        <v>1306</v>
      </c>
      <c r="BU14" s="986">
        <f>SUMIF('B. 20-21 Prov&amp;Priv Enrolment&lt;22'!$A$8:$A$54,D1718EnrlmentbyFN[[#This Row],[Band '#]],'B. 20-21 Prov&amp;Priv Enrolment&lt;22'!$AR$8:$AR$54)-D1718EnrlmentbyFN[[#This Row],[Prov K4 Headcount]]-D1718EnrlmentbyFN[[#This Row],[Prov K5 Headcount]]</f>
        <v>22</v>
      </c>
      <c r="BV14">
        <v>13</v>
      </c>
    </row>
    <row r="15" spans="1:74">
      <c r="A15">
        <v>295</v>
      </c>
      <c r="B15" t="s">
        <v>320</v>
      </c>
      <c r="C15" s="131">
        <f>AA15+BD15</f>
        <v>87</v>
      </c>
      <c r="D15" s="250">
        <f>D1718EnrlmentbyFN[[#This Row],[Total Headcount]]+D1718EnrlmentbyFN[[#This Row],[Total Prov&amp;Priv Headcount]]</f>
        <v>87</v>
      </c>
      <c r="E15">
        <f>SUMIF('A. 20-21 FN Schools Data'!$A$7:$A$18,'D. 19-20 Enrolment by FN'!$A15,'A. 20-21 FN Schools Data'!E$7:E$18)</f>
        <v>0</v>
      </c>
      <c r="F15">
        <f>SUMIF('A. 20-21 FN Schools Data'!$A$7:$A$18,'D. 19-20 Enrolment by FN'!$A15,'A. 20-21 FN Schools Data'!G$7:G$18)</f>
        <v>0</v>
      </c>
      <c r="G15">
        <f>SUMIF('A. 20-21 FN Schools Data'!$A$7:$A$18,'D. 19-20 Enrolment by FN'!$A15,'A. 20-21 FN Schools Data'!I$7:I$18)</f>
        <v>3</v>
      </c>
      <c r="H15">
        <f>SUMIF('A. 20-21 FN Schools Data'!$A$7:$A$18,'D. 19-20 Enrolment by FN'!$A15,'A. 20-21 FN Schools Data'!J$7:J$18)</f>
        <v>2</v>
      </c>
      <c r="I15">
        <f>SUMIF('A. 20-21 FN Schools Data'!$A$7:$A$18,'D. 19-20 Enrolment by FN'!$A15,'A. 20-21 FN Schools Data'!K$7:K$18)</f>
        <v>5</v>
      </c>
      <c r="J15">
        <f>SUMIF('A. 20-21 FN Schools Data'!$A$7:$A$18,'D. 19-20 Enrolment by FN'!$A15,'A. 20-21 FN Schools Data'!L$7:L$18)</f>
        <v>5</v>
      </c>
      <c r="K15">
        <f>SUMIF('A. 20-21 FN Schools Data'!$A$7:$A$18,'D. 19-20 Enrolment by FN'!$A15,'A. 20-21 FN Schools Data'!M$7:M$18)</f>
        <v>2</v>
      </c>
      <c r="L15">
        <f>SUMIF('A. 20-21 FN Schools Data'!$A$7:$A$18,'D. 19-20 Enrolment by FN'!$A15,'A. 20-21 FN Schools Data'!N$7:N$18)</f>
        <v>2</v>
      </c>
      <c r="M15">
        <f>SUMIF('A. 20-21 FN Schools Data'!$A$7:$A$18,'D. 19-20 Enrolment by FN'!$A15,'A. 20-21 FN Schools Data'!O$7:O$18)</f>
        <v>1</v>
      </c>
      <c r="N15">
        <f>SUMIF('A. 20-21 FN Schools Data'!$A$7:$A$18,'D. 19-20 Enrolment by FN'!$A15,'A. 20-21 FN Schools Data'!P$7:P$18)</f>
        <v>3</v>
      </c>
      <c r="O15">
        <f>SUMIF('A. 20-21 FN Schools Data'!$A$7:$A$18,'D. 19-20 Enrolment by FN'!$A15,'A. 20-21 FN Schools Data'!Q$7:Q$18)</f>
        <v>0</v>
      </c>
      <c r="P15">
        <f>SUMIF('A. 20-21 FN Schools Data'!$A$7:$A$18,'D. 19-20 Enrolment by FN'!$A15,'A. 20-21 FN Schools Data'!R$7:R$18)</f>
        <v>5</v>
      </c>
      <c r="Q15">
        <f>SUMIF('A. 20-21 FN Schools Data'!$A$7:$A$18,'D. 19-20 Enrolment by FN'!$A15,'A. 20-21 FN Schools Data'!S$7:S$18)</f>
        <v>1</v>
      </c>
      <c r="R15">
        <f>SUMIF('A. 20-21 FN Schools Data'!$A$7:$A$18,'D. 19-20 Enrolment by FN'!$A15,'A. 20-21 FN Schools Data'!T$7:T$18)</f>
        <v>2</v>
      </c>
      <c r="S15">
        <f>SUMIF('A. 20-21 FN Schools Data'!$A$7:$A$18,'D. 19-20 Enrolment by FN'!$A15,'A. 20-21 FN Schools Data'!U$7:U$18)</f>
        <v>2</v>
      </c>
      <c r="U15">
        <f>SUMIF('A. 20-21 FN Schools Data'!$A$7:$A$18,'D. 19-20 Enrolment by FN'!$A15,'A. 20-21 FN Schools Data'!W$7:W$18)</f>
        <v>41</v>
      </c>
      <c r="V15">
        <f>SUMIF('A. 20-21 FN Schools Data'!$A$7:$A$18,'D. 19-20 Enrolment by FN'!$A15,'A. 20-21 FN Schools Data'!X$7:X$18)</f>
        <v>0</v>
      </c>
      <c r="W15">
        <f>SUMIF('A. 20-21 FN Schools Data'!$A$7:$A$18,'D. 19-20 Enrolment by FN'!$A15,'A. 20-21 FN Schools Data'!Y$7:Y$18)</f>
        <v>0</v>
      </c>
      <c r="X15">
        <f>SUMIF('A. 20-21 FN Schools Data'!$A$7:$A$18,'D. 19-20 Enrolment by FN'!$A15,'A. 20-21 FN Schools Data'!Z$7:Z$18)</f>
        <v>0</v>
      </c>
      <c r="Y15">
        <f>SUMIF('A. 20-21 FN Schools Data'!$A$7:$A$18,'D. 19-20 Enrolment by FN'!$A15,'A. 20-21 FN Schools Data'!AA$7:AA$18)</f>
        <v>0</v>
      </c>
      <c r="Z15">
        <f>SUMIF('A. 20-21 FN Schools Data'!$A$7:$A$18,'D. 19-20 Enrolment by FN'!$A15,'A. 20-21 FN Schools Data'!AB$7:AB$18)</f>
        <v>0</v>
      </c>
      <c r="AA15">
        <f>SUMIF('A. 20-21 FN Schools Data'!$A$7:$A$18,'D. 19-20 Enrolment by FN'!$A15,'A. 20-21 FN Schools Data'!AC$7:AC$18)</f>
        <v>41</v>
      </c>
      <c r="AB15">
        <f>SUMIF('A. 20-21 FN Schools Data'!$A$7:$A$18,'D. 19-20 Enrolment by FN'!$A15,'A. 20-21 FN Schools Data'!AD$7:AD$18)</f>
        <v>0</v>
      </c>
      <c r="AC15">
        <f>SUMIF('A. 20-21 FN Schools Data'!$A$7:$A$18,'D. 19-20 Enrolment by FN'!$A15,'A. 20-21 FN Schools Data'!AF$7:AF$18)</f>
        <v>0</v>
      </c>
      <c r="AD15">
        <f>SUMIF('A. 20-21 FN Schools Data'!$A$7:$A$18,'D. 19-20 Enrolment by FN'!$A15,'A. 20-21 FN Schools Data'!AH$7:AH$18)</f>
        <v>3</v>
      </c>
      <c r="AE15">
        <f>SUMIF('A. 20-21 FN Schools Data'!$A$7:$A$18,'D. 19-20 Enrolment by FN'!$A15,'A. 20-21 FN Schools Data'!AI$7:AI$18)</f>
        <v>2</v>
      </c>
      <c r="AF15">
        <f>SUMIF('A. 20-21 FN Schools Data'!$A$7:$A$18,'D. 19-20 Enrolment by FN'!$A15,'A. 20-21 FN Schools Data'!AJ$7:AJ$18)</f>
        <v>5</v>
      </c>
      <c r="AG15">
        <f>SUMIF('A. 20-21 FN Schools Data'!$A$7:$A$18,'D. 19-20 Enrolment by FN'!$A15,'A. 20-21 FN Schools Data'!AK$7:AK$18)</f>
        <v>5</v>
      </c>
      <c r="AH15">
        <f>SUMIF('A. 20-21 FN Schools Data'!$A$7:$A$18,'D. 19-20 Enrolment by FN'!$A15,'A. 20-21 FN Schools Data'!AL$7:AL$18)</f>
        <v>2</v>
      </c>
      <c r="AI15">
        <f>SUMIF('A. 20-21 FN Schools Data'!$A$7:$A$18,'D. 19-20 Enrolment by FN'!$A15,'A. 20-21 FN Schools Data'!AM$7:AM$18)</f>
        <v>2</v>
      </c>
      <c r="AJ15">
        <f>SUMIF('A. 20-21 FN Schools Data'!$A$7:$A$18,'D. 19-20 Enrolment by FN'!$A15,'A. 20-21 FN Schools Data'!AN$7:AN$18)</f>
        <v>1</v>
      </c>
      <c r="AK15">
        <f>SUMIF('A. 20-21 FN Schools Data'!$A$7:$A$18,'D. 19-20 Enrolment by FN'!$A15,'A. 20-21 FN Schools Data'!AO$7:AO$18)</f>
        <v>3</v>
      </c>
      <c r="AL15">
        <f>SUMIF('A. 20-21 FN Schools Data'!$A$7:$A$18,'D. 19-20 Enrolment by FN'!$A15,'A. 20-21 FN Schools Data'!AP$7:AP$18)</f>
        <v>0</v>
      </c>
      <c r="AM15">
        <f>SUMIF('A. 20-21 FN Schools Data'!$A$7:$A$18,'D. 19-20 Enrolment by FN'!$A15,'A. 20-21 FN Schools Data'!AQ$7:AQ$18)</f>
        <v>5</v>
      </c>
      <c r="AN15">
        <f>SUMIF('A. 20-21 FN Schools Data'!$A$7:$A$18,'D. 19-20 Enrolment by FN'!$A15,'A. 20-21 FN Schools Data'!AR$7:AR$18)</f>
        <v>1</v>
      </c>
      <c r="AO15">
        <f>SUMIF('A. 20-21 FN Schools Data'!$A$7:$A$18,'D. 19-20 Enrolment by FN'!$A15,'A. 20-21 FN Schools Data'!AS$7:AS$18)</f>
        <v>2</v>
      </c>
      <c r="AP15">
        <f>SUMIF('A. 20-21 FN Schools Data'!$A$7:$A$18,'D. 19-20 Enrolment by FN'!$A15,'A. 20-21 FN Schools Data'!AT$7:AT$18)</f>
        <v>2</v>
      </c>
      <c r="AQ15">
        <f>SUMIF('A. 20-21 FN Schools Data'!$A$7:$A$18,'D. 19-20 Enrolment by FN'!$A15,'A. 20-21 FN Schools Data'!AU$7:AU$18)</f>
        <v>0</v>
      </c>
      <c r="AR15">
        <f>SUMIF('A. 20-21 FN Schools Data'!$A$7:$A$18,'D. 19-20 Enrolment by FN'!$A15,'A. 20-21 FN Schools Data'!AV$7:AV$18)</f>
        <v>41</v>
      </c>
      <c r="AS15">
        <f>SUMIF('A. 20-21 FN Schools Data'!$A$7:$A$18,'D. 19-20 Enrolment by FN'!$A15,'A. 20-21 FN Schools Data'!AW$7:AW$18)</f>
        <v>0</v>
      </c>
      <c r="AT15">
        <f>SUMIF('A. 20-21 FN Schools Data'!$A$7:$A$18,'D. 19-20 Enrolment by FN'!$A15,'A. 20-21 FN Schools Data'!AX$7:AX$18)</f>
        <v>0</v>
      </c>
      <c r="AU15">
        <f>SUMIF('A. 20-21 FN Schools Data'!$A$7:$A$18,'D. 19-20 Enrolment by FN'!$A15,'A. 20-21 FN Schools Data'!AY$7:AY$18)</f>
        <v>0</v>
      </c>
      <c r="AV15">
        <f>SUMIF('A. 20-21 FN Schools Data'!$A$7:$A$18,'D. 19-20 Enrolment by FN'!$A15,'A. 20-21 FN Schools Data'!AZ$7:AZ$18)</f>
        <v>0</v>
      </c>
      <c r="AW15">
        <f>SUMIF('A. 20-21 FN Schools Data'!$A$7:$A$18,'D. 19-20 Enrolment by FN'!$A15,'A. 20-21 FN Schools Data'!BA$7:BA$18)</f>
        <v>0</v>
      </c>
      <c r="AX15" s="121">
        <f>SUMIF(TableAFNSchools[Band No '#],D1718EnrlmentbyFN[[#This Row],[Band '#]],TableAFNSchools[Total Headcount])</f>
        <v>41</v>
      </c>
      <c r="AY15" s="1142" t="s">
        <v>1306</v>
      </c>
      <c r="AZ15" s="1142" t="s">
        <v>1306</v>
      </c>
      <c r="BA15" s="1332">
        <f>SUMIF(TableAFNSchools[Band No '#],D1718EnrlmentbyFN[[#This Row],[Band '#]],TableAFNSchools[Mandatory room &amp; board &lt;18])</f>
        <v>0</v>
      </c>
      <c r="BB15" s="383">
        <f>SUMIF('B. 20-21 Prov&amp;Priv Enrolment&lt;22'!$A$8:$A$54,D1718EnrlmentbyFN[[#This Row],[Band '#]],'B. 20-21 Prov&amp;Priv Enrolment&lt;22'!$Y$8:$Y$54)</f>
        <v>46</v>
      </c>
      <c r="BC15" s="383">
        <f>SUMIF('C. 20-21 Prov&amp;Priv 22+'!$A$7:$A$7,D1718EnrlmentbyFN[[#This Row],[Band '#]],'C. 20-21 Prov&amp;Priv 22+'!$Q$7:$Q$7)</f>
        <v>0</v>
      </c>
      <c r="BD15" s="383">
        <f>SUM(D1718EnrlmentbyFN[[#This Row],[Total &lt;22 FTE]:[22+ FTE Enrolment (including Invalid Values)]])</f>
        <v>46</v>
      </c>
      <c r="BE15" s="383">
        <f>SUMIF('B. 20-21 Prov&amp;Priv Enrolment&lt;22'!$A$8:$A$54,D1718EnrlmentbyFN[[#This Row],[Band '#]],'B. 20-21 Prov&amp;Priv Enrolment&lt;22'!$AR$8:$AR$54)</f>
        <v>46</v>
      </c>
      <c r="BF15" s="383">
        <f>SUMIF('C. 20-21 Prov&amp;Priv 22+'!$A$7:$A$7,D1718EnrlmentbyFN[[#This Row],[Band '#]],'C. 20-21 Prov&amp;Priv 22+'!$AH$7:$AH$7)</f>
        <v>0</v>
      </c>
      <c r="BG15" s="378">
        <f>SUM(D1718EnrlmentbyFN[[#This Row],[Total &lt;22 Headcount]:[22+ Headcount Enrolment (including Invalid Values)]])</f>
        <v>46</v>
      </c>
      <c r="BH15" s="383">
        <f>SUMIF('B.1 Accommmodation Data'!$A$8:$A$37,D1718EnrlmentbyFN[[#This Row],[Band '#]],'B.1 Accommmodation Data'!$K$8:$K$37)</f>
        <v>0</v>
      </c>
      <c r="BI15" s="383">
        <f>SUMIF('B.1 Accommmodation Data'!$A$8:$A$37,D1718EnrlmentbyFN[[#This Row],[Band '#]],'B.1 Accommmodation Data'!$P$8:$P$37)</f>
        <v>0</v>
      </c>
      <c r="BJ15" s="383">
        <f>SUMIF('B.1 Accommmodation Data'!$A$8:$A$37,D1718EnrlmentbyFN[[#This Row],[Band '#]],'B.1 Accommmodation Data'!$I$8:$I$37)</f>
        <v>0</v>
      </c>
      <c r="BK15" s="383">
        <f>SUMIF('B.1 Accommmodation Data'!$A$8:$A$37,D1718EnrlmentbyFN[[#This Row],[Band '#]],'B.1 Accommmodation Data'!$N$8:$N$37)</f>
        <v>0</v>
      </c>
      <c r="BL15" s="383">
        <f>SUMIF('B.1 Accommmodation Data'!$A$8:$A$37,D1718EnrlmentbyFN[[#This Row],[Band '#]],'B.1 Accommmodation Data'!$H$8:$H$37)</f>
        <v>0</v>
      </c>
      <c r="BM15" s="383">
        <f>SUMIF('B.1 Accommmodation Data'!$A$8:$A$37,D1718EnrlmentbyFN[[#This Row],[Band '#]],'B.1 Accommmodation Data'!$M$8:$M$37)</f>
        <v>0</v>
      </c>
      <c r="BN15" s="383">
        <f>SUMIF('B.1 Accommmodation Data'!$A$8:$A$37,D1718EnrlmentbyFN[[#This Row],[Band '#]],'B.1 Accommmodation Data'!$J$8:$J$37)</f>
        <v>0</v>
      </c>
      <c r="BO15" s="383">
        <f>SUMIF('B.1 Accommmodation Data'!$A$8:$A$37,D1718EnrlmentbyFN[[#This Row],[Band '#]],'B.1 Accommmodation Data'!$O$8:$O$37)</f>
        <v>0</v>
      </c>
      <c r="BP15"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5" s="1333">
        <f>SUMIF('B. 20-21 Prov&amp;Priv Enrolment&lt;22'!$A$8:$A$54,D1718EnrlmentbyFN[[#This Row],[Band '#]],'B. 20-21 Prov&amp;Priv Enrolment&lt;22'!$Z$8:$Z$54)</f>
        <v>0</v>
      </c>
      <c r="BR15" s="1334" t="s">
        <v>1306</v>
      </c>
      <c r="BS15" s="986">
        <f>SUMIF('B. 20-21 Prov&amp;Priv Enrolment&lt;22'!$A$8:$A$54,D1718EnrlmentbyFN[[#This Row],[Band '#]],'B. 20-21 Prov&amp;Priv Enrolment&lt;22'!$AC$8:$AC$54)</f>
        <v>4</v>
      </c>
      <c r="BT15" s="92" t="s">
        <v>1297</v>
      </c>
      <c r="BU15" s="986">
        <f>SUMIF('B. 20-21 Prov&amp;Priv Enrolment&lt;22'!$A$8:$A$54,D1718EnrlmentbyFN[[#This Row],[Band '#]],'B. 20-21 Prov&amp;Priv Enrolment&lt;22'!$AR$8:$AR$54)-D1718EnrlmentbyFN[[#This Row],[Prov K4 Headcount]]-D1718EnrlmentbyFN[[#This Row],[Prov K5 Headcount]]</f>
        <v>42</v>
      </c>
      <c r="BV15">
        <v>19</v>
      </c>
    </row>
    <row r="16" spans="1:74">
      <c r="A16">
        <v>304</v>
      </c>
      <c r="B16" t="s">
        <v>394</v>
      </c>
      <c r="C16" s="131">
        <f t="shared" si="0"/>
        <v>166</v>
      </c>
      <c r="D16" s="250">
        <f>D1718EnrlmentbyFN[[#This Row],[Total Headcount]]+D1718EnrlmentbyFN[[#This Row],[Total Prov&amp;Priv Headcount]]</f>
        <v>166</v>
      </c>
      <c r="E16">
        <f>SUMIF('A. 20-21 FN Schools Data'!$A$7:$A$18,'D. 19-20 Enrolment by FN'!$A16,'A. 20-21 FN Schools Data'!E$7:E$18)</f>
        <v>0</v>
      </c>
      <c r="F16">
        <f>SUMIF('A. 20-21 FN Schools Data'!$A$7:$A$18,'D. 19-20 Enrolment by FN'!$A16,'A. 20-21 FN Schools Data'!G$7:G$18)</f>
        <v>0</v>
      </c>
      <c r="G16">
        <f>SUMIF('A. 20-21 FN Schools Data'!$A$7:$A$18,'D. 19-20 Enrolment by FN'!$A16,'A. 20-21 FN Schools Data'!I$7:I$18)</f>
        <v>11</v>
      </c>
      <c r="H16">
        <f>SUMIF('A. 20-21 FN Schools Data'!$A$7:$A$18,'D. 19-20 Enrolment by FN'!$A16,'A. 20-21 FN Schools Data'!J$7:J$18)</f>
        <v>14</v>
      </c>
      <c r="I16">
        <f>SUMIF('A. 20-21 FN Schools Data'!$A$7:$A$18,'D. 19-20 Enrolment by FN'!$A16,'A. 20-21 FN Schools Data'!K$7:K$18)</f>
        <v>7</v>
      </c>
      <c r="J16">
        <f>SUMIF('A. 20-21 FN Schools Data'!$A$7:$A$18,'D. 19-20 Enrolment by FN'!$A16,'A. 20-21 FN Schools Data'!L$7:L$18)</f>
        <v>14</v>
      </c>
      <c r="K16">
        <f>SUMIF('A. 20-21 FN Schools Data'!$A$7:$A$18,'D. 19-20 Enrolment by FN'!$A16,'A. 20-21 FN Schools Data'!M$7:M$18)</f>
        <v>11</v>
      </c>
      <c r="L16">
        <f>SUMIF('A. 20-21 FN Schools Data'!$A$7:$A$18,'D. 19-20 Enrolment by FN'!$A16,'A. 20-21 FN Schools Data'!N$7:N$18)</f>
        <v>7</v>
      </c>
      <c r="M16">
        <f>SUMIF('A. 20-21 FN Schools Data'!$A$7:$A$18,'D. 19-20 Enrolment by FN'!$A16,'A. 20-21 FN Schools Data'!O$7:O$18)</f>
        <v>11</v>
      </c>
      <c r="N16">
        <f>SUMIF('A. 20-21 FN Schools Data'!$A$7:$A$18,'D. 19-20 Enrolment by FN'!$A16,'A. 20-21 FN Schools Data'!P$7:P$18)</f>
        <v>11</v>
      </c>
      <c r="O16">
        <f>SUMIF('A. 20-21 FN Schools Data'!$A$7:$A$18,'D. 19-20 Enrolment by FN'!$A16,'A. 20-21 FN Schools Data'!Q$7:Q$18)</f>
        <v>0</v>
      </c>
      <c r="P16">
        <f>SUMIF('A. 20-21 FN Schools Data'!$A$7:$A$18,'D. 19-20 Enrolment by FN'!$A16,'A. 20-21 FN Schools Data'!R$7:R$18)</f>
        <v>11</v>
      </c>
      <c r="Q16">
        <f>SUMIF('A. 20-21 FN Schools Data'!$A$7:$A$18,'D. 19-20 Enrolment by FN'!$A16,'A. 20-21 FN Schools Data'!S$7:S$18)</f>
        <v>11</v>
      </c>
      <c r="R16">
        <f>SUMIF('A. 20-21 FN Schools Data'!$A$7:$A$18,'D. 19-20 Enrolment by FN'!$A16,'A. 20-21 FN Schools Data'!T$7:T$18)</f>
        <v>6</v>
      </c>
      <c r="S16">
        <f>SUMIF('A. 20-21 FN Schools Data'!$A$7:$A$18,'D. 19-20 Enrolment by FN'!$A16,'A. 20-21 FN Schools Data'!U$7:U$18)</f>
        <v>3</v>
      </c>
      <c r="U16">
        <f>SUMIF('A. 20-21 FN Schools Data'!$A$7:$A$18,'D. 19-20 Enrolment by FN'!$A16,'A. 20-21 FN Schools Data'!W$7:W$18)</f>
        <v>142</v>
      </c>
      <c r="V16">
        <f>SUMIF('A. 20-21 FN Schools Data'!$A$7:$A$18,'D. 19-20 Enrolment by FN'!$A16,'A. 20-21 FN Schools Data'!X$7:X$18)</f>
        <v>0</v>
      </c>
      <c r="W16">
        <f>SUMIF('A. 20-21 FN Schools Data'!$A$7:$A$18,'D. 19-20 Enrolment by FN'!$A16,'A. 20-21 FN Schools Data'!Y$7:Y$18)</f>
        <v>0</v>
      </c>
      <c r="X16">
        <f>SUMIF('A. 20-21 FN Schools Data'!$A$7:$A$18,'D. 19-20 Enrolment by FN'!$A16,'A. 20-21 FN Schools Data'!Z$7:Z$18)</f>
        <v>0</v>
      </c>
      <c r="Y16">
        <f>SUMIF('A. 20-21 FN Schools Data'!$A$7:$A$18,'D. 19-20 Enrolment by FN'!$A16,'A. 20-21 FN Schools Data'!AA$7:AA$18)</f>
        <v>0</v>
      </c>
      <c r="Z16">
        <f>SUMIF('A. 20-21 FN Schools Data'!$A$7:$A$18,'D. 19-20 Enrolment by FN'!$A16,'A. 20-21 FN Schools Data'!AB$7:AB$18)</f>
        <v>0</v>
      </c>
      <c r="AA16" s="121">
        <f>SUMIF('A. 20-21 FN Schools Data'!$A$7:$A$18,'D. 19-20 Enrolment by FN'!$A16,'A. 20-21 FN Schools Data'!AC$7:AC$18)</f>
        <v>142</v>
      </c>
      <c r="AB16">
        <f>SUMIF('A. 20-21 FN Schools Data'!$A$7:$A$18,'D. 19-20 Enrolment by FN'!$A16,'A. 20-21 FN Schools Data'!AD$7:AD$18)</f>
        <v>0</v>
      </c>
      <c r="AC16">
        <f>SUMIF('A. 20-21 FN Schools Data'!$A$7:$A$18,'D. 19-20 Enrolment by FN'!$A16,'A. 20-21 FN Schools Data'!AF$7:AF$18)</f>
        <v>0</v>
      </c>
      <c r="AD16">
        <f>SUMIF('A. 20-21 FN Schools Data'!$A$7:$A$18,'D. 19-20 Enrolment by FN'!$A16,'A. 20-21 FN Schools Data'!AH$7:AH$18)</f>
        <v>11</v>
      </c>
      <c r="AE16">
        <f>SUMIF('A. 20-21 FN Schools Data'!$A$7:$A$18,'D. 19-20 Enrolment by FN'!$A16,'A. 20-21 FN Schools Data'!AI$7:AI$18)</f>
        <v>14</v>
      </c>
      <c r="AF16">
        <f>SUMIF('A. 20-21 FN Schools Data'!$A$7:$A$18,'D. 19-20 Enrolment by FN'!$A16,'A. 20-21 FN Schools Data'!AJ$7:AJ$18)</f>
        <v>7</v>
      </c>
      <c r="AG16">
        <f>SUMIF('A. 20-21 FN Schools Data'!$A$7:$A$18,'D. 19-20 Enrolment by FN'!$A16,'A. 20-21 FN Schools Data'!AK$7:AK$18)</f>
        <v>14</v>
      </c>
      <c r="AH16">
        <f>SUMIF('A. 20-21 FN Schools Data'!$A$7:$A$18,'D. 19-20 Enrolment by FN'!$A16,'A. 20-21 FN Schools Data'!AL$7:AL$18)</f>
        <v>11</v>
      </c>
      <c r="AI16">
        <f>SUMIF('A. 20-21 FN Schools Data'!$A$7:$A$18,'D. 19-20 Enrolment by FN'!$A16,'A. 20-21 FN Schools Data'!AM$7:AM$18)</f>
        <v>7</v>
      </c>
      <c r="AJ16">
        <f>SUMIF('A. 20-21 FN Schools Data'!$A$7:$A$18,'D. 19-20 Enrolment by FN'!$A16,'A. 20-21 FN Schools Data'!AN$7:AN$18)</f>
        <v>11</v>
      </c>
      <c r="AK16">
        <f>SUMIF('A. 20-21 FN Schools Data'!$A$7:$A$18,'D. 19-20 Enrolment by FN'!$A16,'A. 20-21 FN Schools Data'!AO$7:AO$18)</f>
        <v>11</v>
      </c>
      <c r="AL16">
        <f>SUMIF('A. 20-21 FN Schools Data'!$A$7:$A$18,'D. 19-20 Enrolment by FN'!$A16,'A. 20-21 FN Schools Data'!AP$7:AP$18)</f>
        <v>0</v>
      </c>
      <c r="AM16">
        <f>SUMIF('A. 20-21 FN Schools Data'!$A$7:$A$18,'D. 19-20 Enrolment by FN'!$A16,'A. 20-21 FN Schools Data'!AQ$7:AQ$18)</f>
        <v>11</v>
      </c>
      <c r="AN16">
        <f>SUMIF('A. 20-21 FN Schools Data'!$A$7:$A$18,'D. 19-20 Enrolment by FN'!$A16,'A. 20-21 FN Schools Data'!AR$7:AR$18)</f>
        <v>11</v>
      </c>
      <c r="AO16">
        <f>SUMIF('A. 20-21 FN Schools Data'!$A$7:$A$18,'D. 19-20 Enrolment by FN'!$A16,'A. 20-21 FN Schools Data'!AS$7:AS$18)</f>
        <v>6</v>
      </c>
      <c r="AP16">
        <f>SUMIF('A. 20-21 FN Schools Data'!$A$7:$A$18,'D. 19-20 Enrolment by FN'!$A16,'A. 20-21 FN Schools Data'!AT$7:AT$18)</f>
        <v>3</v>
      </c>
      <c r="AQ16">
        <f>SUMIF('A. 20-21 FN Schools Data'!$A$7:$A$18,'D. 19-20 Enrolment by FN'!$A16,'A. 20-21 FN Schools Data'!AU$7:AU$18)</f>
        <v>0</v>
      </c>
      <c r="AR16">
        <f>SUMIF('A. 20-21 FN Schools Data'!$A$7:$A$18,'D. 19-20 Enrolment by FN'!$A16,'A. 20-21 FN Schools Data'!AV$7:AV$18)</f>
        <v>142</v>
      </c>
      <c r="AS16">
        <f>SUMIF('A. 20-21 FN Schools Data'!$A$7:$A$18,'D. 19-20 Enrolment by FN'!$A16,'A. 20-21 FN Schools Data'!AW$7:AW$18)</f>
        <v>0</v>
      </c>
      <c r="AT16">
        <f>SUMIF('A. 20-21 FN Schools Data'!$A$7:$A$18,'D. 19-20 Enrolment by FN'!$A16,'A. 20-21 FN Schools Data'!AX$7:AX$18)</f>
        <v>0</v>
      </c>
      <c r="AU16">
        <f>SUMIF('A. 20-21 FN Schools Data'!$A$7:$A$18,'D. 19-20 Enrolment by FN'!$A16,'A. 20-21 FN Schools Data'!AY$7:AY$18)</f>
        <v>0</v>
      </c>
      <c r="AV16">
        <f>SUMIF('A. 20-21 FN Schools Data'!$A$7:$A$18,'D. 19-20 Enrolment by FN'!$A16,'A. 20-21 FN Schools Data'!AZ$7:AZ$18)</f>
        <v>0</v>
      </c>
      <c r="AW16">
        <f>SUMIF('A. 20-21 FN Schools Data'!$A$7:$A$18,'D. 19-20 Enrolment by FN'!$A16,'A. 20-21 FN Schools Data'!BA$7:BA$18)</f>
        <v>0</v>
      </c>
      <c r="AX16" s="121">
        <f>SUMIF(TableAFNSchools[Band No '#],D1718EnrlmentbyFN[[#This Row],[Band '#]],TableAFNSchools[Total Headcount])</f>
        <v>142</v>
      </c>
      <c r="AY16" t="str">
        <f>INDEX(TableAFNSchools[K4 Program Type],MATCH(D1718EnrlmentbyFN[[#This Row],[Band '#]],TableAFNSchools[Band No '#],0))</f>
        <v>Full-Day</v>
      </c>
      <c r="AZ16" t="str">
        <f t="array" ref="AZ16">INDEX(TableAFNSchools[K5 Program Type],MATCH(D1718EnrlmentbyFN[Band '#],TableAFNSchools[Band No '#],0))</f>
        <v>Full-Day</v>
      </c>
      <c r="BA16" s="383">
        <f>SUMIF(TableAFNSchools[Band No '#],D1718EnrlmentbyFN[[#This Row],[Band '#]],TableAFNSchools[Mandatory room &amp; board &lt;18])</f>
        <v>0</v>
      </c>
      <c r="BB16" s="383">
        <f>SUMIF('B. 20-21 Prov&amp;Priv Enrolment&lt;22'!$A$8:$A$54,D1718EnrlmentbyFN[[#This Row],[Band '#]],'B. 20-21 Prov&amp;Priv Enrolment&lt;22'!$Y$8:$Y$54)</f>
        <v>24</v>
      </c>
      <c r="BC16" s="383">
        <f>SUMIF('C. 20-21 Prov&amp;Priv 22+'!$A$7:$A$7,D1718EnrlmentbyFN[[#This Row],[Band '#]],'C. 20-21 Prov&amp;Priv 22+'!$Q$7:$Q$7)</f>
        <v>0</v>
      </c>
      <c r="BD16" s="383">
        <f>SUM(D1718EnrlmentbyFN[[#This Row],[Total &lt;22 FTE]:[22+ FTE Enrolment (including Invalid Values)]])</f>
        <v>24</v>
      </c>
      <c r="BE16" s="383">
        <f>SUMIF('B. 20-21 Prov&amp;Priv Enrolment&lt;22'!$A$8:$A$54,D1718EnrlmentbyFN[[#This Row],[Band '#]],'B. 20-21 Prov&amp;Priv Enrolment&lt;22'!$AR$8:$AR$54)</f>
        <v>24</v>
      </c>
      <c r="BF16" s="383">
        <f>SUMIF('C. 20-21 Prov&amp;Priv 22+'!$A$7:$A$7,D1718EnrlmentbyFN[[#This Row],[Band '#]],'C. 20-21 Prov&amp;Priv 22+'!$AH$7:$AH$7)</f>
        <v>0</v>
      </c>
      <c r="BG16" s="378">
        <f>SUM(D1718EnrlmentbyFN[[#This Row],[Total &lt;22 Headcount]:[22+ Headcount Enrolment (including Invalid Values)]])</f>
        <v>24</v>
      </c>
      <c r="BH16" s="383">
        <f>SUMIF('B.1 Accommmodation Data'!$A$8:$A$37,D1718EnrlmentbyFN[[#This Row],[Band '#]],'B.1 Accommmodation Data'!$K$8:$K$37)</f>
        <v>10</v>
      </c>
      <c r="BI16" s="383">
        <f>SUMIF('B.1 Accommmodation Data'!$A$8:$A$37,D1718EnrlmentbyFN[[#This Row],[Band '#]],'B.1 Accommmodation Data'!$P$8:$P$37)</f>
        <v>9</v>
      </c>
      <c r="BJ16" s="383">
        <f>SUMIF('B.1 Accommmodation Data'!$A$8:$A$37,D1718EnrlmentbyFN[[#This Row],[Band '#]],'B.1 Accommmodation Data'!$I$8:$I$37)</f>
        <v>2</v>
      </c>
      <c r="BK16" s="383">
        <f>SUMIF('B.1 Accommmodation Data'!$A$8:$A$37,D1718EnrlmentbyFN[[#This Row],[Band '#]],'B.1 Accommmodation Data'!$N$8:$N$37)</f>
        <v>3</v>
      </c>
      <c r="BL16" s="383">
        <f>SUMIF('B.1 Accommmodation Data'!$A$8:$A$37,D1718EnrlmentbyFN[[#This Row],[Band '#]],'B.1 Accommmodation Data'!$H$8:$H$37)</f>
        <v>0</v>
      </c>
      <c r="BM16" s="383">
        <f>SUMIF('B.1 Accommmodation Data'!$A$8:$A$37,D1718EnrlmentbyFN[[#This Row],[Band '#]],'B.1 Accommmodation Data'!$M$8:$M$37)</f>
        <v>0</v>
      </c>
      <c r="BN16" s="383">
        <f>SUMIF('B.1 Accommmodation Data'!$A$8:$A$37,D1718EnrlmentbyFN[[#This Row],[Band '#]],'B.1 Accommmodation Data'!$J$8:$J$37)</f>
        <v>0</v>
      </c>
      <c r="BO16" s="383">
        <f>SUMIF('B.1 Accommmodation Data'!$A$8:$A$37,D1718EnrlmentbyFN[[#This Row],[Band '#]],'B.1 Accommmodation Data'!$O$8:$O$37)</f>
        <v>0</v>
      </c>
      <c r="BP16"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24</v>
      </c>
      <c r="BQ16" s="986">
        <f>SUMIF('B. 20-21 Prov&amp;Priv Enrolment&lt;22'!$A$8:$A$54,D1718EnrlmentbyFN[[#This Row],[Band '#]],'B. 20-21 Prov&amp;Priv Enrolment&lt;22'!$Z$8:$Z$54)</f>
        <v>0</v>
      </c>
      <c r="BR16" s="986" t="s">
        <v>1306</v>
      </c>
      <c r="BS16" s="986">
        <f>SUMIF('B. 20-21 Prov&amp;Priv Enrolment&lt;22'!$A$8:$A$54,D1718EnrlmentbyFN[[#This Row],[Band '#]],'B. 20-21 Prov&amp;Priv Enrolment&lt;22'!$AC$8:$AC$54)</f>
        <v>0</v>
      </c>
      <c r="BT16" s="92" t="s">
        <v>1306</v>
      </c>
      <c r="BU16" s="986">
        <f>SUMIF('B. 20-21 Prov&amp;Priv Enrolment&lt;22'!$A$8:$A$54,D1718EnrlmentbyFN[[#This Row],[Band '#]],'B. 20-21 Prov&amp;Priv Enrolment&lt;22'!$AR$8:$AR$54)-D1718EnrlmentbyFN[[#This Row],[Prov K4 Headcount]]-D1718EnrlmentbyFN[[#This Row],[Prov K5 Headcount]]</f>
        <v>24</v>
      </c>
      <c r="BV16">
        <v>0</v>
      </c>
    </row>
    <row r="17" spans="1:74">
      <c r="A17">
        <v>305</v>
      </c>
      <c r="B17" t="s">
        <v>404</v>
      </c>
      <c r="C17" s="131">
        <f t="shared" si="0"/>
        <v>45</v>
      </c>
      <c r="D17" s="250">
        <f>D1718EnrlmentbyFN[[#This Row],[Total Headcount]]+D1718EnrlmentbyFN[[#This Row],[Total Prov&amp;Priv Headcount]]</f>
        <v>45</v>
      </c>
      <c r="E17">
        <f>SUMIF('A. 20-21 FN Schools Data'!$A$7:$A$18,'D. 19-20 Enrolment by FN'!$A17,'A. 20-21 FN Schools Data'!E$7:E$18)</f>
        <v>0</v>
      </c>
      <c r="F17">
        <f>SUMIF('A. 20-21 FN Schools Data'!$A$7:$A$18,'D. 19-20 Enrolment by FN'!$A17,'A. 20-21 FN Schools Data'!G$7:G$18)</f>
        <v>0</v>
      </c>
      <c r="G17">
        <f>SUMIF('A. 20-21 FN Schools Data'!$A$7:$A$18,'D. 19-20 Enrolment by FN'!$A17,'A. 20-21 FN Schools Data'!I$7:I$18)</f>
        <v>3</v>
      </c>
      <c r="H17">
        <f>SUMIF('A. 20-21 FN Schools Data'!$A$7:$A$18,'D. 19-20 Enrolment by FN'!$A17,'A. 20-21 FN Schools Data'!J$7:J$18)</f>
        <v>5</v>
      </c>
      <c r="I17">
        <f>SUMIF('A. 20-21 FN Schools Data'!$A$7:$A$18,'D. 19-20 Enrolment by FN'!$A17,'A. 20-21 FN Schools Data'!K$7:K$18)</f>
        <v>1</v>
      </c>
      <c r="J17">
        <f>SUMIF('A. 20-21 FN Schools Data'!$A$7:$A$18,'D. 19-20 Enrolment by FN'!$A17,'A. 20-21 FN Schools Data'!L$7:L$18)</f>
        <v>2</v>
      </c>
      <c r="K17">
        <f>SUMIF('A. 20-21 FN Schools Data'!$A$7:$A$18,'D. 19-20 Enrolment by FN'!$A17,'A. 20-21 FN Schools Data'!M$7:M$18)</f>
        <v>2</v>
      </c>
      <c r="L17">
        <f>SUMIF('A. 20-21 FN Schools Data'!$A$7:$A$18,'D. 19-20 Enrolment by FN'!$A17,'A. 20-21 FN Schools Data'!N$7:N$18)</f>
        <v>6</v>
      </c>
      <c r="M17">
        <f>SUMIF('A. 20-21 FN Schools Data'!$A$7:$A$18,'D. 19-20 Enrolment by FN'!$A17,'A. 20-21 FN Schools Data'!O$7:O$18)</f>
        <v>1</v>
      </c>
      <c r="N17">
        <f>SUMIF('A. 20-21 FN Schools Data'!$A$7:$A$18,'D. 19-20 Enrolment by FN'!$A17,'A. 20-21 FN Schools Data'!P$7:P$18)</f>
        <v>2</v>
      </c>
      <c r="O17">
        <f>SUMIF('A. 20-21 FN Schools Data'!$A$7:$A$18,'D. 19-20 Enrolment by FN'!$A17,'A. 20-21 FN Schools Data'!Q$7:Q$18)</f>
        <v>0</v>
      </c>
      <c r="P17">
        <f>SUMIF('A. 20-21 FN Schools Data'!$A$7:$A$18,'D. 19-20 Enrolment by FN'!$A17,'A. 20-21 FN Schools Data'!R$7:R$18)</f>
        <v>0</v>
      </c>
      <c r="Q17">
        <f>SUMIF('A. 20-21 FN Schools Data'!$A$7:$A$18,'D. 19-20 Enrolment by FN'!$A17,'A. 20-21 FN Schools Data'!S$7:S$18)</f>
        <v>0</v>
      </c>
      <c r="R17">
        <f>SUMIF('A. 20-21 FN Schools Data'!$A$7:$A$18,'D. 19-20 Enrolment by FN'!$A17,'A. 20-21 FN Schools Data'!T$7:T$18)</f>
        <v>0</v>
      </c>
      <c r="S17">
        <f>SUMIF('A. 20-21 FN Schools Data'!$A$7:$A$18,'D. 19-20 Enrolment by FN'!$A17,'A. 20-21 FN Schools Data'!U$7:U$18)</f>
        <v>0</v>
      </c>
      <c r="U17">
        <f>SUMIF('A. 20-21 FN Schools Data'!$A$7:$A$18,'D. 19-20 Enrolment by FN'!$A17,'A. 20-21 FN Schools Data'!W$7:W$18)</f>
        <v>27</v>
      </c>
      <c r="V17">
        <f>SUMIF('A. 20-21 FN Schools Data'!$A$7:$A$18,'D. 19-20 Enrolment by FN'!$A17,'A. 20-21 FN Schools Data'!X$7:X$18)</f>
        <v>0</v>
      </c>
      <c r="W17">
        <f>SUMIF('A. 20-21 FN Schools Data'!$A$7:$A$18,'D. 19-20 Enrolment by FN'!$A17,'A. 20-21 FN Schools Data'!Y$7:Y$18)</f>
        <v>0</v>
      </c>
      <c r="X17">
        <f>SUMIF('A. 20-21 FN Schools Data'!$A$7:$A$18,'D. 19-20 Enrolment by FN'!$A17,'A. 20-21 FN Schools Data'!Z$7:Z$18)</f>
        <v>0</v>
      </c>
      <c r="Y17">
        <f>SUMIF('A. 20-21 FN Schools Data'!$A$7:$A$18,'D. 19-20 Enrolment by FN'!$A17,'A. 20-21 FN Schools Data'!AA$7:AA$18)</f>
        <v>0</v>
      </c>
      <c r="Z17">
        <f>SUMIF('A. 20-21 FN Schools Data'!$A$7:$A$18,'D. 19-20 Enrolment by FN'!$A17,'A. 20-21 FN Schools Data'!AB$7:AB$18)</f>
        <v>0</v>
      </c>
      <c r="AA17" s="121">
        <f>SUMIF('A. 20-21 FN Schools Data'!$A$7:$A$18,'D. 19-20 Enrolment by FN'!$A17,'A. 20-21 FN Schools Data'!AC$7:AC$18)</f>
        <v>27</v>
      </c>
      <c r="AB17">
        <f>SUMIF('A. 20-21 FN Schools Data'!$A$7:$A$18,'D. 19-20 Enrolment by FN'!$A17,'A. 20-21 FN Schools Data'!AD$7:AD$18)</f>
        <v>0</v>
      </c>
      <c r="AC17">
        <f>SUMIF('A. 20-21 FN Schools Data'!$A$7:$A$18,'D. 19-20 Enrolment by FN'!$A17,'A. 20-21 FN Schools Data'!AF$7:AF$18)</f>
        <v>0</v>
      </c>
      <c r="AD17">
        <f>SUMIF('A. 20-21 FN Schools Data'!$A$7:$A$18,'D. 19-20 Enrolment by FN'!$A17,'A. 20-21 FN Schools Data'!AH$7:AH$18)</f>
        <v>3</v>
      </c>
      <c r="AE17">
        <f>SUMIF('A. 20-21 FN Schools Data'!$A$7:$A$18,'D. 19-20 Enrolment by FN'!$A17,'A. 20-21 FN Schools Data'!AI$7:AI$18)</f>
        <v>5</v>
      </c>
      <c r="AF17">
        <f>SUMIF('A. 20-21 FN Schools Data'!$A$7:$A$18,'D. 19-20 Enrolment by FN'!$A17,'A. 20-21 FN Schools Data'!AJ$7:AJ$18)</f>
        <v>1</v>
      </c>
      <c r="AG17">
        <f>SUMIF('A. 20-21 FN Schools Data'!$A$7:$A$18,'D. 19-20 Enrolment by FN'!$A17,'A. 20-21 FN Schools Data'!AK$7:AK$18)</f>
        <v>2</v>
      </c>
      <c r="AH17">
        <f>SUMIF('A. 20-21 FN Schools Data'!$A$7:$A$18,'D. 19-20 Enrolment by FN'!$A17,'A. 20-21 FN Schools Data'!AL$7:AL$18)</f>
        <v>2</v>
      </c>
      <c r="AI17">
        <f>SUMIF('A. 20-21 FN Schools Data'!$A$7:$A$18,'D. 19-20 Enrolment by FN'!$A17,'A. 20-21 FN Schools Data'!AM$7:AM$18)</f>
        <v>6</v>
      </c>
      <c r="AJ17">
        <f>SUMIF('A. 20-21 FN Schools Data'!$A$7:$A$18,'D. 19-20 Enrolment by FN'!$A17,'A. 20-21 FN Schools Data'!AN$7:AN$18)</f>
        <v>1</v>
      </c>
      <c r="AK17">
        <f>SUMIF('A. 20-21 FN Schools Data'!$A$7:$A$18,'D. 19-20 Enrolment by FN'!$A17,'A. 20-21 FN Schools Data'!AO$7:AO$18)</f>
        <v>2</v>
      </c>
      <c r="AL17">
        <f>SUMIF('A. 20-21 FN Schools Data'!$A$7:$A$18,'D. 19-20 Enrolment by FN'!$A17,'A. 20-21 FN Schools Data'!AP$7:AP$18)</f>
        <v>0</v>
      </c>
      <c r="AM17">
        <f>SUMIF('A. 20-21 FN Schools Data'!$A$7:$A$18,'D. 19-20 Enrolment by FN'!$A17,'A. 20-21 FN Schools Data'!AQ$7:AQ$18)</f>
        <v>0</v>
      </c>
      <c r="AN17">
        <f>SUMIF('A. 20-21 FN Schools Data'!$A$7:$A$18,'D. 19-20 Enrolment by FN'!$A17,'A. 20-21 FN Schools Data'!AR$7:AR$18)</f>
        <v>0</v>
      </c>
      <c r="AO17">
        <f>SUMIF('A. 20-21 FN Schools Data'!$A$7:$A$18,'D. 19-20 Enrolment by FN'!$A17,'A. 20-21 FN Schools Data'!AS$7:AS$18)</f>
        <v>0</v>
      </c>
      <c r="AP17">
        <f>SUMIF('A. 20-21 FN Schools Data'!$A$7:$A$18,'D. 19-20 Enrolment by FN'!$A17,'A. 20-21 FN Schools Data'!AT$7:AT$18)</f>
        <v>0</v>
      </c>
      <c r="AQ17">
        <f>SUMIF('A. 20-21 FN Schools Data'!$A$7:$A$18,'D. 19-20 Enrolment by FN'!$A17,'A. 20-21 FN Schools Data'!AU$7:AU$18)</f>
        <v>0</v>
      </c>
      <c r="AR17">
        <f>SUMIF('A. 20-21 FN Schools Data'!$A$7:$A$18,'D. 19-20 Enrolment by FN'!$A17,'A. 20-21 FN Schools Data'!AV$7:AV$18)</f>
        <v>27</v>
      </c>
      <c r="AS17">
        <f>SUMIF('A. 20-21 FN Schools Data'!$A$7:$A$18,'D. 19-20 Enrolment by FN'!$A17,'A. 20-21 FN Schools Data'!AW$7:AW$18)</f>
        <v>0</v>
      </c>
      <c r="AT17">
        <f>SUMIF('A. 20-21 FN Schools Data'!$A$7:$A$18,'D. 19-20 Enrolment by FN'!$A17,'A. 20-21 FN Schools Data'!AX$7:AX$18)</f>
        <v>0</v>
      </c>
      <c r="AU17">
        <f>SUMIF('A. 20-21 FN Schools Data'!$A$7:$A$18,'D. 19-20 Enrolment by FN'!$A17,'A. 20-21 FN Schools Data'!AY$7:AY$18)</f>
        <v>0</v>
      </c>
      <c r="AV17">
        <f>SUMIF('A. 20-21 FN Schools Data'!$A$7:$A$18,'D. 19-20 Enrolment by FN'!$A17,'A. 20-21 FN Schools Data'!AZ$7:AZ$18)</f>
        <v>0</v>
      </c>
      <c r="AW17">
        <f>SUMIF('A. 20-21 FN Schools Data'!$A$7:$A$18,'D. 19-20 Enrolment by FN'!$A17,'A. 20-21 FN Schools Data'!BA$7:BA$18)</f>
        <v>0</v>
      </c>
      <c r="AX17" s="121">
        <f>SUMIF(TableAFNSchools[Band No '#],D1718EnrlmentbyFN[[#This Row],[Band '#]],TableAFNSchools[Total Headcount])</f>
        <v>27</v>
      </c>
      <c r="AY17" t="str">
        <f>INDEX(TableAFNSchools[K4 Program Type],MATCH(D1718EnrlmentbyFN[[#This Row],[Band '#]],TableAFNSchools[Band No '#],0))</f>
        <v>Full-Day</v>
      </c>
      <c r="AZ17" t="str">
        <f t="array" ref="AZ17">INDEX(TableAFNSchools[K5 Program Type],MATCH(D1718EnrlmentbyFN[Band '#],TableAFNSchools[Band No '#],0))</f>
        <v>Full-Day</v>
      </c>
      <c r="BA17" s="383">
        <f>SUMIF(TableAFNSchools[Band No '#],D1718EnrlmentbyFN[[#This Row],[Band '#]],TableAFNSchools[Mandatory room &amp; board &lt;18])</f>
        <v>0</v>
      </c>
      <c r="BB17" s="383">
        <f>SUMIF('B. 20-21 Prov&amp;Priv Enrolment&lt;22'!$A$8:$A$54,D1718EnrlmentbyFN[[#This Row],[Band '#]],'B. 20-21 Prov&amp;Priv Enrolment&lt;22'!$Y$8:$Y$54)</f>
        <v>18</v>
      </c>
      <c r="BC17" s="383">
        <f>SUMIF('C. 20-21 Prov&amp;Priv 22+'!$A$7:$A$7,D1718EnrlmentbyFN[[#This Row],[Band '#]],'C. 20-21 Prov&amp;Priv 22+'!$Q$7:$Q$7)</f>
        <v>0</v>
      </c>
      <c r="BD17" s="383">
        <f>SUM(D1718EnrlmentbyFN[[#This Row],[Total &lt;22 FTE]:[22+ FTE Enrolment (including Invalid Values)]])</f>
        <v>18</v>
      </c>
      <c r="BE17" s="383">
        <f>SUMIF('B. 20-21 Prov&amp;Priv Enrolment&lt;22'!$A$8:$A$54,D1718EnrlmentbyFN[[#This Row],[Band '#]],'B. 20-21 Prov&amp;Priv Enrolment&lt;22'!$AR$8:$AR$54)</f>
        <v>18</v>
      </c>
      <c r="BF17" s="383">
        <f>SUMIF('C. 20-21 Prov&amp;Priv 22+'!$A$7:$A$7,D1718EnrlmentbyFN[[#This Row],[Band '#]],'C. 20-21 Prov&amp;Priv 22+'!$AH$7:$AH$7)</f>
        <v>0</v>
      </c>
      <c r="BG17" s="378">
        <f>SUM(D1718EnrlmentbyFN[[#This Row],[Total &lt;22 Headcount]:[22+ Headcount Enrolment (including Invalid Values)]])</f>
        <v>18</v>
      </c>
      <c r="BH17" s="383">
        <f>SUMIF('B.1 Accommmodation Data'!$A$8:$A$37,D1718EnrlmentbyFN[[#This Row],[Band '#]],'B.1 Accommmodation Data'!$K$8:$K$37)</f>
        <v>0</v>
      </c>
      <c r="BI17" s="383">
        <f>SUMIF('B.1 Accommmodation Data'!$A$8:$A$37,D1718EnrlmentbyFN[[#This Row],[Band '#]],'B.1 Accommmodation Data'!$P$8:$P$37)</f>
        <v>0</v>
      </c>
      <c r="BJ17" s="383">
        <f>SUMIF('B.1 Accommmodation Data'!$A$8:$A$37,D1718EnrlmentbyFN[[#This Row],[Band '#]],'B.1 Accommmodation Data'!$I$8:$I$37)</f>
        <v>0</v>
      </c>
      <c r="BK17" s="383">
        <f>SUMIF('B.1 Accommmodation Data'!$A$8:$A$37,D1718EnrlmentbyFN[[#This Row],[Band '#]],'B.1 Accommmodation Data'!$N$8:$N$37)</f>
        <v>0</v>
      </c>
      <c r="BL17" s="383">
        <f>SUMIF('B.1 Accommmodation Data'!$A$8:$A$37,D1718EnrlmentbyFN[[#This Row],[Band '#]],'B.1 Accommmodation Data'!$H$8:$H$37)</f>
        <v>0</v>
      </c>
      <c r="BM17" s="383">
        <f>SUMIF('B.1 Accommmodation Data'!$A$8:$A$37,D1718EnrlmentbyFN[[#This Row],[Band '#]],'B.1 Accommmodation Data'!$M$8:$M$37)</f>
        <v>0</v>
      </c>
      <c r="BN17" s="383">
        <f>SUMIF('B.1 Accommmodation Data'!$A$8:$A$37,D1718EnrlmentbyFN[[#This Row],[Band '#]],'B.1 Accommmodation Data'!$J$8:$J$37)</f>
        <v>0</v>
      </c>
      <c r="BO17" s="383">
        <f>SUMIF('B.1 Accommmodation Data'!$A$8:$A$37,D1718EnrlmentbyFN[[#This Row],[Band '#]],'B.1 Accommmodation Data'!$O$8:$O$37)</f>
        <v>0</v>
      </c>
      <c r="BP17" s="985">
        <f>D1718EnrlmentbyFN[[#This Row],[Mandatory PHP &lt;18 Headcount]]+D1718EnrlmentbyFN[[#This Row],[Student Residence &lt;18 Headcount]]+D1718EnrlmentbyFN[[#This Row],[Boarding school &lt;18 Headcount]]+D1718EnrlmentbyFN[[#This Row],[Room and board (5 days) &lt;18 Headcount]]+D1718EnrlmentbyFN[[#This Row],[Mandatory PHP 18-21 Headcount]]+D1718EnrlmentbyFN[[#This Row],[Student Residence 18-21 Headcount]]+D1718EnrlmentbyFN[[#This Row],[Boarding school 18-21 Heacount]]+D1718EnrlmentbyFN[[#This Row],[Room and board (5 days) 18-21 Headcount]]</f>
        <v>0</v>
      </c>
      <c r="BQ17" s="986">
        <f>SUMIF('B. 20-21 Prov&amp;Priv Enrolment&lt;22'!$A$8:$A$54,D1718EnrlmentbyFN[[#This Row],[Band '#]],'B. 20-21 Prov&amp;Priv Enrolment&lt;22'!$Z$8:$Z$54)</f>
        <v>0</v>
      </c>
      <c r="BR17" s="986" t="s">
        <v>1306</v>
      </c>
      <c r="BS17" s="986">
        <f>SUMIF('B. 20-21 Prov&amp;Priv Enrolment&lt;22'!$A$8:$A$54,D1718EnrlmentbyFN[[#This Row],[Band '#]],'B. 20-21 Prov&amp;Priv Enrolment&lt;22'!$AC$8:$AC$54)</f>
        <v>0</v>
      </c>
      <c r="BT17" s="92" t="s">
        <v>1306</v>
      </c>
      <c r="BU17" s="986">
        <f>SUMIF('B. 20-21 Prov&amp;Priv Enrolment&lt;22'!$A$8:$A$54,D1718EnrlmentbyFN[[#This Row],[Band '#]],'B. 20-21 Prov&amp;Priv Enrolment&lt;22'!$AR$8:$AR$54)-D1718EnrlmentbyFN[[#This Row],[Prov K4 Headcount]]-D1718EnrlmentbyFN[[#This Row],[Prov K5 Headcount]]</f>
        <v>18</v>
      </c>
      <c r="BV17">
        <v>15</v>
      </c>
    </row>
    <row r="18" spans="1:74">
      <c r="A18" t="s">
        <v>72</v>
      </c>
      <c r="C18" s="899">
        <f>SUBTOTAL(109,D1718EnrlmentbyFN[Total Funded FTE])</f>
        <v>2352</v>
      </c>
      <c r="D18" s="900">
        <f>SUBTOTAL(109,D1718EnrlmentbyFN[Total Funded Headcount])</f>
        <v>2352</v>
      </c>
      <c r="E18" s="899">
        <f>SUBTOTAL(109,D1718EnrlmentbyFN[K4])</f>
        <v>0</v>
      </c>
      <c r="F18" s="899">
        <f>SUBTOTAL(109,D1718EnrlmentbyFN[K5])</f>
        <v>0</v>
      </c>
      <c r="G18" s="899">
        <f>SUBTOTAL(109,D1718EnrlmentbyFN[Gr1])</f>
        <v>188</v>
      </c>
      <c r="H18" s="899">
        <f>SUBTOTAL(109,D1718EnrlmentbyFN[Gr2])</f>
        <v>137</v>
      </c>
      <c r="I18" s="899">
        <f>SUBTOTAL(109,D1718EnrlmentbyFN[Gr3])</f>
        <v>165</v>
      </c>
      <c r="J18" s="899">
        <f>SUBTOTAL(109,D1718EnrlmentbyFN[Gr4])</f>
        <v>165</v>
      </c>
      <c r="K18" s="899">
        <f>SUBTOTAL(109,D1718EnrlmentbyFN[Gr5])</f>
        <v>150</v>
      </c>
      <c r="L18" s="899">
        <f>SUBTOTAL(109,D1718EnrlmentbyFN[Gr6])</f>
        <v>155</v>
      </c>
      <c r="M18" s="899">
        <f>SUBTOTAL(109,D1718EnrlmentbyFN[Gr7])</f>
        <v>142</v>
      </c>
      <c r="N18" s="899">
        <f>SUBTOTAL(109,D1718EnrlmentbyFN[Gr8])</f>
        <v>181</v>
      </c>
      <c r="O18" s="899">
        <f>SUBTOTAL(109,D1718EnrlmentbyFN[Ungrd. Elem.])</f>
        <v>0</v>
      </c>
      <c r="P18" s="899">
        <f>SUBTOTAL(109,D1718EnrlmentbyFN[Gr9])</f>
        <v>154</v>
      </c>
      <c r="Q18" s="899">
        <f>SUBTOTAL(109,D1718EnrlmentbyFN[Gr10])</f>
        <v>92</v>
      </c>
      <c r="R18" s="899">
        <f>SUBTOTAL(109,D1718EnrlmentbyFN[Gr11])</f>
        <v>86</v>
      </c>
      <c r="S18" s="899">
        <f>SUBTOTAL(109,D1718EnrlmentbyFN[Gr12])</f>
        <v>57</v>
      </c>
      <c r="T18" s="899"/>
      <c r="U18" s="899">
        <f>SUBTOTAL(109,D1718EnrlmentbyFN[FTE &lt;22 Total])</f>
        <v>1968</v>
      </c>
      <c r="V18" s="899">
        <f>SUBTOTAL(109,D1718EnrlmentbyFN[Gr9 22+])</f>
        <v>0</v>
      </c>
      <c r="W18" s="899">
        <f>SUBTOTAL(109,D1718EnrlmentbyFN[Gr10 22+])</f>
        <v>0</v>
      </c>
      <c r="X18" s="899">
        <f>SUBTOTAL(109,D1718EnrlmentbyFN[Gr11 22+])</f>
        <v>0</v>
      </c>
      <c r="Y18" s="899">
        <f>SUBTOTAL(109,D1718EnrlmentbyFN[Gr12 22+])</f>
        <v>58</v>
      </c>
      <c r="Z18" s="899">
        <f>SUBTOTAL(109,D1718EnrlmentbyFN[Ungrd. Sec. 22+])</f>
        <v>0</v>
      </c>
      <c r="AA18" s="899">
        <f>SUBTOTAL(109,D1718EnrlmentbyFN[Total FTE (&lt;22, 22+)])</f>
        <v>2026</v>
      </c>
      <c r="AB18">
        <f>SUBTOTAL(109,D1718EnrlmentbyFN[K4 H])</f>
        <v>0</v>
      </c>
      <c r="AC18">
        <f>SUBTOTAL(109,D1718EnrlmentbyFN[K5 H])</f>
        <v>0</v>
      </c>
      <c r="AD18">
        <f>SUBTOTAL(109,D1718EnrlmentbyFN[Gr1 H])</f>
        <v>188</v>
      </c>
      <c r="AE18">
        <f>SUBTOTAL(109,D1718EnrlmentbyFN[Gr2 H])</f>
        <v>137</v>
      </c>
      <c r="AF18">
        <f>SUBTOTAL(109,D1718EnrlmentbyFN[Gr3 H])</f>
        <v>165</v>
      </c>
      <c r="AG18">
        <f>SUBTOTAL(109,D1718EnrlmentbyFN[Gr4 H])</f>
        <v>165</v>
      </c>
      <c r="AH18">
        <f>SUBTOTAL(109,D1718EnrlmentbyFN[Gr5 H])</f>
        <v>150</v>
      </c>
      <c r="AI18">
        <f>SUBTOTAL(109,D1718EnrlmentbyFN[Gr6 H])</f>
        <v>155</v>
      </c>
      <c r="AJ18">
        <f>SUBTOTAL(109,D1718EnrlmentbyFN[Gr7 H])</f>
        <v>142</v>
      </c>
      <c r="AK18">
        <f>SUBTOTAL(109,D1718EnrlmentbyFN[Gr8 H])</f>
        <v>181</v>
      </c>
      <c r="AL18">
        <f>SUBTOTAL(109,D1718EnrlmentbyFN[Ungrd. Elem. H])</f>
        <v>0</v>
      </c>
      <c r="AM18">
        <f>SUBTOTAL(109,D1718EnrlmentbyFN[Gr9 H])</f>
        <v>154</v>
      </c>
      <c r="AN18">
        <f>SUBTOTAL(109,D1718EnrlmentbyFN[Gr10 H])</f>
        <v>92</v>
      </c>
      <c r="AO18">
        <f>SUBTOTAL(109,D1718EnrlmentbyFN[Gr11 H])</f>
        <v>86</v>
      </c>
      <c r="AP18">
        <f>SUBTOTAL(109,D1718EnrlmentbyFN[Gr12 H])</f>
        <v>57</v>
      </c>
      <c r="AQ18">
        <f>SUBTOTAL(109,D1718EnrlmentbyFN[Ugrd. Sec. H])</f>
        <v>0</v>
      </c>
      <c r="AR18" s="88">
        <f>SUBTOTAL(109,D1718EnrlmentbyFN[Headcount &lt;22 Total])</f>
        <v>1968</v>
      </c>
      <c r="AS18">
        <f>SUBTOTAL(109,D1718EnrlmentbyFN[Gr9 H 22+])</f>
        <v>0</v>
      </c>
      <c r="AT18">
        <f>SUBTOTAL(109,D1718EnrlmentbyFN[Gr10 H 22+])</f>
        <v>0</v>
      </c>
      <c r="AU18">
        <f>SUBTOTAL(109,D1718EnrlmentbyFN[Gr11 H 22+])</f>
        <v>0</v>
      </c>
      <c r="AV18">
        <f>SUBTOTAL(109,D1718EnrlmentbyFN[Gr12 H 22+])</f>
        <v>58</v>
      </c>
      <c r="AW18">
        <f>SUBTOTAL(109,D1718EnrlmentbyFN[Ungrd. Sec. H 22+])</f>
        <v>0</v>
      </c>
      <c r="AX18" s="88">
        <f>SUBTOTAL(109,D1718EnrlmentbyFN[Total Headcount])</f>
        <v>2026</v>
      </c>
      <c r="AY18" s="88"/>
      <c r="AZ18" s="88"/>
      <c r="BA18" s="88">
        <f>SUBTOTAL(109,D1718EnrlmentbyFN[Band-Op Boarded Students])</f>
        <v>0</v>
      </c>
      <c r="BB18">
        <f>SUBTOTAL(109,D1718EnrlmentbyFN[Total &lt;22 FTE])</f>
        <v>310</v>
      </c>
      <c r="BC18">
        <f>SUBTOTAL(109,D1718EnrlmentbyFN[22+ FTE Enrolment (including Invalid Values)])</f>
        <v>16</v>
      </c>
      <c r="BD18">
        <f>SUBTOTAL(109,D1718EnrlmentbyFN[Total Pov&amp;Priv FTE])</f>
        <v>326</v>
      </c>
      <c r="BE18">
        <f>SUBTOTAL(109,D1718EnrlmentbyFN[Total &lt;22 Headcount])</f>
        <v>310</v>
      </c>
      <c r="BF18">
        <f>SUBTOTAL(109,D1718EnrlmentbyFN[22+ Headcount Enrolment (including Invalid Values)])</f>
        <v>16</v>
      </c>
      <c r="BG18">
        <f>SUBTOTAL(109,D1718EnrlmentbyFN[Total Prov&amp;Priv Headcount])</f>
        <v>326</v>
      </c>
      <c r="BH18">
        <f>SUBTOTAL(109,D1718EnrlmentbyFN[Mandatory PHP &lt;18 Headcount])</f>
        <v>38</v>
      </c>
      <c r="BI18">
        <f>SUBTOTAL(109,D1718EnrlmentbyFN[Mandatory PHP 18-21 Headcount])</f>
        <v>32</v>
      </c>
      <c r="BJ18">
        <f>SUBTOTAL(109,D1718EnrlmentbyFN[Student Residence &lt;18 Headcount])</f>
        <v>6</v>
      </c>
      <c r="BK18">
        <f>SUBTOTAL(109,D1718EnrlmentbyFN[Student Residence 18-21 Headcount])</f>
        <v>3</v>
      </c>
      <c r="BL18">
        <f>SUBTOTAL(109,D1718EnrlmentbyFN[Boarding school &lt;18 Headcount])</f>
        <v>0</v>
      </c>
      <c r="BM18">
        <f>SUBTOTAL(109,D1718EnrlmentbyFN[Boarding school 18-21 Heacount])</f>
        <v>0</v>
      </c>
      <c r="BN18">
        <f>SUBTOTAL(109,D1718EnrlmentbyFN[Room and board (5 days) &lt;18 Headcount])</f>
        <v>0</v>
      </c>
      <c r="BO18">
        <f>SUBTOTAL(109,D1718EnrlmentbyFN[Room and board (5 days) 18-21 Headcount])</f>
        <v>0</v>
      </c>
      <c r="BP18" s="506">
        <f>SUBTOTAL(109,D1718EnrlmentbyFN[Total Boarded Students])</f>
        <v>79</v>
      </c>
      <c r="BQ18">
        <f>SUBTOTAL(109,D1718EnrlmentbyFN[Prov K4 Headcount])</f>
        <v>0</v>
      </c>
      <c r="BS18">
        <f>SUBTOTAL(109,D1718EnrlmentbyFN[Prov K5 Headcount])</f>
        <v>5</v>
      </c>
      <c r="BU18">
        <f>SUBTOTAL(109,D1718EnrlmentbyFN[Prov Gr 1-12 &lt;22 Headcount])</f>
        <v>305</v>
      </c>
      <c r="BV18">
        <f>SUBTOTAL(109,D1718EnrlmentbyFN[Transported Prov Gr 1-12 &lt;22 Headcount])</f>
        <v>263</v>
      </c>
    </row>
    <row r="20" spans="1:74">
      <c r="BP20" s="506"/>
    </row>
  </sheetData>
  <pageMargins left="0.7" right="0.7" top="0.75" bottom="0.75" header="0.3" footer="0.3"/>
  <pageSetup orientation="portrait" r:id="rId1"/>
  <headerFooter>
    <oddFooter>&amp;L&amp;"Times New Roman"&amp;8NCR#9494837 - v5A</oddFooter>
  </headerFooter>
  <legacyDrawing r:id="rId2"/>
  <tableParts count="1">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autoPageBreaks="0"/>
  </sheetPr>
  <dimension ref="A1:DY50"/>
  <sheetViews>
    <sheetView topLeftCell="M1" workbookViewId="0">
      <selection activeCell="V11" sqref="V11"/>
    </sheetView>
  </sheetViews>
  <sheetFormatPr baseColWidth="10" defaultColWidth="18.796875" defaultRowHeight="14"/>
  <cols>
    <col min="1" max="1" width="28.796875" style="4" customWidth="1"/>
    <col min="2" max="6" width="18.796875" style="4"/>
    <col min="7" max="7" width="19.796875" style="4" bestFit="1" customWidth="1"/>
    <col min="8" max="17" width="18.796875" style="4"/>
    <col min="18" max="18" width="21.19921875" style="4" customWidth="1"/>
    <col min="19" max="19" width="21" style="4" customWidth="1"/>
    <col min="20" max="33" width="18.796875" style="4"/>
    <col min="34" max="36" width="18.796875" style="4" customWidth="1"/>
    <col min="37" max="54" width="18.796875" style="4"/>
    <col min="55" max="55" width="19" style="4" customWidth="1"/>
    <col min="56" max="77" width="18.796875" style="4"/>
    <col min="78" max="78" width="21.3984375" style="4" bestFit="1" customWidth="1"/>
    <col min="79" max="110" width="18.796875" style="4"/>
    <col min="111" max="111" width="16.796875" style="4" bestFit="1" customWidth="1"/>
    <col min="112" max="16384" width="18.796875" style="4"/>
  </cols>
  <sheetData>
    <row r="1" spans="1:129" ht="15" customHeight="1">
      <c r="A1" s="1531" t="s">
        <v>1779</v>
      </c>
      <c r="B1" s="1532" t="s">
        <v>1780</v>
      </c>
      <c r="C1" s="1335"/>
      <c r="D1" s="1335"/>
      <c r="E1" s="1335"/>
      <c r="F1" s="1335"/>
      <c r="G1" s="1335"/>
      <c r="H1" s="1335"/>
      <c r="I1" s="1335"/>
      <c r="J1" s="1335"/>
      <c r="K1" s="1335"/>
      <c r="L1" s="1335"/>
      <c r="M1" s="1335"/>
      <c r="N1" s="1335"/>
      <c r="O1" s="1335"/>
      <c r="P1" s="1335"/>
      <c r="Q1" s="1532" t="s">
        <v>1780</v>
      </c>
      <c r="R1" s="1335"/>
      <c r="S1" s="1335"/>
      <c r="T1" s="1335"/>
      <c r="U1" s="1335"/>
      <c r="V1" s="1335"/>
      <c r="W1" s="1335"/>
      <c r="X1" s="1335"/>
      <c r="Y1" s="1533"/>
      <c r="Z1" s="1335" t="s">
        <v>1780</v>
      </c>
      <c r="AA1" s="1335"/>
      <c r="AB1" s="1335"/>
      <c r="AC1" s="1335"/>
      <c r="AD1" s="1335"/>
      <c r="AE1" s="1335"/>
      <c r="AF1" s="1335"/>
      <c r="AG1" s="1335"/>
      <c r="AH1" s="1532" t="s">
        <v>1780</v>
      </c>
      <c r="AI1" s="1335"/>
      <c r="AJ1" s="1335"/>
      <c r="AK1" s="1335"/>
      <c r="AL1" s="1335"/>
      <c r="AM1" s="1335"/>
      <c r="AN1" s="1335"/>
      <c r="AO1" s="1335"/>
      <c r="AP1" s="1335"/>
      <c r="AQ1" s="1335"/>
      <c r="AR1" s="1335"/>
      <c r="AS1" s="1335" t="s">
        <v>1780</v>
      </c>
      <c r="AT1" s="1335"/>
      <c r="AU1" s="1335"/>
      <c r="AV1" s="1335"/>
      <c r="AW1" s="1335"/>
      <c r="AX1" s="1335"/>
      <c r="AY1" s="1335"/>
      <c r="AZ1" s="1335"/>
      <c r="BA1" s="1335"/>
      <c r="BB1" s="1335"/>
      <c r="BC1" s="1335"/>
      <c r="BD1" s="1335"/>
      <c r="BE1" s="1335"/>
      <c r="BF1" s="1335"/>
      <c r="BG1" s="1335"/>
      <c r="BH1" s="1335"/>
      <c r="BI1" s="1335"/>
      <c r="BJ1" s="1335"/>
      <c r="BK1" s="1335"/>
      <c r="BL1" s="1335"/>
      <c r="BM1" s="1335"/>
      <c r="BN1" s="1532" t="s">
        <v>1780</v>
      </c>
      <c r="BO1" s="1335"/>
      <c r="BP1" s="1335"/>
      <c r="BQ1" s="1335"/>
      <c r="BR1" s="1335"/>
      <c r="BS1" s="1335"/>
      <c r="BT1" s="1335"/>
      <c r="BU1" s="1335"/>
      <c r="BV1" s="1335"/>
      <c r="BW1" s="1532" t="s">
        <v>1780</v>
      </c>
      <c r="BX1" s="1335"/>
      <c r="BY1" s="1335"/>
      <c r="BZ1" s="1335"/>
      <c r="CA1" s="1335"/>
      <c r="CB1" s="1335"/>
      <c r="CC1" s="1335"/>
      <c r="CD1" s="1335"/>
      <c r="CE1" s="1335"/>
      <c r="CF1" s="1335"/>
      <c r="CG1" s="1335"/>
      <c r="CH1" s="1335"/>
      <c r="CI1" s="1335"/>
      <c r="CJ1" s="1335"/>
      <c r="CK1" s="1532" t="s">
        <v>1780</v>
      </c>
      <c r="CL1" s="1335"/>
      <c r="CM1" s="1335"/>
      <c r="CN1" s="1335"/>
      <c r="CO1" s="1335"/>
      <c r="CP1" s="1335"/>
      <c r="CQ1" s="1335"/>
      <c r="CR1" s="1335"/>
      <c r="CS1" s="1335"/>
      <c r="CT1" s="1335"/>
      <c r="CU1" s="1335"/>
      <c r="CV1" s="1335"/>
      <c r="CW1" s="1335"/>
      <c r="CX1" s="1335"/>
      <c r="CY1" s="1335"/>
      <c r="CZ1" s="1335"/>
      <c r="DA1" s="1532" t="s">
        <v>1780</v>
      </c>
      <c r="DB1" s="1335"/>
      <c r="DC1" s="1335"/>
      <c r="DD1" s="1335"/>
      <c r="DE1" s="1335"/>
      <c r="DF1" s="1335"/>
      <c r="DG1" s="1335"/>
      <c r="DH1" s="1335"/>
      <c r="DI1" s="1335"/>
      <c r="DJ1" s="1335"/>
      <c r="DK1" s="1335"/>
      <c r="DL1" s="1335"/>
      <c r="DM1" s="1335"/>
      <c r="DN1" s="1532" t="s">
        <v>1780</v>
      </c>
      <c r="DO1" s="1335"/>
      <c r="DP1" s="1335"/>
      <c r="DQ1" s="1335"/>
      <c r="DR1" s="1335"/>
      <c r="DS1" s="1335"/>
      <c r="DT1" s="1335"/>
      <c r="DU1" s="1335"/>
      <c r="DV1" s="1335"/>
      <c r="DW1" s="1335"/>
      <c r="DX1" s="1335"/>
      <c r="DY1" s="1533"/>
    </row>
    <row r="2" spans="1:129" ht="15" customHeight="1">
      <c r="A2" s="3"/>
      <c r="B2" s="5"/>
      <c r="C2" s="1534" t="s">
        <v>1781</v>
      </c>
      <c r="D2" s="1336"/>
      <c r="E2" s="1336"/>
      <c r="F2" s="1336"/>
      <c r="G2" s="1336"/>
      <c r="H2" s="1336"/>
      <c r="I2" s="1336"/>
      <c r="J2" s="1336"/>
      <c r="K2" s="1336"/>
      <c r="L2" s="1336"/>
      <c r="M2" s="1336"/>
      <c r="N2" s="1336"/>
      <c r="O2" s="1336"/>
      <c r="P2" s="1336"/>
      <c r="Q2" s="1534" t="s">
        <v>1781</v>
      </c>
      <c r="R2" s="1336"/>
      <c r="S2" s="1336"/>
      <c r="T2" s="1336"/>
      <c r="U2" s="1336"/>
      <c r="V2" s="1336"/>
      <c r="W2" s="1336"/>
      <c r="X2" s="1336"/>
      <c r="Y2" s="1535"/>
      <c r="Z2" s="1336" t="s">
        <v>1781</v>
      </c>
      <c r="AA2" s="1336"/>
      <c r="AB2" s="1336"/>
      <c r="AC2" s="1336"/>
      <c r="AD2" s="1336"/>
      <c r="AE2" s="1336"/>
      <c r="AF2" s="1336"/>
      <c r="AG2" s="1336"/>
      <c r="AH2" s="1534" t="s">
        <v>1781</v>
      </c>
      <c r="AI2" s="1336"/>
      <c r="AJ2" s="1336"/>
      <c r="AK2" s="1336"/>
      <c r="AL2" s="1336"/>
      <c r="AM2" s="1336"/>
      <c r="AN2" s="1336"/>
      <c r="AO2" s="1336"/>
      <c r="AP2" s="1336"/>
      <c r="AQ2" s="1336"/>
      <c r="AR2" s="1336"/>
      <c r="AS2" s="1336" t="s">
        <v>1781</v>
      </c>
      <c r="AT2" s="1336"/>
      <c r="AU2" s="1336"/>
      <c r="AV2" s="1336"/>
      <c r="AW2" s="1336"/>
      <c r="AX2" s="1336"/>
      <c r="AY2" s="1336"/>
      <c r="AZ2" s="1336"/>
      <c r="BA2" s="1336"/>
      <c r="BB2" s="1336"/>
      <c r="BC2" s="1336"/>
      <c r="BD2" s="1336"/>
      <c r="BE2" s="1336"/>
      <c r="BF2" s="1336"/>
      <c r="BG2" s="1336"/>
      <c r="BH2" s="1336"/>
      <c r="BI2" s="1336"/>
      <c r="BJ2" s="1336"/>
      <c r="BK2" s="1336"/>
      <c r="BL2" s="1336"/>
      <c r="BM2" s="1336"/>
      <c r="BN2" s="1534" t="s">
        <v>1781</v>
      </c>
      <c r="BO2" s="1336"/>
      <c r="BP2" s="1336"/>
      <c r="BQ2" s="1336"/>
      <c r="BR2" s="1336"/>
      <c r="BS2" s="1336"/>
      <c r="BT2" s="1336"/>
      <c r="BU2" s="1336"/>
      <c r="BV2" s="1336"/>
      <c r="BW2" s="1536" t="s">
        <v>1782</v>
      </c>
      <c r="CK2" s="1536" t="s">
        <v>1782</v>
      </c>
      <c r="CL2" s="90"/>
      <c r="DA2" s="1537" t="s">
        <v>1782</v>
      </c>
      <c r="DN2" s="1537" t="s">
        <v>1782</v>
      </c>
      <c r="DY2" s="91"/>
    </row>
    <row r="3" spans="1:129" ht="15" customHeight="1">
      <c r="A3" s="192" t="s">
        <v>1783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23"/>
      <c r="BW3" s="5"/>
      <c r="BX3" s="1534" t="s">
        <v>1784</v>
      </c>
      <c r="BY3" s="1336"/>
      <c r="BZ3" s="1336"/>
      <c r="CA3" s="1336"/>
      <c r="CB3" s="1336"/>
      <c r="CC3" s="1336"/>
      <c r="CD3" s="1336"/>
      <c r="CE3" s="1336"/>
      <c r="CF3" s="1336"/>
      <c r="CG3" s="1534" t="s">
        <v>1785</v>
      </c>
      <c r="CH3" s="1336"/>
      <c r="CI3" s="1336"/>
      <c r="CJ3" s="1336"/>
      <c r="CK3" s="1534" t="s">
        <v>1786</v>
      </c>
      <c r="CL3" s="1336"/>
      <c r="CM3" s="1336"/>
      <c r="CN3" s="1336"/>
      <c r="CO3" s="1336"/>
      <c r="CP3" s="1336"/>
      <c r="CQ3" s="1336"/>
      <c r="CR3" s="1336"/>
      <c r="CS3" s="1534" t="s">
        <v>1787</v>
      </c>
      <c r="CT3" s="1336"/>
      <c r="CU3" s="1336"/>
      <c r="CV3" s="1336"/>
      <c r="CW3" s="1336"/>
      <c r="CX3" s="1336"/>
      <c r="CY3" s="1336"/>
      <c r="CZ3" s="1336"/>
      <c r="DA3" s="1534" t="s">
        <v>1788</v>
      </c>
      <c r="DB3" s="1336"/>
      <c r="DC3" s="1336"/>
      <c r="DD3" s="1336"/>
      <c r="DE3" s="1336"/>
      <c r="DF3" s="1336"/>
      <c r="DG3" s="1336"/>
      <c r="DH3" s="1336"/>
      <c r="DI3" s="1336"/>
      <c r="DJ3" s="1336"/>
      <c r="DK3" s="1336"/>
      <c r="DL3" s="1336"/>
      <c r="DM3" s="1336"/>
      <c r="DN3" s="1534" t="s">
        <v>1789</v>
      </c>
      <c r="DO3" s="1336"/>
      <c r="DP3" s="1336"/>
      <c r="DQ3" s="1336"/>
      <c r="DR3" s="1336"/>
      <c r="DS3" s="1336"/>
      <c r="DT3" s="1336"/>
      <c r="DU3" s="1336"/>
      <c r="DV3" s="1336"/>
      <c r="DW3" s="1336"/>
      <c r="DX3" s="1336"/>
      <c r="DY3" s="1535"/>
    </row>
    <row r="4" spans="1:129" ht="15" customHeight="1">
      <c r="A4" s="192" t="s">
        <v>1790</v>
      </c>
      <c r="B4" s="5"/>
      <c r="C4" s="5"/>
      <c r="D4" s="5"/>
      <c r="E4" s="1534" t="s">
        <v>1791</v>
      </c>
      <c r="F4" s="1336"/>
      <c r="G4" s="1336"/>
      <c r="H4" s="1336"/>
      <c r="I4" s="1336"/>
      <c r="J4" s="1336"/>
      <c r="K4" s="1336"/>
      <c r="L4" s="1336"/>
      <c r="M4" s="1336"/>
      <c r="N4" s="1336"/>
      <c r="O4" s="1336"/>
      <c r="P4" s="1336"/>
      <c r="Q4" s="1534" t="s">
        <v>1792</v>
      </c>
      <c r="R4" s="1336"/>
      <c r="S4" s="1336"/>
      <c r="T4" s="1336"/>
      <c r="U4" s="1336"/>
      <c r="V4" s="1336"/>
      <c r="W4" s="1336"/>
      <c r="X4" s="1336"/>
      <c r="Y4" s="1535"/>
      <c r="Z4" s="1336" t="s">
        <v>1792</v>
      </c>
      <c r="AA4" s="1336"/>
      <c r="AB4" s="1336"/>
      <c r="AC4" s="1336"/>
      <c r="AD4" s="1336"/>
      <c r="AE4" s="1336"/>
      <c r="AF4" s="1336"/>
      <c r="AG4" s="1336"/>
      <c r="AH4" s="1738" t="s">
        <v>1793</v>
      </c>
      <c r="AI4" s="1739"/>
      <c r="AJ4" s="1337"/>
      <c r="AK4" s="1336" t="s">
        <v>1794</v>
      </c>
      <c r="AL4" s="1336"/>
      <c r="AM4" s="1336"/>
      <c r="AN4" s="1336"/>
      <c r="AO4" s="1336"/>
      <c r="AP4" s="1336"/>
      <c r="AQ4" s="1336"/>
      <c r="AR4" s="1336"/>
      <c r="AS4" s="1338" t="s">
        <v>1795</v>
      </c>
      <c r="AT4" s="1336"/>
      <c r="AU4" s="1336"/>
      <c r="AV4" s="1336"/>
      <c r="AW4" s="1336"/>
      <c r="AX4" s="1336"/>
      <c r="AY4" s="1336"/>
      <c r="AZ4" s="1336"/>
      <c r="BA4" s="1336"/>
      <c r="BB4" s="1339"/>
      <c r="BC4" s="1336"/>
      <c r="BD4" s="1336"/>
      <c r="BE4" s="1336"/>
      <c r="BF4" s="1336"/>
      <c r="BG4" s="1336"/>
      <c r="BH4" s="1336"/>
      <c r="BI4" s="1336"/>
      <c r="BJ4" s="1336"/>
      <c r="BK4" s="1336"/>
      <c r="BL4" s="1336"/>
      <c r="BM4" s="1336"/>
      <c r="BN4" s="1534" t="s">
        <v>1796</v>
      </c>
      <c r="BO4" s="1336"/>
      <c r="BP4" s="1336"/>
      <c r="BQ4" s="1336"/>
      <c r="BR4" s="1336"/>
      <c r="BS4" s="1336"/>
      <c r="BT4" s="1336"/>
      <c r="BU4" s="1336"/>
      <c r="BV4" s="153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row>
    <row r="5" spans="1:129" ht="15" customHeight="1">
      <c r="A5" s="3"/>
      <c r="B5" s="5"/>
      <c r="C5" s="5"/>
      <c r="D5" s="5"/>
      <c r="E5" s="5"/>
      <c r="F5" s="6"/>
      <c r="G5" s="6"/>
      <c r="H5" s="6"/>
      <c r="I5" s="6"/>
      <c r="J5" s="6"/>
      <c r="K5" s="6"/>
      <c r="L5" s="6"/>
      <c r="M5" s="5"/>
      <c r="N5" s="5"/>
      <c r="O5" s="5"/>
      <c r="P5" s="5"/>
      <c r="Q5" s="5"/>
      <c r="R5" s="5"/>
      <c r="S5" s="5"/>
      <c r="T5" s="5"/>
      <c r="U5" s="5"/>
      <c r="V5" s="5"/>
      <c r="W5" s="5"/>
      <c r="X5" s="5"/>
      <c r="Y5" s="5"/>
      <c r="Z5" s="5"/>
      <c r="AA5" s="5"/>
      <c r="AB5" s="5"/>
      <c r="AC5" s="5"/>
      <c r="AD5" s="5"/>
      <c r="AE5" s="5"/>
      <c r="AF5" s="5"/>
      <c r="AG5" s="5"/>
      <c r="AH5" s="5"/>
      <c r="AI5" s="5"/>
      <c r="AJ5" s="5"/>
      <c r="AK5" s="1534"/>
      <c r="AL5" s="1336" t="s">
        <v>1797</v>
      </c>
      <c r="AM5" s="1336"/>
      <c r="AN5" s="1336"/>
      <c r="AO5" s="1336"/>
      <c r="AP5" s="1534" t="s">
        <v>1798</v>
      </c>
      <c r="AQ5" s="1336"/>
      <c r="AR5" s="1340"/>
      <c r="AT5" s="5"/>
      <c r="AU5" s="5"/>
      <c r="AV5" s="5"/>
      <c r="AW5" s="5"/>
      <c r="AX5" s="5"/>
      <c r="AY5" s="5"/>
      <c r="AZ5" s="5"/>
      <c r="BA5" s="5"/>
      <c r="BB5" s="5"/>
      <c r="BC5" s="6"/>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DN5" s="5"/>
      <c r="DO5" s="5"/>
      <c r="DP5" s="5"/>
      <c r="DQ5" s="5"/>
      <c r="DR5" s="5"/>
      <c r="DS5" s="5"/>
      <c r="DT5" s="5"/>
      <c r="DX5" s="5"/>
    </row>
    <row r="6" spans="1:129" ht="15" customHeight="1">
      <c r="A6" s="3"/>
      <c r="B6" s="5"/>
      <c r="C6" s="5"/>
      <c r="D6" s="5"/>
      <c r="E6" s="5"/>
      <c r="F6" s="6" t="s">
        <v>1799</v>
      </c>
      <c r="G6" s="6" t="s">
        <v>1800</v>
      </c>
      <c r="H6" s="6"/>
      <c r="I6" s="6"/>
      <c r="J6" s="6"/>
      <c r="K6" s="6"/>
      <c r="L6" s="6"/>
      <c r="M6" s="5"/>
      <c r="N6" s="5"/>
      <c r="O6" s="5"/>
      <c r="P6" s="5"/>
      <c r="Q6" s="5"/>
      <c r="R6" s="5"/>
      <c r="S6" s="5"/>
      <c r="T6" s="5"/>
      <c r="U6" s="5"/>
      <c r="V6" s="5"/>
      <c r="W6" s="5"/>
      <c r="X6" s="5"/>
      <c r="Y6" s="6" t="s">
        <v>1801</v>
      </c>
      <c r="Z6" s="5"/>
      <c r="AA6" s="5"/>
      <c r="AB6" s="5"/>
      <c r="AC6" s="5"/>
      <c r="AD6" s="5"/>
      <c r="AE6" s="6" t="s">
        <v>1802</v>
      </c>
      <c r="AF6" s="5"/>
      <c r="AG6" s="5"/>
      <c r="AH6" s="5"/>
      <c r="AI6" s="5"/>
      <c r="AJ6" s="5"/>
      <c r="AK6" s="5"/>
      <c r="AL6" s="5"/>
      <c r="AM6" s="6" t="s">
        <v>1803</v>
      </c>
      <c r="AN6" s="6" t="s">
        <v>1804</v>
      </c>
      <c r="AO6" s="6" t="s">
        <v>1805</v>
      </c>
      <c r="AP6" s="5"/>
      <c r="AQ6" s="5"/>
      <c r="AR6" s="5"/>
      <c r="AT6" s="5"/>
      <c r="AU6" s="5"/>
      <c r="AV6" s="5"/>
      <c r="AW6" s="5"/>
      <c r="AX6" s="5"/>
      <c r="AY6" s="5"/>
      <c r="AZ6" s="5"/>
      <c r="BA6" s="5"/>
      <c r="BB6" s="8"/>
      <c r="BC6" s="6" t="s">
        <v>1806</v>
      </c>
      <c r="BD6" s="5"/>
      <c r="BE6" s="5"/>
      <c r="BF6" s="6"/>
      <c r="BG6" s="5"/>
      <c r="BH6" s="5"/>
      <c r="BI6" s="5"/>
      <c r="BJ6" s="5"/>
      <c r="BK6" s="5"/>
      <c r="BL6" s="5"/>
      <c r="BM6" s="5"/>
      <c r="BN6" s="6" t="s">
        <v>1807</v>
      </c>
      <c r="BO6" s="5"/>
      <c r="BP6" s="5"/>
      <c r="BQ6" s="5"/>
      <c r="BR6" s="5"/>
      <c r="BS6" s="5"/>
      <c r="BT6" s="5"/>
      <c r="BU6" s="5"/>
      <c r="BV6" s="5"/>
      <c r="BW6" s="5"/>
      <c r="BX6" s="5"/>
      <c r="BY6" s="5"/>
      <c r="BZ6" s="5"/>
      <c r="CA6" s="5"/>
      <c r="CB6" s="6" t="s">
        <v>1808</v>
      </c>
      <c r="CC6" s="5"/>
      <c r="CD6" s="5"/>
      <c r="CE6" s="5"/>
      <c r="CF6" s="5"/>
      <c r="CG6" s="5"/>
      <c r="CH6" s="5"/>
      <c r="CI6" s="5"/>
      <c r="CJ6" s="5"/>
      <c r="CK6" s="5"/>
      <c r="CL6" s="5"/>
      <c r="CM6" s="5"/>
      <c r="CN6" s="5"/>
      <c r="CO6" s="5"/>
      <c r="CP6" s="5"/>
      <c r="CQ6" s="5"/>
      <c r="CR6" s="5"/>
      <c r="CS6" s="5"/>
      <c r="CT6" s="5"/>
      <c r="CU6" s="5"/>
      <c r="CV6" s="5"/>
      <c r="CW6" s="5"/>
      <c r="CX6" s="5"/>
      <c r="CY6" s="5"/>
      <c r="CZ6" s="5"/>
      <c r="DA6" s="6" t="s">
        <v>322</v>
      </c>
      <c r="DB6" s="5"/>
      <c r="DC6" s="5"/>
      <c r="DD6" s="5"/>
      <c r="DE6" s="5"/>
      <c r="DF6" s="5"/>
      <c r="DG6" s="9" t="s">
        <v>1809</v>
      </c>
      <c r="DH6" s="5"/>
      <c r="DI6" s="5"/>
      <c r="DJ6" s="5"/>
      <c r="DK6" s="5"/>
      <c r="DL6" s="5"/>
      <c r="DM6" s="5"/>
      <c r="DN6" s="5"/>
      <c r="DO6" s="5"/>
      <c r="DP6" s="5"/>
      <c r="DQ6" s="5"/>
      <c r="DR6" s="5"/>
      <c r="DS6" s="5"/>
      <c r="DT6" s="5"/>
      <c r="DX6" s="5"/>
    </row>
    <row r="7" spans="1:129" ht="15" customHeight="1">
      <c r="A7" s="5"/>
      <c r="B7" s="6" t="s">
        <v>322</v>
      </c>
      <c r="C7" s="6" t="s">
        <v>322</v>
      </c>
      <c r="D7" s="6" t="s">
        <v>1810</v>
      </c>
      <c r="E7" s="6" t="s">
        <v>322</v>
      </c>
      <c r="F7" s="6" t="s">
        <v>1811</v>
      </c>
      <c r="G7" s="6" t="s">
        <v>1812</v>
      </c>
      <c r="H7" s="6"/>
      <c r="I7" s="6"/>
      <c r="J7" s="6"/>
      <c r="K7" s="6"/>
      <c r="L7" s="6"/>
      <c r="M7" s="5"/>
      <c r="N7" s="5"/>
      <c r="O7" s="5"/>
      <c r="P7" s="5"/>
      <c r="Q7" s="6" t="s">
        <v>322</v>
      </c>
      <c r="R7" s="5"/>
      <c r="S7" s="5"/>
      <c r="T7" s="6" t="s">
        <v>1813</v>
      </c>
      <c r="U7" s="6"/>
      <c r="V7" s="5"/>
      <c r="W7" s="6" t="s">
        <v>1814</v>
      </c>
      <c r="X7" s="6" t="s">
        <v>1808</v>
      </c>
      <c r="Y7" s="6" t="s">
        <v>1815</v>
      </c>
      <c r="Z7" s="5" t="s">
        <v>1816</v>
      </c>
      <c r="AA7" s="6" t="s">
        <v>1817</v>
      </c>
      <c r="AB7" s="5"/>
      <c r="AE7" s="6" t="s">
        <v>1818</v>
      </c>
      <c r="AF7" s="6" t="s">
        <v>1819</v>
      </c>
      <c r="AG7" s="6" t="s">
        <v>1820</v>
      </c>
      <c r="AJ7" s="6"/>
      <c r="AK7" s="6" t="s">
        <v>1807</v>
      </c>
      <c r="AL7" s="6" t="s">
        <v>1821</v>
      </c>
      <c r="AM7" s="6" t="s">
        <v>1822</v>
      </c>
      <c r="AN7" s="6" t="s">
        <v>1823</v>
      </c>
      <c r="AO7" s="6" t="s">
        <v>1824</v>
      </c>
      <c r="AP7" s="5"/>
      <c r="AQ7" s="5"/>
      <c r="AR7" s="6" t="s">
        <v>1803</v>
      </c>
      <c r="AS7" s="6" t="s">
        <v>1807</v>
      </c>
      <c r="AT7" s="5"/>
      <c r="AU7" s="5"/>
      <c r="AV7" s="5"/>
      <c r="AW7" s="5"/>
      <c r="AX7" s="5"/>
      <c r="AY7" s="5"/>
      <c r="AZ7" s="6" t="s">
        <v>1825</v>
      </c>
      <c r="BA7" s="6" t="s">
        <v>1822</v>
      </c>
      <c r="BB7" s="6" t="s">
        <v>1826</v>
      </c>
      <c r="BC7" s="9" t="s">
        <v>1827</v>
      </c>
      <c r="BD7" s="6"/>
      <c r="BE7" s="6"/>
      <c r="BF7" s="6" t="s">
        <v>1828</v>
      </c>
      <c r="BG7" s="5"/>
      <c r="BH7" s="5"/>
      <c r="BI7" s="5"/>
      <c r="BJ7" s="5"/>
      <c r="BK7" s="5"/>
      <c r="BL7" s="5"/>
      <c r="BM7" s="5"/>
      <c r="BN7" s="6" t="s">
        <v>1829</v>
      </c>
      <c r="BO7" s="5"/>
      <c r="BP7" s="6" t="s">
        <v>1830</v>
      </c>
      <c r="BQ7" s="5"/>
      <c r="BR7" s="5"/>
      <c r="BS7" s="5"/>
      <c r="BT7" s="5"/>
      <c r="BU7" s="5"/>
      <c r="BV7" s="5"/>
      <c r="BW7" s="6" t="s">
        <v>322</v>
      </c>
      <c r="BX7" s="6" t="s">
        <v>322</v>
      </c>
      <c r="BY7" s="5"/>
      <c r="BZ7" s="5"/>
      <c r="CA7" s="6" t="s">
        <v>1817</v>
      </c>
      <c r="CB7" s="6" t="s">
        <v>1800</v>
      </c>
      <c r="CC7" s="5"/>
      <c r="CD7" s="5"/>
      <c r="CE7" s="5"/>
      <c r="CF7" s="5"/>
      <c r="CG7" s="6" t="s">
        <v>322</v>
      </c>
      <c r="CH7" s="5"/>
      <c r="CI7" s="5"/>
      <c r="CJ7" s="5"/>
      <c r="CK7" s="6" t="s">
        <v>322</v>
      </c>
      <c r="CL7" s="6"/>
      <c r="CM7" s="5"/>
      <c r="CN7" s="5"/>
      <c r="CO7" s="5"/>
      <c r="CP7" s="5"/>
      <c r="CQ7" s="5"/>
      <c r="CR7" s="5"/>
      <c r="CS7" s="5"/>
      <c r="CT7" s="5"/>
      <c r="CU7" s="5"/>
      <c r="CV7" s="5"/>
      <c r="CW7" s="5"/>
      <c r="CX7" s="5"/>
      <c r="CY7" s="5"/>
      <c r="CZ7" s="5"/>
      <c r="DA7" s="6" t="s">
        <v>1831</v>
      </c>
      <c r="DB7" s="5"/>
      <c r="DC7" s="5"/>
      <c r="DD7" s="5"/>
      <c r="DE7" s="5"/>
      <c r="DF7" s="5"/>
      <c r="DG7" s="9" t="s">
        <v>1832</v>
      </c>
      <c r="DH7" s="5"/>
      <c r="DI7" s="5"/>
      <c r="DJ7" s="5"/>
      <c r="DK7" s="5"/>
      <c r="DL7" s="5"/>
      <c r="DM7" s="5"/>
      <c r="DN7" s="6" t="s">
        <v>322</v>
      </c>
      <c r="DO7" s="5"/>
      <c r="DP7" s="5"/>
      <c r="DQ7" s="5"/>
      <c r="DR7" s="5"/>
      <c r="DS7" s="5"/>
      <c r="DT7" s="5"/>
      <c r="DX7" s="5"/>
    </row>
    <row r="8" spans="1:129" ht="15" customHeight="1">
      <c r="A8" s="5"/>
      <c r="B8" s="6" t="s">
        <v>1833</v>
      </c>
      <c r="C8" s="6" t="s">
        <v>1829</v>
      </c>
      <c r="D8" s="6" t="s">
        <v>1834</v>
      </c>
      <c r="E8" s="6" t="s">
        <v>1835</v>
      </c>
      <c r="F8" s="6" t="s">
        <v>1836</v>
      </c>
      <c r="G8" s="6" t="s">
        <v>1837</v>
      </c>
      <c r="H8" s="6"/>
      <c r="I8" s="6" t="s">
        <v>1838</v>
      </c>
      <c r="J8" s="9" t="s">
        <v>1839</v>
      </c>
      <c r="K8" s="6" t="s">
        <v>1840</v>
      </c>
      <c r="L8" s="6" t="s">
        <v>1841</v>
      </c>
      <c r="M8" s="6" t="s">
        <v>1842</v>
      </c>
      <c r="N8" s="6" t="s">
        <v>1843</v>
      </c>
      <c r="O8" s="6" t="s">
        <v>1844</v>
      </c>
      <c r="P8" s="6"/>
      <c r="Q8" s="6" t="s">
        <v>1845</v>
      </c>
      <c r="R8" s="5"/>
      <c r="S8" s="5"/>
      <c r="T8" s="6" t="s">
        <v>1846</v>
      </c>
      <c r="U8" s="1537" t="s">
        <v>1813</v>
      </c>
      <c r="V8" s="1538"/>
      <c r="W8" s="6" t="s">
        <v>1803</v>
      </c>
      <c r="X8" s="6" t="s">
        <v>1800</v>
      </c>
      <c r="Y8" s="6" t="s">
        <v>1847</v>
      </c>
      <c r="Z8" s="6" t="s">
        <v>1848</v>
      </c>
      <c r="AA8" s="6" t="s">
        <v>1849</v>
      </c>
      <c r="AB8" s="6" t="s">
        <v>1850</v>
      </c>
      <c r="AC8" s="6" t="s">
        <v>1851</v>
      </c>
      <c r="AD8" s="6" t="s">
        <v>1852</v>
      </c>
      <c r="AE8" s="6" t="s">
        <v>1853</v>
      </c>
      <c r="AF8" s="6" t="s">
        <v>1854</v>
      </c>
      <c r="AG8" s="6" t="s">
        <v>1855</v>
      </c>
      <c r="AH8" s="6"/>
      <c r="AI8" s="6" t="s">
        <v>1800</v>
      </c>
      <c r="AJ8" s="6" t="s">
        <v>1856</v>
      </c>
      <c r="AK8" s="6" t="s">
        <v>1857</v>
      </c>
      <c r="AL8" s="6" t="s">
        <v>1858</v>
      </c>
      <c r="AM8" s="6" t="s">
        <v>1859</v>
      </c>
      <c r="AN8" s="6" t="s">
        <v>1859</v>
      </c>
      <c r="AO8" s="6" t="s">
        <v>1860</v>
      </c>
      <c r="AP8" s="6" t="s">
        <v>1838</v>
      </c>
      <c r="AQ8" s="6" t="s">
        <v>1821</v>
      </c>
      <c r="AR8" s="6" t="s">
        <v>1822</v>
      </c>
      <c r="AS8" s="6" t="s">
        <v>1861</v>
      </c>
      <c r="AT8" s="5"/>
      <c r="AU8" s="6" t="s">
        <v>1862</v>
      </c>
      <c r="AV8" s="6" t="s">
        <v>1863</v>
      </c>
      <c r="AW8" s="6" t="s">
        <v>1864</v>
      </c>
      <c r="AX8" s="6" t="s">
        <v>1865</v>
      </c>
      <c r="AY8" s="6" t="s">
        <v>1866</v>
      </c>
      <c r="AZ8" s="6" t="s">
        <v>1811</v>
      </c>
      <c r="BA8" s="6" t="s">
        <v>1867</v>
      </c>
      <c r="BB8" s="6" t="s">
        <v>1868</v>
      </c>
      <c r="BC8" s="6" t="s">
        <v>1869</v>
      </c>
      <c r="BD8" s="6" t="s">
        <v>1870</v>
      </c>
      <c r="BE8" s="6" t="s">
        <v>1871</v>
      </c>
      <c r="BF8" s="6" t="s">
        <v>1872</v>
      </c>
      <c r="BG8" s="5"/>
      <c r="BH8" s="5"/>
      <c r="BI8" s="5"/>
      <c r="BJ8" s="5"/>
      <c r="BK8" s="5"/>
      <c r="BL8" s="5"/>
      <c r="BM8" s="5"/>
      <c r="BN8" s="6" t="s">
        <v>1809</v>
      </c>
      <c r="BO8" s="6" t="s">
        <v>1873</v>
      </c>
      <c r="BP8" s="6" t="s">
        <v>1828</v>
      </c>
      <c r="BQ8" s="5"/>
      <c r="BR8" s="5"/>
      <c r="BS8" s="5"/>
      <c r="BT8" s="5"/>
      <c r="BU8" s="5"/>
      <c r="BV8" s="5"/>
      <c r="BW8" s="6" t="s">
        <v>1874</v>
      </c>
      <c r="BX8" s="6" t="s">
        <v>1875</v>
      </c>
      <c r="BY8" s="6" t="s">
        <v>1876</v>
      </c>
      <c r="BZ8" s="6" t="s">
        <v>1877</v>
      </c>
      <c r="CA8" s="6" t="s">
        <v>1849</v>
      </c>
      <c r="CB8" s="6" t="s">
        <v>1849</v>
      </c>
      <c r="CC8" s="5"/>
      <c r="CD8" s="5"/>
      <c r="CE8" s="5"/>
      <c r="CF8" s="5"/>
      <c r="CG8" s="6" t="s">
        <v>1878</v>
      </c>
      <c r="CH8" s="9" t="s">
        <v>1863</v>
      </c>
      <c r="CI8" s="6" t="s">
        <v>1879</v>
      </c>
      <c r="CJ8" s="5"/>
      <c r="CK8" s="6" t="s">
        <v>1880</v>
      </c>
      <c r="CL8" s="6"/>
      <c r="CM8" s="5"/>
      <c r="CN8" s="5"/>
      <c r="CO8" s="6" t="s">
        <v>1877</v>
      </c>
      <c r="CP8" s="6"/>
      <c r="CQ8" s="6"/>
      <c r="CR8" s="5"/>
      <c r="CS8" s="6" t="s">
        <v>322</v>
      </c>
      <c r="CT8" s="6" t="s">
        <v>1876</v>
      </c>
      <c r="CU8" s="6" t="s">
        <v>1877</v>
      </c>
      <c r="CV8" s="5"/>
      <c r="CW8" s="5"/>
      <c r="CX8" s="5"/>
      <c r="CY8" s="5"/>
      <c r="CZ8" s="5"/>
      <c r="DA8" s="6" t="s">
        <v>1881</v>
      </c>
      <c r="DB8" s="6" t="s">
        <v>1882</v>
      </c>
      <c r="DC8" s="6" t="s">
        <v>1848</v>
      </c>
      <c r="DD8" s="6" t="s">
        <v>1883</v>
      </c>
      <c r="DE8" s="6" t="s">
        <v>1805</v>
      </c>
      <c r="DF8" s="6" t="s">
        <v>1884</v>
      </c>
      <c r="DG8" s="9" t="s">
        <v>1885</v>
      </c>
      <c r="DH8" s="5"/>
      <c r="DI8" s="5"/>
      <c r="DJ8" s="5"/>
      <c r="DK8" s="5"/>
      <c r="DL8" s="5"/>
      <c r="DM8" s="5"/>
      <c r="DN8" s="6" t="s">
        <v>1805</v>
      </c>
      <c r="DO8" s="5"/>
      <c r="DP8" s="5"/>
      <c r="DQ8" s="5"/>
      <c r="DR8" s="5"/>
      <c r="DS8" s="5"/>
      <c r="DT8" s="5"/>
      <c r="DX8" s="5"/>
    </row>
    <row r="9" spans="1:129" ht="15" customHeight="1">
      <c r="A9" s="5" t="s">
        <v>1886</v>
      </c>
      <c r="B9" s="6" t="s">
        <v>1887</v>
      </c>
      <c r="C9" s="6" t="s">
        <v>1809</v>
      </c>
      <c r="D9" s="6" t="s">
        <v>1857</v>
      </c>
      <c r="E9" s="6" t="s">
        <v>1811</v>
      </c>
      <c r="F9" s="6" t="s">
        <v>1888</v>
      </c>
      <c r="G9" s="6" t="s">
        <v>1889</v>
      </c>
      <c r="H9" s="6" t="s">
        <v>1890</v>
      </c>
      <c r="I9" s="6" t="s">
        <v>1891</v>
      </c>
      <c r="J9" s="6" t="s">
        <v>1803</v>
      </c>
      <c r="K9" s="6" t="s">
        <v>1892</v>
      </c>
      <c r="L9" s="6" t="s">
        <v>1892</v>
      </c>
      <c r="M9" s="6" t="s">
        <v>1893</v>
      </c>
      <c r="N9" s="6" t="s">
        <v>1853</v>
      </c>
      <c r="O9" s="6" t="s">
        <v>1822</v>
      </c>
      <c r="P9" s="6" t="s">
        <v>1894</v>
      </c>
      <c r="Q9" s="6" t="s">
        <v>1811</v>
      </c>
      <c r="R9" s="6" t="s">
        <v>1877</v>
      </c>
      <c r="S9" s="6" t="s">
        <v>1895</v>
      </c>
      <c r="T9" s="6" t="s">
        <v>1896</v>
      </c>
      <c r="U9" s="9" t="s">
        <v>1897</v>
      </c>
      <c r="V9" s="9" t="s">
        <v>1898</v>
      </c>
      <c r="W9" s="6" t="s">
        <v>1822</v>
      </c>
      <c r="X9" s="6" t="s">
        <v>1849</v>
      </c>
      <c r="Y9" s="6" t="s">
        <v>1899</v>
      </c>
      <c r="Z9" s="9" t="s">
        <v>1900</v>
      </c>
      <c r="AA9" s="6" t="s">
        <v>1822</v>
      </c>
      <c r="AB9" s="6" t="s">
        <v>1834</v>
      </c>
      <c r="AC9" s="6" t="s">
        <v>1901</v>
      </c>
      <c r="AD9" s="6" t="s">
        <v>1902</v>
      </c>
      <c r="AE9" s="6" t="s">
        <v>1869</v>
      </c>
      <c r="AF9" s="6" t="s">
        <v>1903</v>
      </c>
      <c r="AG9" s="6" t="s">
        <v>1853</v>
      </c>
      <c r="AH9" s="6" t="s">
        <v>1793</v>
      </c>
      <c r="AI9" s="6" t="s">
        <v>1793</v>
      </c>
      <c r="AJ9" s="6" t="s">
        <v>1904</v>
      </c>
      <c r="AK9" s="6" t="s">
        <v>1811</v>
      </c>
      <c r="AL9" s="6" t="s">
        <v>1905</v>
      </c>
      <c r="AM9" s="6" t="s">
        <v>1906</v>
      </c>
      <c r="AN9" s="6" t="s">
        <v>1907</v>
      </c>
      <c r="AO9" s="6" t="s">
        <v>1811</v>
      </c>
      <c r="AP9" s="6" t="s">
        <v>1891</v>
      </c>
      <c r="AQ9" s="6" t="s">
        <v>1858</v>
      </c>
      <c r="AR9" s="6" t="s">
        <v>1859</v>
      </c>
      <c r="AS9" s="6" t="s">
        <v>1822</v>
      </c>
      <c r="AT9" s="6" t="s">
        <v>1908</v>
      </c>
      <c r="AU9" s="6" t="s">
        <v>1892</v>
      </c>
      <c r="AV9" s="6" t="s">
        <v>1909</v>
      </c>
      <c r="AW9" s="6" t="s">
        <v>1910</v>
      </c>
      <c r="AX9" s="6" t="s">
        <v>1911</v>
      </c>
      <c r="AY9" s="6" t="s">
        <v>1912</v>
      </c>
      <c r="AZ9" s="6" t="s">
        <v>1913</v>
      </c>
      <c r="BA9" s="6" t="s">
        <v>1914</v>
      </c>
      <c r="BB9" s="6" t="s">
        <v>1913</v>
      </c>
      <c r="BC9" s="6" t="s">
        <v>1915</v>
      </c>
      <c r="BD9" s="6" t="s">
        <v>1834</v>
      </c>
      <c r="BE9" s="6" t="s">
        <v>1834</v>
      </c>
      <c r="BF9" s="6" t="s">
        <v>1916</v>
      </c>
      <c r="BG9" s="6" t="s">
        <v>1805</v>
      </c>
      <c r="BH9" s="6" t="s">
        <v>1805</v>
      </c>
      <c r="BI9" s="6" t="s">
        <v>1805</v>
      </c>
      <c r="BJ9" s="6" t="s">
        <v>1805</v>
      </c>
      <c r="BK9" s="6" t="s">
        <v>1805</v>
      </c>
      <c r="BL9" s="6" t="s">
        <v>1805</v>
      </c>
      <c r="BM9" s="6" t="s">
        <v>1805</v>
      </c>
      <c r="BN9" s="6" t="s">
        <v>1917</v>
      </c>
      <c r="BO9" s="6" t="s">
        <v>1910</v>
      </c>
      <c r="BP9" s="6" t="s">
        <v>1918</v>
      </c>
      <c r="BQ9" s="6" t="s">
        <v>1805</v>
      </c>
      <c r="BR9" s="6" t="s">
        <v>1805</v>
      </c>
      <c r="BS9" s="6" t="s">
        <v>1805</v>
      </c>
      <c r="BT9" s="6" t="s">
        <v>1805</v>
      </c>
      <c r="BU9" s="6" t="s">
        <v>1805</v>
      </c>
      <c r="BV9" s="6" t="s">
        <v>1805</v>
      </c>
      <c r="BW9" s="6" t="s">
        <v>1887</v>
      </c>
      <c r="BX9" s="6" t="s">
        <v>1809</v>
      </c>
      <c r="BY9" s="6" t="s">
        <v>1912</v>
      </c>
      <c r="BZ9" s="6" t="s">
        <v>1919</v>
      </c>
      <c r="CA9" s="6" t="s">
        <v>1920</v>
      </c>
      <c r="CB9" s="6" t="s">
        <v>1921</v>
      </c>
      <c r="CC9" s="6" t="s">
        <v>1805</v>
      </c>
      <c r="CD9" s="6" t="s">
        <v>1805</v>
      </c>
      <c r="CE9" s="6" t="s">
        <v>1805</v>
      </c>
      <c r="CF9" s="6" t="s">
        <v>1805</v>
      </c>
      <c r="CG9" s="6" t="s">
        <v>1809</v>
      </c>
      <c r="CH9" s="6" t="s">
        <v>1922</v>
      </c>
      <c r="CI9" s="6" t="s">
        <v>1922</v>
      </c>
      <c r="CJ9" s="6" t="s">
        <v>1805</v>
      </c>
      <c r="CK9" s="6" t="s">
        <v>1923</v>
      </c>
      <c r="CL9" s="6" t="s">
        <v>1924</v>
      </c>
      <c r="CM9" s="6" t="s">
        <v>1925</v>
      </c>
      <c r="CN9" s="6" t="s">
        <v>1926</v>
      </c>
      <c r="CO9" s="6" t="s">
        <v>1919</v>
      </c>
      <c r="CP9" s="6" t="s">
        <v>1805</v>
      </c>
      <c r="CQ9" s="6" t="s">
        <v>1805</v>
      </c>
      <c r="CR9" s="6" t="s">
        <v>1805</v>
      </c>
      <c r="CS9" s="6" t="s">
        <v>1927</v>
      </c>
      <c r="CT9" s="6" t="s">
        <v>1912</v>
      </c>
      <c r="CU9" s="6" t="s">
        <v>1919</v>
      </c>
      <c r="CV9" s="6" t="s">
        <v>1805</v>
      </c>
      <c r="CW9" s="6" t="s">
        <v>1805</v>
      </c>
      <c r="CX9" s="6" t="s">
        <v>1805</v>
      </c>
      <c r="CY9" s="6" t="s">
        <v>1805</v>
      </c>
      <c r="CZ9" s="6" t="s">
        <v>1805</v>
      </c>
      <c r="DA9" s="6" t="s">
        <v>1928</v>
      </c>
      <c r="DB9" s="6" t="s">
        <v>1876</v>
      </c>
      <c r="DC9" s="6" t="s">
        <v>1876</v>
      </c>
      <c r="DD9" s="6" t="s">
        <v>1822</v>
      </c>
      <c r="DE9" s="6" t="s">
        <v>1876</v>
      </c>
      <c r="DF9" s="6" t="s">
        <v>1929</v>
      </c>
      <c r="DG9" s="9" t="s">
        <v>1930</v>
      </c>
      <c r="DH9" s="6" t="s">
        <v>1805</v>
      </c>
      <c r="DI9" s="6" t="s">
        <v>1805</v>
      </c>
      <c r="DJ9" s="6" t="s">
        <v>1805</v>
      </c>
      <c r="DK9" s="6" t="s">
        <v>1805</v>
      </c>
      <c r="DL9" s="6" t="s">
        <v>1805</v>
      </c>
      <c r="DM9" s="6" t="s">
        <v>1805</v>
      </c>
      <c r="DN9" s="6" t="s">
        <v>1931</v>
      </c>
      <c r="DO9" s="6" t="s">
        <v>1932</v>
      </c>
      <c r="DP9" s="6" t="s">
        <v>1933</v>
      </c>
      <c r="DQ9" s="6" t="s">
        <v>1805</v>
      </c>
      <c r="DR9" s="6" t="s">
        <v>1805</v>
      </c>
      <c r="DS9" s="6" t="s">
        <v>1805</v>
      </c>
      <c r="DT9" s="6" t="s">
        <v>1805</v>
      </c>
      <c r="DU9" s="6" t="s">
        <v>1805</v>
      </c>
      <c r="DV9" s="6" t="s">
        <v>1805</v>
      </c>
      <c r="DW9" s="6" t="s">
        <v>1805</v>
      </c>
      <c r="DX9" s="6" t="s">
        <v>1805</v>
      </c>
      <c r="DY9" s="6" t="s">
        <v>1805</v>
      </c>
    </row>
    <row r="10" spans="1:129" ht="15" customHeight="1">
      <c r="A10" s="4" t="s">
        <v>1934</v>
      </c>
      <c r="B10" s="7">
        <f t="shared" ref="B10:B45" si="0">SUM(C10,BW10)</f>
        <v>20323014</v>
      </c>
      <c r="C10" s="7">
        <f t="shared" ref="C10:C45" si="1">SUM(D10,AS10,BN10)</f>
        <v>13131144</v>
      </c>
      <c r="D10" s="7">
        <f t="shared" ref="D10:D45" si="2">SUM(E10,Q10,AH10:AK10)</f>
        <v>10490045</v>
      </c>
      <c r="E10" s="7">
        <f>SUM(F10:P10)</f>
        <v>5744158</v>
      </c>
      <c r="F10" s="7">
        <v>3383812</v>
      </c>
      <c r="G10" s="7">
        <v>101584</v>
      </c>
      <c r="H10" s="7">
        <v>188583</v>
      </c>
      <c r="I10" s="7">
        <v>105360</v>
      </c>
      <c r="J10" s="7">
        <v>108872</v>
      </c>
      <c r="K10" s="7">
        <v>161552</v>
      </c>
      <c r="L10" s="7">
        <v>550216</v>
      </c>
      <c r="M10" s="7">
        <v>145748</v>
      </c>
      <c r="N10" s="7">
        <v>80776</v>
      </c>
      <c r="O10" s="7">
        <v>31875</v>
      </c>
      <c r="P10" s="7">
        <v>885780</v>
      </c>
      <c r="Q10" s="7">
        <f>SUM(R10:AG10)</f>
        <v>2224264</v>
      </c>
      <c r="R10" s="7">
        <v>686013</v>
      </c>
      <c r="S10" s="7">
        <v>0</v>
      </c>
      <c r="T10" s="7">
        <v>186136</v>
      </c>
      <c r="U10" s="7">
        <v>294500</v>
      </c>
      <c r="V10" s="7">
        <v>190170</v>
      </c>
      <c r="W10" s="7">
        <v>62453</v>
      </c>
      <c r="X10" s="7">
        <v>287650</v>
      </c>
      <c r="Y10" s="7">
        <v>36000</v>
      </c>
      <c r="Z10" s="7">
        <v>0</v>
      </c>
      <c r="AA10" s="7">
        <v>3600</v>
      </c>
      <c r="AB10" s="7">
        <v>83369</v>
      </c>
      <c r="AC10" s="7">
        <v>218593</v>
      </c>
      <c r="AD10" s="7">
        <v>0</v>
      </c>
      <c r="AE10" s="7">
        <v>25500</v>
      </c>
      <c r="AF10" s="7">
        <v>140480</v>
      </c>
      <c r="AG10" s="7">
        <v>9800</v>
      </c>
      <c r="AH10" s="7">
        <v>2426623</v>
      </c>
      <c r="AI10" s="7">
        <v>0</v>
      </c>
      <c r="AJ10" s="7">
        <v>0</v>
      </c>
      <c r="AK10" s="7">
        <f t="shared" ref="AK10:AK45" si="3">SUM(AL10:AR10)</f>
        <v>95000</v>
      </c>
      <c r="AL10" s="7">
        <v>71400</v>
      </c>
      <c r="AM10" s="7">
        <v>23600</v>
      </c>
      <c r="AN10" s="7">
        <v>0</v>
      </c>
      <c r="AO10" s="7">
        <v>0</v>
      </c>
      <c r="AP10" s="7">
        <v>0</v>
      </c>
      <c r="AQ10" s="7">
        <v>0</v>
      </c>
      <c r="AR10" s="7">
        <v>0</v>
      </c>
      <c r="AS10" s="7">
        <f>SUM(AT10:BM10)</f>
        <v>2641099</v>
      </c>
      <c r="AT10" s="7">
        <v>0</v>
      </c>
      <c r="AU10" s="7">
        <v>0</v>
      </c>
      <c r="AV10" s="7">
        <v>0</v>
      </c>
      <c r="AW10" s="7">
        <v>0</v>
      </c>
      <c r="AX10" s="7">
        <v>0</v>
      </c>
      <c r="AY10" s="7">
        <v>0</v>
      </c>
      <c r="AZ10" s="7">
        <v>300000</v>
      </c>
      <c r="BA10" s="7">
        <v>1713568</v>
      </c>
      <c r="BB10" s="7">
        <v>504331</v>
      </c>
      <c r="BC10" s="7">
        <v>90000</v>
      </c>
      <c r="BD10" s="7">
        <v>0</v>
      </c>
      <c r="BE10" s="7">
        <v>8800</v>
      </c>
      <c r="BF10" s="7">
        <v>20000</v>
      </c>
      <c r="BG10" s="7">
        <v>4400</v>
      </c>
      <c r="BH10" s="7">
        <v>0</v>
      </c>
      <c r="BI10" s="7">
        <v>0</v>
      </c>
      <c r="BJ10" s="7">
        <v>0</v>
      </c>
      <c r="BK10" s="7">
        <v>0</v>
      </c>
      <c r="BL10" s="7">
        <v>0</v>
      </c>
      <c r="BM10" s="7">
        <v>0</v>
      </c>
      <c r="BN10" s="7">
        <f t="shared" ref="BN10:BN45" si="4">SUM(BO10:BV10)</f>
        <v>0</v>
      </c>
      <c r="BO10" s="7">
        <v>0</v>
      </c>
      <c r="BP10" s="7">
        <v>0</v>
      </c>
      <c r="BQ10" s="7">
        <v>0</v>
      </c>
      <c r="BR10" s="7">
        <v>0</v>
      </c>
      <c r="BS10" s="7">
        <v>0</v>
      </c>
      <c r="BT10" s="7">
        <v>0</v>
      </c>
      <c r="BU10" s="7">
        <v>0</v>
      </c>
      <c r="BV10" s="7">
        <v>0</v>
      </c>
      <c r="BW10" s="7">
        <f t="shared" ref="BW10:BW45" si="5">SUM(BX10,CG10,CK10,CS10,DA10,DN10)</f>
        <v>7191870</v>
      </c>
      <c r="BX10" s="7">
        <f t="shared" ref="BX10:BX45" si="6">SUM(BY10:CF10)</f>
        <v>0</v>
      </c>
      <c r="BY10" s="7">
        <v>0</v>
      </c>
      <c r="BZ10" s="7">
        <v>0</v>
      </c>
      <c r="CA10" s="7">
        <v>0</v>
      </c>
      <c r="CB10" s="7">
        <v>0</v>
      </c>
      <c r="CC10" s="7">
        <v>0</v>
      </c>
      <c r="CD10" s="7">
        <v>0</v>
      </c>
      <c r="CE10" s="7">
        <v>0</v>
      </c>
      <c r="CF10" s="7">
        <v>0</v>
      </c>
      <c r="CG10" s="7">
        <f>SUM(CI10:CJ10)</f>
        <v>7070870</v>
      </c>
      <c r="CH10" s="7">
        <v>9288769</v>
      </c>
      <c r="CI10" s="7">
        <f t="shared" ref="CI10:CI44" si="7">CH10-BA10-BB10</f>
        <v>7070870</v>
      </c>
      <c r="CJ10" s="7">
        <v>0</v>
      </c>
      <c r="CK10" s="7">
        <f t="shared" ref="CK10:CK45" si="8">SUM(CL10:CR10)</f>
        <v>30000</v>
      </c>
      <c r="CL10" s="7">
        <v>0</v>
      </c>
      <c r="CM10" s="7">
        <v>30000</v>
      </c>
      <c r="CN10" s="7">
        <v>0</v>
      </c>
      <c r="CO10" s="7">
        <v>0</v>
      </c>
      <c r="CP10" s="7">
        <v>0</v>
      </c>
      <c r="CQ10" s="7">
        <v>0</v>
      </c>
      <c r="CR10" s="7">
        <v>0</v>
      </c>
      <c r="CS10" s="7">
        <f>SUM(CT10:CZ10)</f>
        <v>0</v>
      </c>
      <c r="CT10" s="7">
        <v>0</v>
      </c>
      <c r="CU10" s="7">
        <v>0</v>
      </c>
      <c r="CV10" s="7">
        <v>0</v>
      </c>
      <c r="CW10" s="7">
        <v>0</v>
      </c>
      <c r="CX10" s="7">
        <v>0</v>
      </c>
      <c r="CY10" s="7">
        <v>0</v>
      </c>
      <c r="CZ10" s="7">
        <v>0</v>
      </c>
      <c r="DA10" s="7">
        <f>SUM(DB10:DM10)</f>
        <v>14000</v>
      </c>
      <c r="DB10" s="7">
        <v>0</v>
      </c>
      <c r="DC10" s="7">
        <v>0</v>
      </c>
      <c r="DD10" s="7">
        <v>0</v>
      </c>
      <c r="DE10" s="7">
        <v>0</v>
      </c>
      <c r="DF10" s="7">
        <v>0</v>
      </c>
      <c r="DG10" s="7">
        <v>0</v>
      </c>
      <c r="DH10" s="7">
        <v>0</v>
      </c>
      <c r="DI10" s="7">
        <v>14000</v>
      </c>
      <c r="DJ10" s="7">
        <v>0</v>
      </c>
      <c r="DK10" s="7">
        <v>0</v>
      </c>
      <c r="DL10" s="7">
        <v>0</v>
      </c>
      <c r="DM10" s="7">
        <v>0</v>
      </c>
      <c r="DN10" s="7">
        <f>SUM(DO10:DY10)</f>
        <v>77000</v>
      </c>
      <c r="DO10" s="7">
        <v>8000</v>
      </c>
      <c r="DP10" s="7">
        <v>0</v>
      </c>
      <c r="DQ10" s="7">
        <v>0</v>
      </c>
      <c r="DR10" s="7">
        <v>6500</v>
      </c>
      <c r="DS10" s="7">
        <v>11500</v>
      </c>
      <c r="DT10" s="7">
        <v>1000</v>
      </c>
      <c r="DU10" s="7">
        <v>25000</v>
      </c>
      <c r="DV10" s="7">
        <v>25000</v>
      </c>
      <c r="DW10" s="7">
        <v>0</v>
      </c>
      <c r="DX10" s="7">
        <v>0</v>
      </c>
      <c r="DY10" s="7">
        <v>0</v>
      </c>
    </row>
    <row r="11" spans="1:129" ht="15" customHeight="1">
      <c r="A11" s="4" t="s">
        <v>438</v>
      </c>
      <c r="B11" s="7">
        <f t="shared" si="0"/>
        <v>35734905</v>
      </c>
      <c r="C11" s="7">
        <f t="shared" si="1"/>
        <v>21736348</v>
      </c>
      <c r="D11" s="7">
        <f t="shared" si="2"/>
        <v>15139060</v>
      </c>
      <c r="E11" s="7">
        <f t="shared" ref="E11:E45" si="9">SUM(F11:P11)</f>
        <v>6828280</v>
      </c>
      <c r="F11" s="7">
        <v>3824710</v>
      </c>
      <c r="G11" s="7">
        <v>0</v>
      </c>
      <c r="H11" s="7">
        <v>388291</v>
      </c>
      <c r="I11" s="7">
        <v>119088</v>
      </c>
      <c r="J11" s="7">
        <v>123058</v>
      </c>
      <c r="K11" s="7">
        <v>182602</v>
      </c>
      <c r="L11" s="7">
        <v>669402</v>
      </c>
      <c r="M11" s="7">
        <v>164738</v>
      </c>
      <c r="N11" s="7">
        <v>91301</v>
      </c>
      <c r="O11" s="7">
        <v>39875</v>
      </c>
      <c r="P11" s="7">
        <v>1225215</v>
      </c>
      <c r="Q11" s="7">
        <f t="shared" ref="Q11:Q45" si="10">SUM(R11:AG11)</f>
        <v>3131487</v>
      </c>
      <c r="R11" s="7">
        <v>1285705</v>
      </c>
      <c r="S11" s="7">
        <v>0</v>
      </c>
      <c r="T11" s="7">
        <v>212374</v>
      </c>
      <c r="U11" s="7">
        <v>475000</v>
      </c>
      <c r="V11" s="7">
        <v>390905</v>
      </c>
      <c r="W11" s="7">
        <v>181720</v>
      </c>
      <c r="X11" s="7">
        <v>144775</v>
      </c>
      <c r="Y11" s="7">
        <v>54000</v>
      </c>
      <c r="Z11" s="7">
        <v>336</v>
      </c>
      <c r="AA11" s="7">
        <v>30000</v>
      </c>
      <c r="AB11" s="7">
        <v>119947</v>
      </c>
      <c r="AC11" s="7">
        <v>37828</v>
      </c>
      <c r="AD11" s="7">
        <v>0</v>
      </c>
      <c r="AE11" s="7">
        <v>28913</v>
      </c>
      <c r="AF11" s="7">
        <v>158784</v>
      </c>
      <c r="AG11" s="7">
        <v>11200</v>
      </c>
      <c r="AH11" s="7">
        <v>4043127</v>
      </c>
      <c r="AI11" s="7">
        <v>1575</v>
      </c>
      <c r="AJ11" s="7">
        <v>930367</v>
      </c>
      <c r="AK11" s="7">
        <f t="shared" si="3"/>
        <v>204224</v>
      </c>
      <c r="AL11" s="7">
        <v>94980</v>
      </c>
      <c r="AM11" s="7">
        <v>49700</v>
      </c>
      <c r="AN11" s="7">
        <v>0</v>
      </c>
      <c r="AO11" s="7">
        <v>0</v>
      </c>
      <c r="AP11" s="7">
        <v>59544</v>
      </c>
      <c r="AQ11" s="7">
        <v>0</v>
      </c>
      <c r="AR11" s="7">
        <v>0</v>
      </c>
      <c r="AS11" s="7">
        <f t="shared" ref="AS11:AS45" si="11">SUM(AT11:BM11)</f>
        <v>6257492</v>
      </c>
      <c r="AT11" s="7">
        <v>0</v>
      </c>
      <c r="AU11" s="7">
        <v>0</v>
      </c>
      <c r="AV11" s="7">
        <v>0</v>
      </c>
      <c r="AW11" s="7">
        <v>0</v>
      </c>
      <c r="AX11" s="7">
        <v>0</v>
      </c>
      <c r="AY11" s="7">
        <v>0</v>
      </c>
      <c r="AZ11" s="7">
        <v>482329</v>
      </c>
      <c r="BA11" s="7">
        <v>2387092</v>
      </c>
      <c r="BB11" s="7">
        <v>2718987</v>
      </c>
      <c r="BC11" s="7">
        <v>94906</v>
      </c>
      <c r="BD11" s="7">
        <v>0</v>
      </c>
      <c r="BE11" s="7">
        <v>9530</v>
      </c>
      <c r="BF11" s="7">
        <v>20000</v>
      </c>
      <c r="BG11" s="7">
        <v>125000</v>
      </c>
      <c r="BH11" s="7">
        <v>40800</v>
      </c>
      <c r="BI11" s="7">
        <v>97000</v>
      </c>
      <c r="BJ11" s="7">
        <v>4833</v>
      </c>
      <c r="BK11" s="7">
        <v>113401</v>
      </c>
      <c r="BL11" s="7">
        <v>152107</v>
      </c>
      <c r="BM11" s="7">
        <v>11507</v>
      </c>
      <c r="BN11" s="7">
        <f t="shared" si="4"/>
        <v>339796</v>
      </c>
      <c r="BO11" s="7">
        <v>0</v>
      </c>
      <c r="BP11" s="7">
        <v>332600</v>
      </c>
      <c r="BQ11" s="7">
        <v>7196</v>
      </c>
      <c r="BR11" s="7">
        <v>0</v>
      </c>
      <c r="BS11" s="7">
        <v>0</v>
      </c>
      <c r="BT11" s="7">
        <v>0</v>
      </c>
      <c r="BU11" s="7">
        <v>0</v>
      </c>
      <c r="BV11" s="7">
        <v>0</v>
      </c>
      <c r="BW11" s="7">
        <f t="shared" si="5"/>
        <v>13998557</v>
      </c>
      <c r="BX11" s="7">
        <f t="shared" si="6"/>
        <v>0</v>
      </c>
      <c r="BY11" s="7">
        <v>0</v>
      </c>
      <c r="BZ11" s="7">
        <v>0</v>
      </c>
      <c r="CA11" s="7">
        <v>0</v>
      </c>
      <c r="CB11" s="7">
        <v>0</v>
      </c>
      <c r="CC11" s="7">
        <v>0</v>
      </c>
      <c r="CD11" s="7">
        <v>0</v>
      </c>
      <c r="CE11" s="7">
        <v>0</v>
      </c>
      <c r="CF11" s="7">
        <v>0</v>
      </c>
      <c r="CG11" s="7">
        <f t="shared" ref="CG11:CG45" si="12">SUM(CI11:CJ11)</f>
        <v>11789336</v>
      </c>
      <c r="CH11" s="7">
        <v>16893415</v>
      </c>
      <c r="CI11" s="7">
        <f t="shared" si="7"/>
        <v>11787336</v>
      </c>
      <c r="CJ11" s="7">
        <v>2000</v>
      </c>
      <c r="CK11" s="7">
        <f t="shared" si="8"/>
        <v>614628</v>
      </c>
      <c r="CL11" s="7">
        <v>0</v>
      </c>
      <c r="CM11" s="7">
        <v>18121</v>
      </c>
      <c r="CN11" s="7">
        <v>444923</v>
      </c>
      <c r="CO11" s="7">
        <v>0</v>
      </c>
      <c r="CP11" s="7">
        <v>106584</v>
      </c>
      <c r="CQ11" s="7">
        <v>45000</v>
      </c>
      <c r="CR11" s="7">
        <v>0</v>
      </c>
      <c r="CS11" s="7">
        <f t="shared" ref="CS11:CS45" si="13">SUM(CT11:CZ11)</f>
        <v>1250023</v>
      </c>
      <c r="CT11" s="7">
        <v>1139101</v>
      </c>
      <c r="CU11" s="7">
        <v>110922</v>
      </c>
      <c r="CV11" s="7">
        <v>0</v>
      </c>
      <c r="CW11" s="7">
        <v>0</v>
      </c>
      <c r="CX11" s="7">
        <v>0</v>
      </c>
      <c r="CY11" s="7">
        <v>0</v>
      </c>
      <c r="CZ11" s="7">
        <v>0</v>
      </c>
      <c r="DA11" s="7">
        <f t="shared" ref="DA11:DA45" si="14">SUM(DB11:DM11)</f>
        <v>142114</v>
      </c>
      <c r="DB11" s="7">
        <v>1000</v>
      </c>
      <c r="DC11" s="7">
        <v>0</v>
      </c>
      <c r="DD11" s="7">
        <v>0</v>
      </c>
      <c r="DE11" s="7">
        <v>0</v>
      </c>
      <c r="DF11" s="7">
        <v>34114</v>
      </c>
      <c r="DG11" s="7">
        <v>0</v>
      </c>
      <c r="DH11" s="7">
        <v>0</v>
      </c>
      <c r="DI11" s="7">
        <v>105000</v>
      </c>
      <c r="DJ11" s="7">
        <v>2000</v>
      </c>
      <c r="DK11" s="7">
        <v>0</v>
      </c>
      <c r="DL11" s="7">
        <v>0</v>
      </c>
      <c r="DM11" s="7">
        <v>0</v>
      </c>
      <c r="DN11" s="7">
        <f t="shared" ref="DN11:DN45" si="15">SUM(DO11:DY11)</f>
        <v>202456</v>
      </c>
      <c r="DO11" s="7">
        <v>15000</v>
      </c>
      <c r="DP11" s="7">
        <v>30000</v>
      </c>
      <c r="DQ11" s="7">
        <v>50156</v>
      </c>
      <c r="DR11" s="7">
        <v>35000</v>
      </c>
      <c r="DS11" s="7">
        <v>10000</v>
      </c>
      <c r="DT11" s="7">
        <v>50000</v>
      </c>
      <c r="DU11" s="7">
        <v>12300</v>
      </c>
      <c r="DV11" s="7">
        <v>0</v>
      </c>
      <c r="DW11" s="7">
        <v>0</v>
      </c>
      <c r="DX11" s="7">
        <v>0</v>
      </c>
      <c r="DY11" s="7">
        <v>0</v>
      </c>
    </row>
    <row r="12" spans="1:129" ht="15" customHeight="1">
      <c r="A12" s="4" t="s">
        <v>1935</v>
      </c>
      <c r="B12" s="7">
        <f t="shared" si="0"/>
        <v>102004700</v>
      </c>
      <c r="C12" s="7">
        <f t="shared" si="1"/>
        <v>61574764</v>
      </c>
      <c r="D12" s="7">
        <f t="shared" si="2"/>
        <v>49298700</v>
      </c>
      <c r="E12" s="7">
        <f t="shared" si="9"/>
        <v>25081600</v>
      </c>
      <c r="F12" s="7">
        <v>16046700</v>
      </c>
      <c r="G12" s="7">
        <v>0</v>
      </c>
      <c r="H12" s="7">
        <v>126000</v>
      </c>
      <c r="I12" s="7">
        <v>499600</v>
      </c>
      <c r="J12" s="7">
        <v>516300</v>
      </c>
      <c r="K12" s="7">
        <v>766100</v>
      </c>
      <c r="L12" s="7">
        <v>2831500</v>
      </c>
      <c r="M12" s="7">
        <v>691200</v>
      </c>
      <c r="N12" s="7">
        <v>383100</v>
      </c>
      <c r="O12" s="7">
        <v>188400</v>
      </c>
      <c r="P12" s="7">
        <v>3032700</v>
      </c>
      <c r="Q12" s="7">
        <f t="shared" si="10"/>
        <v>7327200</v>
      </c>
      <c r="R12" s="7">
        <v>1110100</v>
      </c>
      <c r="S12" s="7">
        <v>0</v>
      </c>
      <c r="T12" s="7">
        <v>624500</v>
      </c>
      <c r="U12" s="7">
        <v>1220800</v>
      </c>
      <c r="V12" s="7">
        <v>1288900</v>
      </c>
      <c r="W12" s="7">
        <v>629600</v>
      </c>
      <c r="X12" s="7">
        <v>657000</v>
      </c>
      <c r="Y12" s="7">
        <v>371000</v>
      </c>
      <c r="Z12" s="7">
        <v>900</v>
      </c>
      <c r="AA12" s="7">
        <v>200800</v>
      </c>
      <c r="AB12" s="7">
        <v>16100</v>
      </c>
      <c r="AC12" s="7">
        <v>302900</v>
      </c>
      <c r="AD12" s="7">
        <v>0</v>
      </c>
      <c r="AE12" s="7">
        <v>163000</v>
      </c>
      <c r="AF12" s="7">
        <v>726200</v>
      </c>
      <c r="AG12" s="7">
        <v>15400</v>
      </c>
      <c r="AH12" s="7">
        <v>16585900</v>
      </c>
      <c r="AI12" s="7">
        <v>0</v>
      </c>
      <c r="AJ12" s="7">
        <v>0</v>
      </c>
      <c r="AK12" s="7">
        <f t="shared" si="3"/>
        <v>304000</v>
      </c>
      <c r="AL12" s="7">
        <v>208600</v>
      </c>
      <c r="AM12" s="7">
        <v>95400</v>
      </c>
      <c r="AN12" s="7">
        <v>0</v>
      </c>
      <c r="AO12" s="7">
        <v>0</v>
      </c>
      <c r="AP12" s="7">
        <v>0</v>
      </c>
      <c r="AQ12" s="7">
        <v>0</v>
      </c>
      <c r="AR12" s="7">
        <v>0</v>
      </c>
      <c r="AS12" s="7">
        <f t="shared" si="11"/>
        <v>12276064</v>
      </c>
      <c r="AT12" s="7">
        <v>0</v>
      </c>
      <c r="AU12" s="7">
        <v>8700</v>
      </c>
      <c r="AV12" s="7">
        <v>0</v>
      </c>
      <c r="AW12" s="7">
        <v>0</v>
      </c>
      <c r="AX12" s="7">
        <v>0</v>
      </c>
      <c r="AY12" s="7">
        <v>8300</v>
      </c>
      <c r="AZ12" s="7">
        <v>1759700</v>
      </c>
      <c r="BA12" s="7">
        <v>7618689</v>
      </c>
      <c r="BB12" s="7">
        <v>1819775</v>
      </c>
      <c r="BC12" s="7">
        <v>851200</v>
      </c>
      <c r="BD12" s="7">
        <v>80000</v>
      </c>
      <c r="BE12" s="7">
        <v>0</v>
      </c>
      <c r="BF12" s="7">
        <v>41300</v>
      </c>
      <c r="BG12" s="7">
        <v>75000</v>
      </c>
      <c r="BH12" s="7">
        <v>13400</v>
      </c>
      <c r="BI12" s="7">
        <v>0</v>
      </c>
      <c r="BJ12" s="7">
        <v>0</v>
      </c>
      <c r="BK12" s="7">
        <v>0</v>
      </c>
      <c r="BL12" s="7">
        <v>0</v>
      </c>
      <c r="BM12" s="7">
        <v>0</v>
      </c>
      <c r="BN12" s="7">
        <f t="shared" si="4"/>
        <v>0</v>
      </c>
      <c r="BO12" s="7">
        <v>0</v>
      </c>
      <c r="BP12" s="7">
        <v>0</v>
      </c>
      <c r="BQ12" s="7">
        <v>0</v>
      </c>
      <c r="BR12" s="7">
        <v>0</v>
      </c>
      <c r="BS12" s="7">
        <v>0</v>
      </c>
      <c r="BT12" s="7">
        <v>0</v>
      </c>
      <c r="BU12" s="7">
        <v>0</v>
      </c>
      <c r="BV12" s="7">
        <v>0</v>
      </c>
      <c r="BW12" s="7">
        <f t="shared" si="5"/>
        <v>40429936</v>
      </c>
      <c r="BX12" s="7">
        <f t="shared" si="6"/>
        <v>18500</v>
      </c>
      <c r="BY12" s="7">
        <v>0</v>
      </c>
      <c r="BZ12" s="7">
        <v>0</v>
      </c>
      <c r="CA12" s="7">
        <v>18500</v>
      </c>
      <c r="CB12" s="7">
        <v>0</v>
      </c>
      <c r="CC12" s="7">
        <v>0</v>
      </c>
      <c r="CD12" s="7">
        <v>0</v>
      </c>
      <c r="CE12" s="7">
        <v>0</v>
      </c>
      <c r="CF12" s="7">
        <v>0</v>
      </c>
      <c r="CG12" s="7">
        <f t="shared" si="12"/>
        <v>38900936</v>
      </c>
      <c r="CH12" s="7">
        <v>48339400</v>
      </c>
      <c r="CI12" s="7">
        <f t="shared" si="7"/>
        <v>38900936</v>
      </c>
      <c r="CJ12" s="7">
        <v>0</v>
      </c>
      <c r="CK12" s="7">
        <f t="shared" si="8"/>
        <v>447500</v>
      </c>
      <c r="CL12" s="7">
        <v>0</v>
      </c>
      <c r="CM12" s="7">
        <v>74200</v>
      </c>
      <c r="CN12" s="7">
        <v>372600</v>
      </c>
      <c r="CO12" s="7">
        <v>0</v>
      </c>
      <c r="CP12" s="7">
        <v>700</v>
      </c>
      <c r="CQ12" s="7">
        <v>0</v>
      </c>
      <c r="CR12" s="7">
        <v>0</v>
      </c>
      <c r="CS12" s="7">
        <f t="shared" si="13"/>
        <v>178200</v>
      </c>
      <c r="CT12" s="7">
        <v>178200</v>
      </c>
      <c r="CU12" s="7">
        <v>0</v>
      </c>
      <c r="CV12" s="7">
        <v>0</v>
      </c>
      <c r="CW12" s="7">
        <v>0</v>
      </c>
      <c r="CX12" s="7">
        <v>0</v>
      </c>
      <c r="CY12" s="7">
        <v>0</v>
      </c>
      <c r="CZ12" s="7">
        <v>0</v>
      </c>
      <c r="DA12" s="7">
        <f t="shared" si="14"/>
        <v>796900</v>
      </c>
      <c r="DB12" s="7">
        <v>58500</v>
      </c>
      <c r="DC12" s="7">
        <v>0</v>
      </c>
      <c r="DD12" s="7">
        <v>0</v>
      </c>
      <c r="DE12" s="7">
        <v>0</v>
      </c>
      <c r="DF12" s="7">
        <v>260000</v>
      </c>
      <c r="DG12" s="7">
        <v>0</v>
      </c>
      <c r="DH12" s="7">
        <v>0</v>
      </c>
      <c r="DI12" s="7">
        <v>62600</v>
      </c>
      <c r="DJ12" s="7">
        <v>42400</v>
      </c>
      <c r="DK12" s="7">
        <v>61500</v>
      </c>
      <c r="DL12" s="7">
        <v>171500</v>
      </c>
      <c r="DM12" s="7">
        <v>140400</v>
      </c>
      <c r="DN12" s="7">
        <f t="shared" si="15"/>
        <v>87900</v>
      </c>
      <c r="DO12" s="7">
        <v>87900</v>
      </c>
      <c r="DP12" s="7">
        <v>0</v>
      </c>
      <c r="DQ12" s="7">
        <v>0</v>
      </c>
      <c r="DR12" s="7">
        <v>0</v>
      </c>
      <c r="DS12" s="7">
        <v>0</v>
      </c>
      <c r="DT12" s="7">
        <v>0</v>
      </c>
      <c r="DU12" s="7">
        <v>0</v>
      </c>
      <c r="DV12" s="7">
        <v>0</v>
      </c>
      <c r="DW12" s="7">
        <v>0</v>
      </c>
      <c r="DX12" s="7">
        <v>0</v>
      </c>
      <c r="DY12" s="7">
        <v>0</v>
      </c>
    </row>
    <row r="13" spans="1:129" ht="15" customHeight="1">
      <c r="A13" s="4" t="s">
        <v>1936</v>
      </c>
      <c r="B13" s="7">
        <f t="shared" si="0"/>
        <v>90450273</v>
      </c>
      <c r="C13" s="7">
        <f t="shared" si="1"/>
        <v>63989523</v>
      </c>
      <c r="D13" s="7">
        <f t="shared" si="2"/>
        <v>35065708</v>
      </c>
      <c r="E13" s="7">
        <f t="shared" si="9"/>
        <v>17042606</v>
      </c>
      <c r="F13" s="7">
        <v>10021364</v>
      </c>
      <c r="G13" s="7">
        <v>25904</v>
      </c>
      <c r="H13" s="7">
        <v>774132</v>
      </c>
      <c r="I13" s="7">
        <v>312030</v>
      </c>
      <c r="J13" s="7">
        <v>322431</v>
      </c>
      <c r="K13" s="7">
        <v>478446</v>
      </c>
      <c r="L13" s="7">
        <v>1646182</v>
      </c>
      <c r="M13" s="7">
        <v>431642</v>
      </c>
      <c r="N13" s="7">
        <v>202820</v>
      </c>
      <c r="O13" s="7">
        <v>82250</v>
      </c>
      <c r="P13" s="7">
        <v>2745405</v>
      </c>
      <c r="Q13" s="7">
        <f t="shared" si="10"/>
        <v>7897997</v>
      </c>
      <c r="R13" s="7">
        <v>3317469</v>
      </c>
      <c r="S13" s="7">
        <v>0</v>
      </c>
      <c r="T13" s="7">
        <v>466153</v>
      </c>
      <c r="U13" s="7">
        <v>384750</v>
      </c>
      <c r="V13" s="7">
        <v>316950</v>
      </c>
      <c r="W13" s="7">
        <v>89980</v>
      </c>
      <c r="X13" s="7">
        <v>255275</v>
      </c>
      <c r="Y13" s="7">
        <v>530000</v>
      </c>
      <c r="Z13" s="7">
        <v>4998</v>
      </c>
      <c r="AA13" s="7">
        <v>1520000</v>
      </c>
      <c r="AB13" s="7">
        <v>161760</v>
      </c>
      <c r="AC13" s="7">
        <v>272976</v>
      </c>
      <c r="AD13" s="7">
        <v>53935</v>
      </c>
      <c r="AE13" s="7">
        <v>91611</v>
      </c>
      <c r="AF13" s="7">
        <v>416040</v>
      </c>
      <c r="AG13" s="7">
        <v>16100</v>
      </c>
      <c r="AH13" s="7">
        <v>9882705</v>
      </c>
      <c r="AI13" s="7">
        <v>0</v>
      </c>
      <c r="AJ13" s="7">
        <v>0</v>
      </c>
      <c r="AK13" s="7">
        <f t="shared" si="3"/>
        <v>242400</v>
      </c>
      <c r="AL13" s="7">
        <v>179700</v>
      </c>
      <c r="AM13" s="7">
        <v>62700</v>
      </c>
      <c r="AN13" s="7">
        <v>0</v>
      </c>
      <c r="AO13" s="7">
        <v>0</v>
      </c>
      <c r="AP13" s="7">
        <v>0</v>
      </c>
      <c r="AQ13" s="7">
        <v>0</v>
      </c>
      <c r="AR13" s="7">
        <v>0</v>
      </c>
      <c r="AS13" s="7">
        <f t="shared" si="11"/>
        <v>28076377</v>
      </c>
      <c r="AT13" s="7">
        <v>0</v>
      </c>
      <c r="AU13" s="7">
        <v>0</v>
      </c>
      <c r="AV13" s="7">
        <v>0</v>
      </c>
      <c r="AW13" s="7">
        <v>0</v>
      </c>
      <c r="AX13" s="7">
        <v>0</v>
      </c>
      <c r="AY13" s="7">
        <v>0</v>
      </c>
      <c r="AZ13" s="7">
        <v>1217462</v>
      </c>
      <c r="BA13" s="7">
        <v>6292588</v>
      </c>
      <c r="BB13" s="7">
        <v>1960907</v>
      </c>
      <c r="BC13" s="7">
        <v>689187</v>
      </c>
      <c r="BD13" s="7">
        <v>0</v>
      </c>
      <c r="BE13" s="7">
        <v>0</v>
      </c>
      <c r="BF13" s="7">
        <v>20340</v>
      </c>
      <c r="BG13" s="7">
        <v>80000</v>
      </c>
      <c r="BH13" s="7">
        <v>17815893</v>
      </c>
      <c r="BI13" s="7">
        <v>0</v>
      </c>
      <c r="BJ13" s="7">
        <v>0</v>
      </c>
      <c r="BK13" s="7">
        <v>0</v>
      </c>
      <c r="BL13" s="7">
        <v>0</v>
      </c>
      <c r="BM13" s="7">
        <v>0</v>
      </c>
      <c r="BN13" s="7">
        <f t="shared" si="4"/>
        <v>847438</v>
      </c>
      <c r="BO13" s="7">
        <v>0</v>
      </c>
      <c r="BP13" s="7">
        <v>265938</v>
      </c>
      <c r="BQ13" s="7">
        <v>57000</v>
      </c>
      <c r="BR13" s="7">
        <v>475000</v>
      </c>
      <c r="BS13" s="7">
        <v>49500</v>
      </c>
      <c r="BT13" s="7">
        <v>0</v>
      </c>
      <c r="BU13" s="7">
        <v>0</v>
      </c>
      <c r="BV13" s="7">
        <v>0</v>
      </c>
      <c r="BW13" s="7">
        <f t="shared" si="5"/>
        <v>26460750</v>
      </c>
      <c r="BX13" s="7">
        <f t="shared" si="6"/>
        <v>55000</v>
      </c>
      <c r="BY13" s="7">
        <v>0</v>
      </c>
      <c r="BZ13" s="7">
        <v>0</v>
      </c>
      <c r="CA13" s="7">
        <v>55000</v>
      </c>
      <c r="CB13" s="7">
        <v>0</v>
      </c>
      <c r="CC13" s="7">
        <v>0</v>
      </c>
      <c r="CD13" s="7">
        <v>0</v>
      </c>
      <c r="CE13" s="7">
        <v>0</v>
      </c>
      <c r="CF13" s="7">
        <v>0</v>
      </c>
      <c r="CG13" s="7">
        <f t="shared" si="12"/>
        <v>24471545</v>
      </c>
      <c r="CH13" s="7">
        <v>32725040</v>
      </c>
      <c r="CI13" s="7">
        <f t="shared" si="7"/>
        <v>24471545</v>
      </c>
      <c r="CJ13" s="7">
        <v>0</v>
      </c>
      <c r="CK13" s="7">
        <f t="shared" si="8"/>
        <v>1834205</v>
      </c>
      <c r="CL13" s="7">
        <v>0</v>
      </c>
      <c r="CM13" s="7">
        <v>1834205</v>
      </c>
      <c r="CN13" s="7">
        <v>0</v>
      </c>
      <c r="CO13" s="7">
        <v>0</v>
      </c>
      <c r="CP13" s="7">
        <v>0</v>
      </c>
      <c r="CQ13" s="7">
        <v>0</v>
      </c>
      <c r="CR13" s="7">
        <v>0</v>
      </c>
      <c r="CS13" s="7">
        <f t="shared" si="13"/>
        <v>0</v>
      </c>
      <c r="CT13" s="7">
        <v>0</v>
      </c>
      <c r="CU13" s="7">
        <v>0</v>
      </c>
      <c r="CV13" s="7">
        <v>0</v>
      </c>
      <c r="CW13" s="7">
        <v>0</v>
      </c>
      <c r="CX13" s="7">
        <v>0</v>
      </c>
      <c r="CY13" s="7">
        <v>0</v>
      </c>
      <c r="CZ13" s="7">
        <v>0</v>
      </c>
      <c r="DA13" s="7">
        <f t="shared" si="14"/>
        <v>90000</v>
      </c>
      <c r="DB13" s="7">
        <v>0</v>
      </c>
      <c r="DC13" s="7">
        <v>0</v>
      </c>
      <c r="DD13" s="7">
        <v>0</v>
      </c>
      <c r="DE13" s="7">
        <v>0</v>
      </c>
      <c r="DF13" s="7">
        <v>0</v>
      </c>
      <c r="DG13" s="7">
        <v>0</v>
      </c>
      <c r="DH13" s="7">
        <v>0</v>
      </c>
      <c r="DI13" s="7">
        <v>35000</v>
      </c>
      <c r="DJ13" s="7">
        <v>55000</v>
      </c>
      <c r="DK13" s="7">
        <v>0</v>
      </c>
      <c r="DL13" s="7">
        <v>0</v>
      </c>
      <c r="DM13" s="7">
        <v>0</v>
      </c>
      <c r="DN13" s="7">
        <f t="shared" si="15"/>
        <v>10000</v>
      </c>
      <c r="DO13" s="7">
        <v>10000</v>
      </c>
      <c r="DP13" s="7">
        <v>0</v>
      </c>
      <c r="DQ13" s="7">
        <v>0</v>
      </c>
      <c r="DR13" s="7">
        <v>0</v>
      </c>
      <c r="DS13" s="7">
        <v>0</v>
      </c>
      <c r="DT13" s="7">
        <v>0</v>
      </c>
      <c r="DU13" s="7">
        <v>0</v>
      </c>
      <c r="DV13" s="7">
        <v>0</v>
      </c>
      <c r="DW13" s="7">
        <v>0</v>
      </c>
      <c r="DX13" s="7">
        <v>0</v>
      </c>
      <c r="DY13" s="7">
        <v>0</v>
      </c>
    </row>
    <row r="14" spans="1:129" ht="15" customHeight="1">
      <c r="A14" s="4" t="s">
        <v>1937</v>
      </c>
      <c r="B14" s="7">
        <f t="shared" si="0"/>
        <v>21211070</v>
      </c>
      <c r="C14" s="7">
        <f t="shared" si="1"/>
        <v>12797315</v>
      </c>
      <c r="D14" s="7">
        <f t="shared" si="2"/>
        <v>8122535</v>
      </c>
      <c r="E14" s="7">
        <f t="shared" si="9"/>
        <v>4716084</v>
      </c>
      <c r="F14" s="7">
        <v>2661572</v>
      </c>
      <c r="G14" s="7">
        <v>0</v>
      </c>
      <c r="H14" s="7">
        <v>233917</v>
      </c>
      <c r="I14" s="7">
        <v>82872</v>
      </c>
      <c r="J14" s="7">
        <v>85634</v>
      </c>
      <c r="K14" s="7">
        <v>127070</v>
      </c>
      <c r="L14" s="7">
        <v>471597</v>
      </c>
      <c r="M14" s="7">
        <v>114640</v>
      </c>
      <c r="N14" s="7">
        <v>53867</v>
      </c>
      <c r="O14" s="7">
        <v>31625</v>
      </c>
      <c r="P14" s="7">
        <v>853290</v>
      </c>
      <c r="Q14" s="7">
        <f t="shared" si="10"/>
        <v>2116438</v>
      </c>
      <c r="R14" s="7">
        <v>867082</v>
      </c>
      <c r="S14" s="7">
        <v>0</v>
      </c>
      <c r="T14" s="7">
        <v>146407</v>
      </c>
      <c r="U14" s="7">
        <v>346750</v>
      </c>
      <c r="V14" s="7">
        <v>316950</v>
      </c>
      <c r="W14" s="7">
        <v>70703</v>
      </c>
      <c r="X14" s="7">
        <v>12450</v>
      </c>
      <c r="Y14" s="7">
        <v>128000</v>
      </c>
      <c r="Z14" s="7">
        <v>0</v>
      </c>
      <c r="AA14" s="7">
        <v>6100</v>
      </c>
      <c r="AB14" s="7">
        <v>50782</v>
      </c>
      <c r="AC14" s="7">
        <v>35802</v>
      </c>
      <c r="AD14" s="7">
        <v>0</v>
      </c>
      <c r="AE14" s="7">
        <v>19316</v>
      </c>
      <c r="AF14" s="7">
        <v>110496</v>
      </c>
      <c r="AG14" s="7">
        <v>5600</v>
      </c>
      <c r="AH14" s="7">
        <v>0</v>
      </c>
      <c r="AI14" s="7">
        <v>0</v>
      </c>
      <c r="AJ14" s="7">
        <v>1206053</v>
      </c>
      <c r="AK14" s="7">
        <f t="shared" si="3"/>
        <v>83960</v>
      </c>
      <c r="AL14" s="7">
        <v>60060</v>
      </c>
      <c r="AM14" s="7">
        <v>23900</v>
      </c>
      <c r="AN14" s="7">
        <v>0</v>
      </c>
      <c r="AO14" s="7">
        <v>0</v>
      </c>
      <c r="AP14" s="7">
        <v>0</v>
      </c>
      <c r="AQ14" s="7">
        <v>0</v>
      </c>
      <c r="AR14" s="7">
        <v>0</v>
      </c>
      <c r="AS14" s="7">
        <f t="shared" si="11"/>
        <v>4674780</v>
      </c>
      <c r="AT14" s="7">
        <v>0</v>
      </c>
      <c r="AU14" s="7">
        <v>0</v>
      </c>
      <c r="AV14" s="7">
        <v>0</v>
      </c>
      <c r="AW14" s="7">
        <v>0</v>
      </c>
      <c r="AX14" s="7">
        <v>0</v>
      </c>
      <c r="AY14" s="7">
        <v>5000</v>
      </c>
      <c r="AZ14" s="7">
        <v>310000</v>
      </c>
      <c r="BA14" s="7">
        <v>2680796</v>
      </c>
      <c r="BB14" s="7">
        <v>1595317</v>
      </c>
      <c r="BC14" s="7">
        <v>0</v>
      </c>
      <c r="BD14" s="7">
        <v>0</v>
      </c>
      <c r="BE14" s="7">
        <v>8000</v>
      </c>
      <c r="BF14" s="7">
        <v>20000</v>
      </c>
      <c r="BG14" s="7">
        <v>14000</v>
      </c>
      <c r="BH14" s="7">
        <v>41667</v>
      </c>
      <c r="BI14" s="7">
        <v>0</v>
      </c>
      <c r="BJ14" s="7">
        <v>0</v>
      </c>
      <c r="BK14" s="7">
        <v>0</v>
      </c>
      <c r="BL14" s="7">
        <v>0</v>
      </c>
      <c r="BM14" s="7">
        <v>0</v>
      </c>
      <c r="BN14" s="7">
        <f t="shared" si="4"/>
        <v>0</v>
      </c>
      <c r="BO14" s="7">
        <v>0</v>
      </c>
      <c r="BP14" s="7">
        <v>0</v>
      </c>
      <c r="BQ14" s="7">
        <v>0</v>
      </c>
      <c r="BR14" s="7">
        <v>0</v>
      </c>
      <c r="BS14" s="7">
        <v>0</v>
      </c>
      <c r="BT14" s="7">
        <v>0</v>
      </c>
      <c r="BU14" s="7">
        <v>0</v>
      </c>
      <c r="BV14" s="7">
        <v>0</v>
      </c>
      <c r="BW14" s="7">
        <f t="shared" si="5"/>
        <v>8413755</v>
      </c>
      <c r="BX14" s="7">
        <f t="shared" si="6"/>
        <v>0</v>
      </c>
      <c r="BY14" s="7">
        <v>0</v>
      </c>
      <c r="BZ14" s="7">
        <v>0</v>
      </c>
      <c r="CA14" s="7">
        <v>0</v>
      </c>
      <c r="CB14" s="7">
        <v>0</v>
      </c>
      <c r="CC14" s="7">
        <v>0</v>
      </c>
      <c r="CD14" s="7">
        <v>0</v>
      </c>
      <c r="CE14" s="7">
        <v>0</v>
      </c>
      <c r="CF14" s="7">
        <v>0</v>
      </c>
      <c r="CG14" s="7">
        <f t="shared" si="12"/>
        <v>8143755</v>
      </c>
      <c r="CH14" s="7">
        <v>12419868</v>
      </c>
      <c r="CI14" s="7">
        <f t="shared" si="7"/>
        <v>8143755</v>
      </c>
      <c r="CJ14" s="7">
        <v>0</v>
      </c>
      <c r="CK14" s="7">
        <f t="shared" si="8"/>
        <v>55000</v>
      </c>
      <c r="CL14" s="7">
        <v>0</v>
      </c>
      <c r="CM14" s="7">
        <v>34000</v>
      </c>
      <c r="CN14" s="7">
        <v>21000</v>
      </c>
      <c r="CO14" s="7">
        <v>0</v>
      </c>
      <c r="CP14" s="7">
        <v>0</v>
      </c>
      <c r="CQ14" s="7">
        <v>0</v>
      </c>
      <c r="CR14" s="7">
        <v>0</v>
      </c>
      <c r="CS14" s="7">
        <f t="shared" si="13"/>
        <v>145000</v>
      </c>
      <c r="CT14" s="7">
        <v>145000</v>
      </c>
      <c r="CU14" s="7">
        <v>0</v>
      </c>
      <c r="CV14" s="7">
        <v>0</v>
      </c>
      <c r="CW14" s="7">
        <v>0</v>
      </c>
      <c r="CX14" s="7">
        <v>0</v>
      </c>
      <c r="CY14" s="7">
        <v>0</v>
      </c>
      <c r="CZ14" s="7">
        <v>0</v>
      </c>
      <c r="DA14" s="7">
        <f t="shared" si="14"/>
        <v>58000</v>
      </c>
      <c r="DB14" s="7">
        <v>0</v>
      </c>
      <c r="DC14" s="7">
        <v>0</v>
      </c>
      <c r="DD14" s="7">
        <v>0</v>
      </c>
      <c r="DE14" s="7">
        <v>0</v>
      </c>
      <c r="DF14" s="7">
        <v>0</v>
      </c>
      <c r="DG14" s="7">
        <v>0</v>
      </c>
      <c r="DH14" s="7">
        <v>0</v>
      </c>
      <c r="DI14" s="7">
        <v>24000</v>
      </c>
      <c r="DJ14" s="7">
        <v>25000</v>
      </c>
      <c r="DK14" s="7">
        <v>4000</v>
      </c>
      <c r="DL14" s="7">
        <v>5000</v>
      </c>
      <c r="DM14" s="7">
        <v>0</v>
      </c>
      <c r="DN14" s="7">
        <f t="shared" si="15"/>
        <v>12000</v>
      </c>
      <c r="DO14" s="7">
        <v>12000</v>
      </c>
      <c r="DP14" s="7">
        <v>0</v>
      </c>
      <c r="DQ14" s="7">
        <v>0</v>
      </c>
      <c r="DR14" s="7">
        <v>0</v>
      </c>
      <c r="DS14" s="7">
        <v>0</v>
      </c>
      <c r="DT14" s="7">
        <v>0</v>
      </c>
      <c r="DU14" s="7">
        <v>0</v>
      </c>
      <c r="DV14" s="7">
        <v>0</v>
      </c>
      <c r="DW14" s="7">
        <v>0</v>
      </c>
      <c r="DX14" s="7">
        <v>0</v>
      </c>
      <c r="DY14" s="7">
        <v>0</v>
      </c>
    </row>
    <row r="15" spans="1:129" ht="15" customHeight="1">
      <c r="A15" s="4" t="s">
        <v>1938</v>
      </c>
      <c r="B15" s="7">
        <f t="shared" si="0"/>
        <v>14586962</v>
      </c>
      <c r="C15" s="7">
        <f t="shared" si="1"/>
        <v>10783369</v>
      </c>
      <c r="D15" s="7">
        <f t="shared" si="2"/>
        <v>8640504</v>
      </c>
      <c r="E15" s="7">
        <f t="shared" si="9"/>
        <v>2982371</v>
      </c>
      <c r="F15" s="7">
        <v>1706937</v>
      </c>
      <c r="G15" s="7">
        <v>33082</v>
      </c>
      <c r="H15" s="7">
        <v>0</v>
      </c>
      <c r="I15" s="7">
        <v>53148</v>
      </c>
      <c r="J15" s="7">
        <v>54920</v>
      </c>
      <c r="K15" s="7">
        <v>81494</v>
      </c>
      <c r="L15" s="7">
        <v>310158</v>
      </c>
      <c r="M15" s="7">
        <v>73521</v>
      </c>
      <c r="N15" s="7">
        <v>45176</v>
      </c>
      <c r="O15" s="7">
        <v>28000</v>
      </c>
      <c r="P15" s="7">
        <v>595935</v>
      </c>
      <c r="Q15" s="7">
        <f t="shared" si="10"/>
        <v>1469035</v>
      </c>
      <c r="R15" s="7">
        <v>101929</v>
      </c>
      <c r="S15" s="7">
        <v>0</v>
      </c>
      <c r="T15" s="7">
        <v>99210</v>
      </c>
      <c r="U15" s="7">
        <v>280250</v>
      </c>
      <c r="V15" s="7">
        <v>84520</v>
      </c>
      <c r="W15" s="7">
        <v>32148</v>
      </c>
      <c r="X15" s="7">
        <v>3150</v>
      </c>
      <c r="Y15" s="7">
        <v>81500</v>
      </c>
      <c r="Z15" s="7">
        <v>0</v>
      </c>
      <c r="AA15" s="7">
        <v>28300</v>
      </c>
      <c r="AB15" s="7">
        <v>14024</v>
      </c>
      <c r="AC15" s="7">
        <v>65464</v>
      </c>
      <c r="AD15" s="7">
        <v>593486</v>
      </c>
      <c r="AE15" s="7">
        <v>11390</v>
      </c>
      <c r="AF15" s="7">
        <v>70864</v>
      </c>
      <c r="AG15" s="7">
        <v>2800</v>
      </c>
      <c r="AH15" s="7">
        <v>3919596</v>
      </c>
      <c r="AI15" s="7">
        <v>208582</v>
      </c>
      <c r="AJ15" s="7">
        <v>0</v>
      </c>
      <c r="AK15" s="7">
        <f t="shared" si="3"/>
        <v>60920</v>
      </c>
      <c r="AL15" s="7">
        <v>40020</v>
      </c>
      <c r="AM15" s="7">
        <v>20900</v>
      </c>
      <c r="AN15" s="7">
        <v>0</v>
      </c>
      <c r="AO15" s="7">
        <v>0</v>
      </c>
      <c r="AP15" s="7">
        <v>0</v>
      </c>
      <c r="AQ15" s="7">
        <v>0</v>
      </c>
      <c r="AR15" s="7">
        <v>0</v>
      </c>
      <c r="AS15" s="7">
        <f t="shared" si="11"/>
        <v>2050565</v>
      </c>
      <c r="AT15" s="7">
        <v>0</v>
      </c>
      <c r="AU15" s="7">
        <v>0</v>
      </c>
      <c r="AV15" s="7">
        <v>0</v>
      </c>
      <c r="AW15" s="7">
        <v>0</v>
      </c>
      <c r="AX15" s="7">
        <v>0</v>
      </c>
      <c r="AY15" s="7">
        <v>0</v>
      </c>
      <c r="AZ15" s="7">
        <v>214364</v>
      </c>
      <c r="BA15" s="7">
        <v>930388</v>
      </c>
      <c r="BB15" s="7">
        <v>752713</v>
      </c>
      <c r="BC15" s="7">
        <v>0</v>
      </c>
      <c r="BD15" s="7">
        <v>80000</v>
      </c>
      <c r="BE15" s="7">
        <v>0</v>
      </c>
      <c r="BF15" s="7">
        <v>20000</v>
      </c>
      <c r="BG15" s="7">
        <v>33000</v>
      </c>
      <c r="BH15" s="7">
        <v>20100</v>
      </c>
      <c r="BI15" s="7">
        <v>0</v>
      </c>
      <c r="BJ15" s="7">
        <v>0</v>
      </c>
      <c r="BK15" s="7">
        <v>0</v>
      </c>
      <c r="BL15" s="7">
        <v>0</v>
      </c>
      <c r="BM15" s="7">
        <v>0</v>
      </c>
      <c r="BN15" s="7">
        <f t="shared" si="4"/>
        <v>92300</v>
      </c>
      <c r="BO15" s="7">
        <v>0</v>
      </c>
      <c r="BP15" s="7">
        <v>92300</v>
      </c>
      <c r="BQ15" s="7">
        <v>0</v>
      </c>
      <c r="BR15" s="7">
        <v>0</v>
      </c>
      <c r="BS15" s="7">
        <v>0</v>
      </c>
      <c r="BT15" s="7">
        <v>0</v>
      </c>
      <c r="BU15" s="7">
        <v>0</v>
      </c>
      <c r="BV15" s="7">
        <v>0</v>
      </c>
      <c r="BW15" s="7">
        <f t="shared" si="5"/>
        <v>3803593</v>
      </c>
      <c r="BX15" s="7">
        <f t="shared" si="6"/>
        <v>0</v>
      </c>
      <c r="BY15" s="7">
        <v>0</v>
      </c>
      <c r="BZ15" s="7">
        <v>0</v>
      </c>
      <c r="CA15" s="7">
        <v>0</v>
      </c>
      <c r="CB15" s="7">
        <v>0</v>
      </c>
      <c r="CC15" s="7">
        <v>0</v>
      </c>
      <c r="CD15" s="7">
        <v>0</v>
      </c>
      <c r="CE15" s="7">
        <v>0</v>
      </c>
      <c r="CF15" s="7">
        <v>0</v>
      </c>
      <c r="CG15" s="7">
        <f t="shared" si="12"/>
        <v>3284051</v>
      </c>
      <c r="CH15" s="7">
        <v>4967152</v>
      </c>
      <c r="CI15" s="7">
        <f t="shared" si="7"/>
        <v>3284051</v>
      </c>
      <c r="CJ15" s="7">
        <v>0</v>
      </c>
      <c r="CK15" s="7">
        <f t="shared" si="8"/>
        <v>235947</v>
      </c>
      <c r="CL15" s="7">
        <v>0</v>
      </c>
      <c r="CM15" s="7">
        <v>0</v>
      </c>
      <c r="CN15" s="7">
        <v>235947</v>
      </c>
      <c r="CO15" s="7">
        <v>0</v>
      </c>
      <c r="CP15" s="7">
        <v>0</v>
      </c>
      <c r="CQ15" s="7">
        <v>0</v>
      </c>
      <c r="CR15" s="7">
        <v>0</v>
      </c>
      <c r="CS15" s="7">
        <f t="shared" si="13"/>
        <v>0</v>
      </c>
      <c r="CT15" s="7">
        <v>0</v>
      </c>
      <c r="CU15" s="7">
        <v>0</v>
      </c>
      <c r="CV15" s="7">
        <v>0</v>
      </c>
      <c r="CW15" s="7">
        <v>0</v>
      </c>
      <c r="CX15" s="7">
        <v>0</v>
      </c>
      <c r="CY15" s="7">
        <v>0</v>
      </c>
      <c r="CZ15" s="7">
        <v>0</v>
      </c>
      <c r="DA15" s="7">
        <f t="shared" si="14"/>
        <v>191114</v>
      </c>
      <c r="DB15" s="7">
        <v>191114</v>
      </c>
      <c r="DC15" s="7">
        <v>0</v>
      </c>
      <c r="DD15" s="7">
        <v>0</v>
      </c>
      <c r="DE15" s="7">
        <v>0</v>
      </c>
      <c r="DF15" s="7">
        <v>0</v>
      </c>
      <c r="DG15" s="7">
        <v>0</v>
      </c>
      <c r="DH15" s="7">
        <v>0</v>
      </c>
      <c r="DI15" s="7">
        <v>0</v>
      </c>
      <c r="DJ15" s="7">
        <v>0</v>
      </c>
      <c r="DK15" s="7">
        <v>0</v>
      </c>
      <c r="DL15" s="7">
        <v>0</v>
      </c>
      <c r="DM15" s="7">
        <v>0</v>
      </c>
      <c r="DN15" s="7">
        <f t="shared" si="15"/>
        <v>92481</v>
      </c>
      <c r="DO15" s="7">
        <v>3000</v>
      </c>
      <c r="DP15" s="7">
        <v>0</v>
      </c>
      <c r="DQ15" s="7">
        <v>25310</v>
      </c>
      <c r="DR15" s="7">
        <v>64171</v>
      </c>
      <c r="DS15" s="7">
        <v>0</v>
      </c>
      <c r="DT15" s="7">
        <v>0</v>
      </c>
      <c r="DU15" s="7">
        <v>0</v>
      </c>
      <c r="DV15" s="7">
        <v>0</v>
      </c>
      <c r="DW15" s="7">
        <v>0</v>
      </c>
      <c r="DX15" s="7">
        <v>0</v>
      </c>
      <c r="DY15" s="7">
        <v>0</v>
      </c>
    </row>
    <row r="16" spans="1:129" ht="15" customHeight="1">
      <c r="A16" s="4" t="s">
        <v>440</v>
      </c>
      <c r="B16" s="7">
        <f t="shared" si="0"/>
        <v>18968716</v>
      </c>
      <c r="C16" s="7">
        <f t="shared" si="1"/>
        <v>10149065</v>
      </c>
      <c r="D16" s="7">
        <f t="shared" si="2"/>
        <v>7299283</v>
      </c>
      <c r="E16" s="7">
        <f t="shared" si="9"/>
        <v>4609372</v>
      </c>
      <c r="F16" s="7">
        <v>2548458</v>
      </c>
      <c r="G16" s="7">
        <v>37610</v>
      </c>
      <c r="H16" s="7">
        <v>277629</v>
      </c>
      <c r="I16" s="7">
        <v>79350</v>
      </c>
      <c r="J16" s="7">
        <v>81995</v>
      </c>
      <c r="K16" s="7">
        <v>121670</v>
      </c>
      <c r="L16" s="7">
        <v>415207</v>
      </c>
      <c r="M16" s="7">
        <v>109768</v>
      </c>
      <c r="N16" s="7">
        <v>60835</v>
      </c>
      <c r="O16" s="7">
        <v>26125</v>
      </c>
      <c r="P16" s="7">
        <v>850725</v>
      </c>
      <c r="Q16" s="7">
        <f t="shared" si="10"/>
        <v>1860681</v>
      </c>
      <c r="R16" s="7">
        <v>863833</v>
      </c>
      <c r="S16" s="7">
        <v>0</v>
      </c>
      <c r="T16" s="7">
        <v>142831</v>
      </c>
      <c r="U16" s="7">
        <v>342000</v>
      </c>
      <c r="V16" s="7">
        <v>109876</v>
      </c>
      <c r="W16" s="7">
        <v>58135</v>
      </c>
      <c r="X16" s="7">
        <v>20850</v>
      </c>
      <c r="Y16" s="7">
        <v>18000</v>
      </c>
      <c r="Z16" s="7">
        <v>0</v>
      </c>
      <c r="AA16" s="7">
        <v>2000</v>
      </c>
      <c r="AB16" s="7">
        <v>65312</v>
      </c>
      <c r="AC16" s="7">
        <v>105154</v>
      </c>
      <c r="AD16" s="7">
        <v>0</v>
      </c>
      <c r="AE16" s="7">
        <v>19890</v>
      </c>
      <c r="AF16" s="7">
        <v>105800</v>
      </c>
      <c r="AG16" s="7">
        <v>7000</v>
      </c>
      <c r="AH16" s="7">
        <v>0</v>
      </c>
      <c r="AI16" s="7">
        <v>0</v>
      </c>
      <c r="AJ16" s="7">
        <v>726430</v>
      </c>
      <c r="AK16" s="7">
        <f t="shared" si="3"/>
        <v>102800</v>
      </c>
      <c r="AL16" s="7">
        <v>68700</v>
      </c>
      <c r="AM16" s="7">
        <v>34100</v>
      </c>
      <c r="AN16" s="7">
        <v>0</v>
      </c>
      <c r="AO16" s="7">
        <v>0</v>
      </c>
      <c r="AP16" s="7">
        <v>0</v>
      </c>
      <c r="AQ16" s="7">
        <v>0</v>
      </c>
      <c r="AR16" s="7">
        <v>0</v>
      </c>
      <c r="AS16" s="7">
        <f t="shared" si="11"/>
        <v>2592782</v>
      </c>
      <c r="AT16" s="7">
        <v>0</v>
      </c>
      <c r="AU16" s="7">
        <v>0</v>
      </c>
      <c r="AV16" s="7">
        <v>0</v>
      </c>
      <c r="AW16" s="7">
        <v>0</v>
      </c>
      <c r="AX16" s="7">
        <v>0</v>
      </c>
      <c r="AY16" s="7">
        <v>0</v>
      </c>
      <c r="AZ16" s="7">
        <v>310000</v>
      </c>
      <c r="BA16" s="7">
        <v>1453747</v>
      </c>
      <c r="BB16" s="7">
        <v>487785</v>
      </c>
      <c r="BC16" s="7">
        <v>210000</v>
      </c>
      <c r="BD16" s="7">
        <v>80000</v>
      </c>
      <c r="BE16" s="7">
        <v>0</v>
      </c>
      <c r="BF16" s="7">
        <v>20000</v>
      </c>
      <c r="BG16" s="7">
        <v>31250</v>
      </c>
      <c r="BH16" s="7">
        <v>0</v>
      </c>
      <c r="BI16" s="7">
        <v>0</v>
      </c>
      <c r="BJ16" s="7">
        <v>0</v>
      </c>
      <c r="BK16" s="7">
        <v>0</v>
      </c>
      <c r="BL16" s="7">
        <v>0</v>
      </c>
      <c r="BM16" s="7">
        <v>0</v>
      </c>
      <c r="BN16" s="7">
        <f t="shared" si="4"/>
        <v>257000</v>
      </c>
      <c r="BO16" s="7">
        <v>0</v>
      </c>
      <c r="BP16" s="7">
        <v>0</v>
      </c>
      <c r="BQ16" s="7">
        <v>257000</v>
      </c>
      <c r="BR16" s="7">
        <v>0</v>
      </c>
      <c r="BS16" s="7">
        <v>0</v>
      </c>
      <c r="BT16" s="7">
        <v>0</v>
      </c>
      <c r="BU16" s="7">
        <v>0</v>
      </c>
      <c r="BV16" s="7">
        <v>0</v>
      </c>
      <c r="BW16" s="7">
        <f t="shared" si="5"/>
        <v>8819651</v>
      </c>
      <c r="BX16" s="7">
        <f t="shared" si="6"/>
        <v>0</v>
      </c>
      <c r="BY16" s="7">
        <v>0</v>
      </c>
      <c r="BZ16" s="7">
        <v>0</v>
      </c>
      <c r="CA16" s="7">
        <v>0</v>
      </c>
      <c r="CB16" s="7">
        <v>0</v>
      </c>
      <c r="CC16" s="7">
        <v>0</v>
      </c>
      <c r="CD16" s="7">
        <v>0</v>
      </c>
      <c r="CE16" s="7">
        <v>0</v>
      </c>
      <c r="CF16" s="7">
        <v>0</v>
      </c>
      <c r="CG16" s="7">
        <f t="shared" si="12"/>
        <v>7740501</v>
      </c>
      <c r="CH16" s="7">
        <v>9682033</v>
      </c>
      <c r="CI16" s="7">
        <f t="shared" si="7"/>
        <v>7740501</v>
      </c>
      <c r="CJ16" s="7">
        <v>0</v>
      </c>
      <c r="CK16" s="7">
        <f t="shared" si="8"/>
        <v>23700</v>
      </c>
      <c r="CL16" s="7">
        <v>12000</v>
      </c>
      <c r="CM16" s="7">
        <v>11700</v>
      </c>
      <c r="CN16" s="7">
        <v>0</v>
      </c>
      <c r="CO16" s="7">
        <v>0</v>
      </c>
      <c r="CP16" s="7">
        <v>0</v>
      </c>
      <c r="CQ16" s="7">
        <v>0</v>
      </c>
      <c r="CR16" s="7">
        <v>0</v>
      </c>
      <c r="CS16" s="7">
        <f t="shared" si="13"/>
        <v>1030350</v>
      </c>
      <c r="CT16" s="7">
        <v>926600</v>
      </c>
      <c r="CU16" s="7">
        <v>0</v>
      </c>
      <c r="CV16" s="7">
        <v>49630</v>
      </c>
      <c r="CW16" s="7">
        <v>54120</v>
      </c>
      <c r="CX16" s="7">
        <v>0</v>
      </c>
      <c r="CY16" s="7">
        <v>0</v>
      </c>
      <c r="CZ16" s="7">
        <v>0</v>
      </c>
      <c r="DA16" s="7">
        <f t="shared" si="14"/>
        <v>16600</v>
      </c>
      <c r="DB16" s="7">
        <v>0</v>
      </c>
      <c r="DC16" s="7">
        <v>0</v>
      </c>
      <c r="DD16" s="7">
        <v>0</v>
      </c>
      <c r="DE16" s="7">
        <v>0</v>
      </c>
      <c r="DF16" s="7">
        <v>0</v>
      </c>
      <c r="DG16" s="7">
        <v>0</v>
      </c>
      <c r="DH16" s="7">
        <v>0</v>
      </c>
      <c r="DI16" s="7">
        <v>1600</v>
      </c>
      <c r="DJ16" s="7">
        <v>15000</v>
      </c>
      <c r="DK16" s="7">
        <v>0</v>
      </c>
      <c r="DL16" s="7">
        <v>0</v>
      </c>
      <c r="DM16" s="7">
        <v>0</v>
      </c>
      <c r="DN16" s="7">
        <f t="shared" si="15"/>
        <v>8500</v>
      </c>
      <c r="DO16" s="7">
        <v>0</v>
      </c>
      <c r="DP16" s="7">
        <v>0</v>
      </c>
      <c r="DQ16" s="7">
        <v>6000</v>
      </c>
      <c r="DR16" s="7">
        <v>2500</v>
      </c>
      <c r="DS16" s="7">
        <v>0</v>
      </c>
      <c r="DT16" s="7">
        <v>0</v>
      </c>
      <c r="DU16" s="7">
        <v>0</v>
      </c>
      <c r="DV16" s="7">
        <v>0</v>
      </c>
      <c r="DW16" s="7">
        <v>0</v>
      </c>
      <c r="DX16" s="7">
        <v>0</v>
      </c>
      <c r="DY16" s="7">
        <v>0</v>
      </c>
    </row>
    <row r="17" spans="1:129" ht="15" customHeight="1">
      <c r="A17" s="4" t="s">
        <v>441</v>
      </c>
      <c r="B17" s="7">
        <f t="shared" si="0"/>
        <v>137386793</v>
      </c>
      <c r="C17" s="7">
        <f t="shared" si="1"/>
        <v>49887586</v>
      </c>
      <c r="D17" s="7">
        <f t="shared" si="2"/>
        <v>37156091</v>
      </c>
      <c r="E17" s="7">
        <f>SUM(F17:P17)</f>
        <v>11638791</v>
      </c>
      <c r="F17" s="7">
        <v>4348276</v>
      </c>
      <c r="G17" s="7">
        <v>0</v>
      </c>
      <c r="H17" s="7">
        <v>986164</v>
      </c>
      <c r="I17" s="7">
        <v>135390</v>
      </c>
      <c r="J17" s="7">
        <v>139903</v>
      </c>
      <c r="K17" s="7">
        <v>207598</v>
      </c>
      <c r="L17" s="7">
        <v>1345476</v>
      </c>
      <c r="M17" s="7">
        <v>187290</v>
      </c>
      <c r="N17" s="7">
        <v>88004</v>
      </c>
      <c r="O17" s="7">
        <v>30000</v>
      </c>
      <c r="P17" s="7">
        <v>4170690</v>
      </c>
      <c r="Q17" s="7">
        <f t="shared" si="10"/>
        <v>6596355</v>
      </c>
      <c r="R17" s="7">
        <v>1284632</v>
      </c>
      <c r="S17" s="7">
        <v>420000</v>
      </c>
      <c r="T17" s="7">
        <v>331706</v>
      </c>
      <c r="U17" s="7">
        <v>836000</v>
      </c>
      <c r="V17" s="7">
        <v>528250</v>
      </c>
      <c r="W17" s="7">
        <v>94353</v>
      </c>
      <c r="X17" s="7">
        <v>750</v>
      </c>
      <c r="Y17" s="7">
        <v>851750</v>
      </c>
      <c r="Z17" s="7">
        <v>364</v>
      </c>
      <c r="AA17" s="7">
        <v>200</v>
      </c>
      <c r="AB17" s="7">
        <v>400094</v>
      </c>
      <c r="AC17" s="7">
        <v>81426</v>
      </c>
      <c r="AD17" s="7">
        <v>1511855</v>
      </c>
      <c r="AE17" s="7">
        <v>44155</v>
      </c>
      <c r="AF17" s="7">
        <v>183520</v>
      </c>
      <c r="AG17" s="7">
        <v>27300</v>
      </c>
      <c r="AH17" s="7">
        <v>13781753</v>
      </c>
      <c r="AI17" s="7">
        <v>4758592</v>
      </c>
      <c r="AJ17" s="7">
        <v>0</v>
      </c>
      <c r="AK17" s="7">
        <f t="shared" si="3"/>
        <v>380600</v>
      </c>
      <c r="AL17" s="7">
        <v>285900</v>
      </c>
      <c r="AM17" s="7">
        <v>94700</v>
      </c>
      <c r="AN17" s="7">
        <v>0</v>
      </c>
      <c r="AO17" s="7">
        <v>0</v>
      </c>
      <c r="AP17" s="7">
        <v>0</v>
      </c>
      <c r="AQ17" s="7">
        <v>0</v>
      </c>
      <c r="AR17" s="7">
        <v>0</v>
      </c>
      <c r="AS17" s="7">
        <f t="shared" si="11"/>
        <v>11556495</v>
      </c>
      <c r="AT17" s="7">
        <v>2970000</v>
      </c>
      <c r="AU17" s="7">
        <v>0</v>
      </c>
      <c r="AV17" s="7">
        <v>0</v>
      </c>
      <c r="AW17" s="7">
        <v>0</v>
      </c>
      <c r="AX17" s="7">
        <v>0</v>
      </c>
      <c r="AY17" s="7">
        <v>0</v>
      </c>
      <c r="AZ17" s="7">
        <v>1200000</v>
      </c>
      <c r="BA17" s="7">
        <v>527518</v>
      </c>
      <c r="BB17" s="7">
        <v>318474</v>
      </c>
      <c r="BC17" s="7">
        <v>268903</v>
      </c>
      <c r="BD17" s="7">
        <v>240000</v>
      </c>
      <c r="BE17" s="7">
        <v>0</v>
      </c>
      <c r="BF17" s="7">
        <v>20000</v>
      </c>
      <c r="BG17" s="7">
        <v>135000</v>
      </c>
      <c r="BH17" s="7">
        <v>26600</v>
      </c>
      <c r="BI17" s="7">
        <v>4502000</v>
      </c>
      <c r="BJ17" s="7">
        <v>750000</v>
      </c>
      <c r="BK17" s="7">
        <v>30000</v>
      </c>
      <c r="BL17" s="7">
        <v>60000</v>
      </c>
      <c r="BM17" s="7">
        <v>508000</v>
      </c>
      <c r="BN17" s="7">
        <f t="shared" si="4"/>
        <v>1175000</v>
      </c>
      <c r="BO17" s="7">
        <v>0</v>
      </c>
      <c r="BP17" s="7">
        <v>1175000</v>
      </c>
      <c r="BQ17" s="7">
        <v>0</v>
      </c>
      <c r="BR17" s="7">
        <v>0</v>
      </c>
      <c r="BS17" s="7">
        <v>0</v>
      </c>
      <c r="BT17" s="7">
        <v>0</v>
      </c>
      <c r="BU17" s="7">
        <v>0</v>
      </c>
      <c r="BV17" s="7">
        <v>0</v>
      </c>
      <c r="BW17" s="7">
        <f t="shared" si="5"/>
        <v>87499207</v>
      </c>
      <c r="BX17" s="7">
        <f>SUM(BY17:CF17)</f>
        <v>0</v>
      </c>
      <c r="BY17" s="7">
        <v>0</v>
      </c>
      <c r="BZ17" s="7">
        <v>0</v>
      </c>
      <c r="CA17" s="7">
        <v>0</v>
      </c>
      <c r="CB17" s="7">
        <v>0</v>
      </c>
      <c r="CC17" s="7">
        <v>0</v>
      </c>
      <c r="CD17" s="7">
        <v>0</v>
      </c>
      <c r="CE17" s="7">
        <v>0</v>
      </c>
      <c r="CF17" s="7">
        <v>0</v>
      </c>
      <c r="CG17" s="7">
        <f t="shared" si="12"/>
        <v>3050784</v>
      </c>
      <c r="CH17" s="7">
        <v>3499776</v>
      </c>
      <c r="CI17" s="7">
        <f t="shared" si="7"/>
        <v>2653784</v>
      </c>
      <c r="CJ17" s="7">
        <v>397000</v>
      </c>
      <c r="CK17" s="7">
        <f t="shared" si="8"/>
        <v>0</v>
      </c>
      <c r="CL17" s="7">
        <v>0</v>
      </c>
      <c r="CM17" s="7">
        <v>0</v>
      </c>
      <c r="CN17" s="7">
        <v>0</v>
      </c>
      <c r="CO17" s="7">
        <v>0</v>
      </c>
      <c r="CP17" s="7">
        <v>0</v>
      </c>
      <c r="CQ17" s="7">
        <v>0</v>
      </c>
      <c r="CR17" s="7">
        <v>0</v>
      </c>
      <c r="CS17" s="7">
        <f t="shared" si="13"/>
        <v>79528847</v>
      </c>
      <c r="CT17" s="7">
        <v>67253071</v>
      </c>
      <c r="CU17" s="7">
        <v>4676059</v>
      </c>
      <c r="CV17" s="7">
        <v>1300000</v>
      </c>
      <c r="CW17" s="7">
        <v>2705014</v>
      </c>
      <c r="CX17" s="7">
        <v>0</v>
      </c>
      <c r="CY17" s="7">
        <v>0</v>
      </c>
      <c r="CZ17" s="7">
        <v>3594703</v>
      </c>
      <c r="DA17" s="7">
        <f>SUM(DB17:DM17)</f>
        <v>4519576</v>
      </c>
      <c r="DB17" s="7">
        <v>0</v>
      </c>
      <c r="DC17" s="7">
        <v>0</v>
      </c>
      <c r="DD17" s="7">
        <v>0</v>
      </c>
      <c r="DE17" s="7">
        <v>0</v>
      </c>
      <c r="DF17" s="7">
        <v>0</v>
      </c>
      <c r="DG17" s="7">
        <v>3240000</v>
      </c>
      <c r="DH17" s="7">
        <v>0</v>
      </c>
      <c r="DI17" s="7">
        <v>1214576</v>
      </c>
      <c r="DJ17" s="7">
        <v>15000</v>
      </c>
      <c r="DK17" s="7">
        <v>50000</v>
      </c>
      <c r="DL17" s="7">
        <v>0</v>
      </c>
      <c r="DM17" s="7">
        <v>0</v>
      </c>
      <c r="DN17" s="7">
        <f>SUM(DO17:DY17)</f>
        <v>400000</v>
      </c>
      <c r="DO17" s="7">
        <v>400000</v>
      </c>
      <c r="DP17" s="7">
        <v>0</v>
      </c>
      <c r="DQ17" s="7">
        <v>0</v>
      </c>
      <c r="DR17" s="7">
        <v>0</v>
      </c>
      <c r="DS17" s="7">
        <v>0</v>
      </c>
      <c r="DT17" s="7">
        <v>0</v>
      </c>
      <c r="DU17" s="7">
        <v>0</v>
      </c>
      <c r="DV17" s="7">
        <v>0</v>
      </c>
      <c r="DW17" s="7">
        <v>0</v>
      </c>
      <c r="DX17" s="7">
        <v>0</v>
      </c>
      <c r="DY17" s="7">
        <v>0</v>
      </c>
    </row>
    <row r="18" spans="1:129" ht="15" customHeight="1">
      <c r="A18" s="4" t="s">
        <v>1939</v>
      </c>
      <c r="B18" s="7">
        <f t="shared" si="0"/>
        <v>50045863</v>
      </c>
      <c r="C18" s="7">
        <f t="shared" si="1"/>
        <v>33435082</v>
      </c>
      <c r="D18" s="7">
        <f t="shared" si="2"/>
        <v>28318466</v>
      </c>
      <c r="E18" s="7">
        <f t="shared" si="9"/>
        <v>13047972</v>
      </c>
      <c r="F18" s="7">
        <v>8218462</v>
      </c>
      <c r="G18" s="7">
        <v>0</v>
      </c>
      <c r="H18" s="7">
        <v>195214</v>
      </c>
      <c r="I18" s="7">
        <v>255894</v>
      </c>
      <c r="J18" s="7">
        <v>264424</v>
      </c>
      <c r="K18" s="7">
        <v>392371</v>
      </c>
      <c r="L18" s="7">
        <v>1365130</v>
      </c>
      <c r="M18" s="7">
        <v>353987</v>
      </c>
      <c r="N18" s="7">
        <v>196185</v>
      </c>
      <c r="O18" s="7">
        <v>91175</v>
      </c>
      <c r="P18" s="7">
        <v>1715130</v>
      </c>
      <c r="Q18" s="7">
        <f t="shared" si="10"/>
        <v>4922836</v>
      </c>
      <c r="R18" s="7">
        <v>1528305</v>
      </c>
      <c r="S18" s="7">
        <v>0</v>
      </c>
      <c r="T18" s="7">
        <v>319868</v>
      </c>
      <c r="U18" s="7">
        <v>774250</v>
      </c>
      <c r="V18" s="7">
        <v>824070</v>
      </c>
      <c r="W18" s="7">
        <v>323070</v>
      </c>
      <c r="X18" s="7">
        <v>570950</v>
      </c>
      <c r="Y18" s="7">
        <v>27000</v>
      </c>
      <c r="Z18" s="7">
        <v>13351</v>
      </c>
      <c r="AA18" s="7">
        <v>4600</v>
      </c>
      <c r="AB18" s="7">
        <v>24760</v>
      </c>
      <c r="AC18" s="7">
        <v>102560</v>
      </c>
      <c r="AD18" s="7">
        <v>0</v>
      </c>
      <c r="AE18" s="7">
        <v>59760</v>
      </c>
      <c r="AF18" s="7">
        <v>341192</v>
      </c>
      <c r="AG18" s="7">
        <v>9100</v>
      </c>
      <c r="AH18" s="7">
        <v>10221918</v>
      </c>
      <c r="AI18" s="7">
        <v>0</v>
      </c>
      <c r="AJ18" s="7">
        <v>0</v>
      </c>
      <c r="AK18" s="7">
        <f t="shared" si="3"/>
        <v>125740</v>
      </c>
      <c r="AL18" s="7">
        <v>101340</v>
      </c>
      <c r="AM18" s="7">
        <v>24400</v>
      </c>
      <c r="AN18" s="7">
        <v>0</v>
      </c>
      <c r="AO18" s="7">
        <v>0</v>
      </c>
      <c r="AP18" s="7">
        <v>0</v>
      </c>
      <c r="AQ18" s="7">
        <v>0</v>
      </c>
      <c r="AR18" s="7">
        <v>0</v>
      </c>
      <c r="AS18" s="7">
        <f t="shared" si="11"/>
        <v>5116616</v>
      </c>
      <c r="AT18" s="7">
        <v>0</v>
      </c>
      <c r="AU18" s="7">
        <v>0</v>
      </c>
      <c r="AV18" s="7">
        <v>0</v>
      </c>
      <c r="AW18" s="7">
        <v>0</v>
      </c>
      <c r="AX18" s="7">
        <v>0</v>
      </c>
      <c r="AY18" s="7">
        <v>0</v>
      </c>
      <c r="AZ18" s="7">
        <v>780000</v>
      </c>
      <c r="BA18" s="7">
        <v>3296414</v>
      </c>
      <c r="BB18" s="7">
        <v>646173</v>
      </c>
      <c r="BC18" s="7">
        <v>372943</v>
      </c>
      <c r="BD18" s="7">
        <v>0</v>
      </c>
      <c r="BE18" s="7">
        <v>0</v>
      </c>
      <c r="BF18" s="7">
        <v>21086</v>
      </c>
      <c r="BG18" s="7">
        <v>0</v>
      </c>
      <c r="BH18" s="7">
        <v>0</v>
      </c>
      <c r="BI18" s="7">
        <v>0</v>
      </c>
      <c r="BJ18" s="7">
        <v>0</v>
      </c>
      <c r="BK18" s="7">
        <v>0</v>
      </c>
      <c r="BL18" s="7">
        <v>0</v>
      </c>
      <c r="BM18" s="7">
        <v>0</v>
      </c>
      <c r="BN18" s="7">
        <f t="shared" si="4"/>
        <v>0</v>
      </c>
      <c r="BO18" s="7">
        <v>0</v>
      </c>
      <c r="BP18" s="7">
        <v>0</v>
      </c>
      <c r="BQ18" s="7">
        <v>0</v>
      </c>
      <c r="BR18" s="7">
        <v>0</v>
      </c>
      <c r="BS18" s="7">
        <v>0</v>
      </c>
      <c r="BT18" s="7">
        <v>0</v>
      </c>
      <c r="BU18" s="7">
        <v>0</v>
      </c>
      <c r="BV18" s="7">
        <v>0</v>
      </c>
      <c r="BW18" s="7">
        <f t="shared" si="5"/>
        <v>16610781</v>
      </c>
      <c r="BX18" s="7">
        <f t="shared" si="6"/>
        <v>0</v>
      </c>
      <c r="BY18" s="7">
        <v>0</v>
      </c>
      <c r="BZ18" s="7">
        <v>0</v>
      </c>
      <c r="CA18" s="7">
        <v>0</v>
      </c>
      <c r="CB18" s="7">
        <v>0</v>
      </c>
      <c r="CC18" s="7">
        <v>0</v>
      </c>
      <c r="CD18" s="7">
        <v>0</v>
      </c>
      <c r="CE18" s="7">
        <v>0</v>
      </c>
      <c r="CF18" s="7">
        <v>0</v>
      </c>
      <c r="CG18" s="7">
        <f t="shared" si="12"/>
        <v>15790781</v>
      </c>
      <c r="CH18" s="7">
        <v>19733368</v>
      </c>
      <c r="CI18" s="7">
        <f t="shared" si="7"/>
        <v>15790781</v>
      </c>
      <c r="CJ18" s="7">
        <v>0</v>
      </c>
      <c r="CK18" s="7">
        <f t="shared" si="8"/>
        <v>400000</v>
      </c>
      <c r="CL18" s="7">
        <v>0</v>
      </c>
      <c r="CM18" s="7">
        <v>20000</v>
      </c>
      <c r="CN18" s="7">
        <v>380000</v>
      </c>
      <c r="CO18" s="7">
        <v>0</v>
      </c>
      <c r="CP18" s="7">
        <v>0</v>
      </c>
      <c r="CQ18" s="7">
        <v>0</v>
      </c>
      <c r="CR18" s="7">
        <v>0</v>
      </c>
      <c r="CS18" s="7">
        <f t="shared" si="13"/>
        <v>0</v>
      </c>
      <c r="CT18" s="7">
        <v>0</v>
      </c>
      <c r="CU18" s="7">
        <v>0</v>
      </c>
      <c r="CV18" s="7">
        <v>0</v>
      </c>
      <c r="CW18" s="7">
        <v>0</v>
      </c>
      <c r="CX18" s="7">
        <v>0</v>
      </c>
      <c r="CY18" s="7">
        <v>0</v>
      </c>
      <c r="CZ18" s="7">
        <v>0</v>
      </c>
      <c r="DA18" s="7">
        <f t="shared" si="14"/>
        <v>10000</v>
      </c>
      <c r="DB18" s="7">
        <v>10000</v>
      </c>
      <c r="DC18" s="7">
        <v>0</v>
      </c>
      <c r="DD18" s="7">
        <v>0</v>
      </c>
      <c r="DE18" s="7">
        <v>0</v>
      </c>
      <c r="DF18" s="7">
        <v>0</v>
      </c>
      <c r="DG18" s="7">
        <v>0</v>
      </c>
      <c r="DH18" s="7">
        <v>0</v>
      </c>
      <c r="DI18" s="7">
        <v>0</v>
      </c>
      <c r="DJ18" s="7">
        <v>0</v>
      </c>
      <c r="DK18" s="7">
        <v>0</v>
      </c>
      <c r="DL18" s="7">
        <v>0</v>
      </c>
      <c r="DM18" s="7">
        <v>0</v>
      </c>
      <c r="DN18" s="7">
        <f t="shared" si="15"/>
        <v>410000</v>
      </c>
      <c r="DO18" s="7">
        <v>15000</v>
      </c>
      <c r="DP18" s="7">
        <v>20000</v>
      </c>
      <c r="DQ18" s="7">
        <v>100000</v>
      </c>
      <c r="DR18" s="7">
        <v>50000</v>
      </c>
      <c r="DS18" s="7">
        <v>150000</v>
      </c>
      <c r="DT18" s="7">
        <v>25000</v>
      </c>
      <c r="DU18" s="7">
        <v>25000</v>
      </c>
      <c r="DV18" s="7">
        <v>25000</v>
      </c>
      <c r="DW18" s="7">
        <v>0</v>
      </c>
      <c r="DX18" s="7">
        <v>0</v>
      </c>
      <c r="DY18" s="7">
        <v>0</v>
      </c>
    </row>
    <row r="19" spans="1:129" ht="15" customHeight="1">
      <c r="A19" s="4" t="s">
        <v>1940</v>
      </c>
      <c r="B19" s="7">
        <f t="shared" si="0"/>
        <v>87815300</v>
      </c>
      <c r="C19" s="7">
        <f t="shared" si="1"/>
        <v>60979991</v>
      </c>
      <c r="D19" s="7">
        <f t="shared" si="2"/>
        <v>50703102</v>
      </c>
      <c r="E19" s="7">
        <f t="shared" si="9"/>
        <v>22950276</v>
      </c>
      <c r="F19" s="7">
        <v>14703395</v>
      </c>
      <c r="G19" s="7">
        <v>0</v>
      </c>
      <c r="H19" s="7">
        <v>239720</v>
      </c>
      <c r="I19" s="7">
        <v>457812</v>
      </c>
      <c r="J19" s="7">
        <v>473072</v>
      </c>
      <c r="K19" s="7">
        <v>701978</v>
      </c>
      <c r="L19" s="7">
        <v>2504189</v>
      </c>
      <c r="M19" s="7">
        <v>633307</v>
      </c>
      <c r="N19" s="7">
        <v>297578</v>
      </c>
      <c r="O19" s="7">
        <v>143375</v>
      </c>
      <c r="P19" s="7">
        <v>2795850</v>
      </c>
      <c r="Q19" s="7">
        <f t="shared" si="10"/>
        <v>8462923</v>
      </c>
      <c r="R19" s="7">
        <v>2675041</v>
      </c>
      <c r="S19" s="7">
        <v>0</v>
      </c>
      <c r="T19" s="7">
        <v>572265</v>
      </c>
      <c r="U19" s="7">
        <v>1444000</v>
      </c>
      <c r="V19" s="7">
        <v>1320625</v>
      </c>
      <c r="W19" s="7">
        <v>566721</v>
      </c>
      <c r="X19" s="7">
        <v>610300</v>
      </c>
      <c r="Y19" s="7">
        <v>171000</v>
      </c>
      <c r="Z19" s="7">
        <v>2072</v>
      </c>
      <c r="AA19" s="7">
        <v>22000</v>
      </c>
      <c r="AB19" s="7">
        <v>34118</v>
      </c>
      <c r="AC19" s="7">
        <v>303187</v>
      </c>
      <c r="AD19" s="7">
        <v>0</v>
      </c>
      <c r="AE19" s="7">
        <v>118578</v>
      </c>
      <c r="AF19" s="7">
        <v>610416</v>
      </c>
      <c r="AG19" s="7">
        <v>12600</v>
      </c>
      <c r="AH19" s="7">
        <v>19019903</v>
      </c>
      <c r="AI19" s="7">
        <v>0</v>
      </c>
      <c r="AJ19" s="7">
        <v>0</v>
      </c>
      <c r="AK19" s="7">
        <f t="shared" si="3"/>
        <v>270000</v>
      </c>
      <c r="AL19" s="7">
        <v>168900</v>
      </c>
      <c r="AM19" s="7">
        <v>101100</v>
      </c>
      <c r="AN19" s="7">
        <v>0</v>
      </c>
      <c r="AO19" s="7">
        <v>0</v>
      </c>
      <c r="AP19" s="7">
        <v>0</v>
      </c>
      <c r="AQ19" s="7">
        <v>0</v>
      </c>
      <c r="AR19" s="7">
        <v>0</v>
      </c>
      <c r="AS19" s="7">
        <f t="shared" si="11"/>
        <v>10276889</v>
      </c>
      <c r="AT19" s="7">
        <v>0</v>
      </c>
      <c r="AU19" s="7">
        <v>0</v>
      </c>
      <c r="AV19" s="7">
        <v>0</v>
      </c>
      <c r="AW19" s="7">
        <v>0</v>
      </c>
      <c r="AX19" s="7">
        <v>0</v>
      </c>
      <c r="AY19" s="7">
        <v>8000</v>
      </c>
      <c r="AZ19" s="7">
        <v>1415500</v>
      </c>
      <c r="BA19" s="7">
        <v>6323760</v>
      </c>
      <c r="BB19" s="7">
        <v>1493662</v>
      </c>
      <c r="BC19" s="7">
        <v>962067</v>
      </c>
      <c r="BD19" s="7">
        <v>0</v>
      </c>
      <c r="BE19" s="7">
        <v>0</v>
      </c>
      <c r="BF19" s="7">
        <v>35900</v>
      </c>
      <c r="BG19" s="7">
        <v>13000</v>
      </c>
      <c r="BH19" s="7">
        <v>10000</v>
      </c>
      <c r="BI19" s="7">
        <v>15000</v>
      </c>
      <c r="BJ19" s="7">
        <v>0</v>
      </c>
      <c r="BK19" s="7">
        <v>0</v>
      </c>
      <c r="BL19" s="7">
        <v>0</v>
      </c>
      <c r="BM19" s="7">
        <v>0</v>
      </c>
      <c r="BN19" s="7">
        <f t="shared" si="4"/>
        <v>0</v>
      </c>
      <c r="BO19" s="7">
        <v>0</v>
      </c>
      <c r="BP19" s="7">
        <v>0</v>
      </c>
      <c r="BQ19" s="7">
        <v>0</v>
      </c>
      <c r="BR19" s="7">
        <v>0</v>
      </c>
      <c r="BS19" s="7">
        <v>0</v>
      </c>
      <c r="BT19" s="7">
        <v>0</v>
      </c>
      <c r="BU19" s="7">
        <v>0</v>
      </c>
      <c r="BV19" s="7">
        <v>0</v>
      </c>
      <c r="BW19" s="7">
        <f t="shared" si="5"/>
        <v>26835309</v>
      </c>
      <c r="BX19" s="7">
        <f t="shared" si="6"/>
        <v>0</v>
      </c>
      <c r="BY19" s="7">
        <v>0</v>
      </c>
      <c r="BZ19" s="7">
        <v>0</v>
      </c>
      <c r="CA19" s="7">
        <v>0</v>
      </c>
      <c r="CB19" s="7">
        <v>0</v>
      </c>
      <c r="CC19" s="7">
        <v>0</v>
      </c>
      <c r="CD19" s="7">
        <v>0</v>
      </c>
      <c r="CE19" s="7">
        <v>0</v>
      </c>
      <c r="CF19" s="7">
        <v>0</v>
      </c>
      <c r="CG19" s="7">
        <f t="shared" si="12"/>
        <v>26220409</v>
      </c>
      <c r="CH19" s="7">
        <v>34037831</v>
      </c>
      <c r="CI19" s="7">
        <f t="shared" si="7"/>
        <v>26220409</v>
      </c>
      <c r="CJ19" s="7">
        <v>0</v>
      </c>
      <c r="CK19" s="7">
        <f t="shared" si="8"/>
        <v>80000</v>
      </c>
      <c r="CL19" s="7">
        <v>0</v>
      </c>
      <c r="CM19" s="7">
        <v>0</v>
      </c>
      <c r="CN19" s="7">
        <v>80000</v>
      </c>
      <c r="CO19" s="7">
        <v>0</v>
      </c>
      <c r="CP19" s="7">
        <v>0</v>
      </c>
      <c r="CQ19" s="7">
        <v>0</v>
      </c>
      <c r="CR19" s="7">
        <v>0</v>
      </c>
      <c r="CS19" s="7">
        <f t="shared" si="13"/>
        <v>0</v>
      </c>
      <c r="CT19" s="7">
        <v>0</v>
      </c>
      <c r="CU19" s="7">
        <v>0</v>
      </c>
      <c r="CV19" s="7">
        <v>0</v>
      </c>
      <c r="CW19" s="7">
        <v>0</v>
      </c>
      <c r="CX19" s="7">
        <v>0</v>
      </c>
      <c r="CY19" s="7">
        <v>0</v>
      </c>
      <c r="CZ19" s="7">
        <v>0</v>
      </c>
      <c r="DA19" s="7">
        <f t="shared" si="14"/>
        <v>408000</v>
      </c>
      <c r="DB19" s="7">
        <v>0</v>
      </c>
      <c r="DC19" s="7">
        <v>0</v>
      </c>
      <c r="DD19" s="7">
        <v>0</v>
      </c>
      <c r="DE19" s="7">
        <v>0</v>
      </c>
      <c r="DF19" s="7">
        <v>110000</v>
      </c>
      <c r="DG19" s="7">
        <v>0</v>
      </c>
      <c r="DH19" s="7">
        <v>0</v>
      </c>
      <c r="DI19" s="7">
        <v>45000</v>
      </c>
      <c r="DJ19" s="7">
        <v>110000</v>
      </c>
      <c r="DK19" s="7">
        <v>33000</v>
      </c>
      <c r="DL19" s="7">
        <v>110000</v>
      </c>
      <c r="DM19" s="7">
        <v>0</v>
      </c>
      <c r="DN19" s="7">
        <f t="shared" si="15"/>
        <v>126900</v>
      </c>
      <c r="DO19" s="7">
        <v>400</v>
      </c>
      <c r="DP19" s="7">
        <v>0</v>
      </c>
      <c r="DQ19" s="7">
        <v>7000</v>
      </c>
      <c r="DR19" s="7">
        <v>7000</v>
      </c>
      <c r="DS19" s="7">
        <v>108500</v>
      </c>
      <c r="DT19" s="7">
        <v>4000</v>
      </c>
      <c r="DU19" s="7">
        <v>0</v>
      </c>
      <c r="DV19" s="7">
        <v>0</v>
      </c>
      <c r="DW19" s="7">
        <v>0</v>
      </c>
      <c r="DX19" s="7">
        <v>0</v>
      </c>
      <c r="DY19" s="7">
        <v>0</v>
      </c>
    </row>
    <row r="20" spans="1:129" ht="15" customHeight="1">
      <c r="A20" s="4" t="s">
        <v>1941</v>
      </c>
      <c r="B20" s="7">
        <f t="shared" si="0"/>
        <v>38100000</v>
      </c>
      <c r="C20" s="7">
        <f t="shared" si="1"/>
        <v>22706669</v>
      </c>
      <c r="D20" s="7">
        <f t="shared" si="2"/>
        <v>16870579</v>
      </c>
      <c r="E20" s="7">
        <f t="shared" si="9"/>
        <v>9198739</v>
      </c>
      <c r="F20" s="7">
        <v>5284027</v>
      </c>
      <c r="G20" s="7">
        <v>46272</v>
      </c>
      <c r="H20" s="7">
        <v>472036</v>
      </c>
      <c r="I20" s="7">
        <v>164526</v>
      </c>
      <c r="J20" s="7">
        <v>170010</v>
      </c>
      <c r="K20" s="7">
        <v>252273</v>
      </c>
      <c r="L20" s="7">
        <v>890149</v>
      </c>
      <c r="M20" s="7">
        <v>227594</v>
      </c>
      <c r="N20" s="7">
        <v>106942</v>
      </c>
      <c r="O20" s="7">
        <v>52750</v>
      </c>
      <c r="P20" s="7">
        <v>1532160</v>
      </c>
      <c r="Q20" s="7">
        <f t="shared" si="10"/>
        <v>3367483</v>
      </c>
      <c r="R20" s="7">
        <v>1240261</v>
      </c>
      <c r="S20" s="7">
        <v>0</v>
      </c>
      <c r="T20" s="7">
        <v>282437</v>
      </c>
      <c r="U20" s="7">
        <v>527250</v>
      </c>
      <c r="V20" s="7">
        <v>485990</v>
      </c>
      <c r="W20" s="7">
        <v>82830</v>
      </c>
      <c r="X20" s="7">
        <v>39750</v>
      </c>
      <c r="Y20" s="7">
        <v>135000</v>
      </c>
      <c r="Z20" s="7">
        <v>0</v>
      </c>
      <c r="AA20" s="7">
        <v>70900</v>
      </c>
      <c r="AB20" s="7">
        <v>142220</v>
      </c>
      <c r="AC20" s="7">
        <v>83041</v>
      </c>
      <c r="AD20" s="7">
        <v>0</v>
      </c>
      <c r="AE20" s="7">
        <v>43036</v>
      </c>
      <c r="AF20" s="7">
        <v>219368</v>
      </c>
      <c r="AG20" s="7">
        <v>15400</v>
      </c>
      <c r="AH20" s="7">
        <v>3580103</v>
      </c>
      <c r="AI20" s="7">
        <v>0</v>
      </c>
      <c r="AJ20" s="7">
        <v>568454</v>
      </c>
      <c r="AK20" s="7">
        <f t="shared" si="3"/>
        <v>155800</v>
      </c>
      <c r="AL20" s="7">
        <v>127500</v>
      </c>
      <c r="AM20" s="7">
        <v>28300</v>
      </c>
      <c r="AN20" s="7">
        <v>0</v>
      </c>
      <c r="AO20" s="7">
        <v>0</v>
      </c>
      <c r="AP20" s="7">
        <v>0</v>
      </c>
      <c r="AQ20" s="7">
        <v>0</v>
      </c>
      <c r="AR20" s="7">
        <v>0</v>
      </c>
      <c r="AS20" s="7">
        <f t="shared" si="11"/>
        <v>5805590</v>
      </c>
      <c r="AT20" s="7">
        <v>0</v>
      </c>
      <c r="AU20" s="7">
        <v>0</v>
      </c>
      <c r="AV20" s="7">
        <v>0</v>
      </c>
      <c r="AW20" s="7">
        <v>0</v>
      </c>
      <c r="AX20" s="7">
        <v>0</v>
      </c>
      <c r="AY20" s="7">
        <v>5000</v>
      </c>
      <c r="AZ20" s="7">
        <v>590000</v>
      </c>
      <c r="BA20" s="7">
        <v>3644444</v>
      </c>
      <c r="BB20" s="7">
        <v>1289551</v>
      </c>
      <c r="BC20" s="7">
        <v>159928</v>
      </c>
      <c r="BD20" s="7">
        <v>0</v>
      </c>
      <c r="BE20" s="7">
        <v>10000</v>
      </c>
      <c r="BF20" s="7">
        <v>20000</v>
      </c>
      <c r="BG20" s="7">
        <v>45000</v>
      </c>
      <c r="BH20" s="7">
        <v>41667</v>
      </c>
      <c r="BI20" s="7">
        <v>0</v>
      </c>
      <c r="BJ20" s="7">
        <v>0</v>
      </c>
      <c r="BK20" s="7">
        <v>0</v>
      </c>
      <c r="BL20" s="7">
        <v>0</v>
      </c>
      <c r="BM20" s="7">
        <v>0</v>
      </c>
      <c r="BN20" s="7">
        <f t="shared" si="4"/>
        <v>30500</v>
      </c>
      <c r="BO20" s="7">
        <v>0</v>
      </c>
      <c r="BP20" s="7">
        <v>0</v>
      </c>
      <c r="BQ20" s="7">
        <v>30500</v>
      </c>
      <c r="BR20" s="7">
        <v>0</v>
      </c>
      <c r="BS20" s="7">
        <v>0</v>
      </c>
      <c r="BT20" s="7">
        <v>0</v>
      </c>
      <c r="BU20" s="7">
        <v>0</v>
      </c>
      <c r="BV20" s="7">
        <v>0</v>
      </c>
      <c r="BW20" s="7">
        <f t="shared" si="5"/>
        <v>15393331</v>
      </c>
      <c r="BX20" s="7">
        <f t="shared" si="6"/>
        <v>0</v>
      </c>
      <c r="BY20" s="7">
        <v>0</v>
      </c>
      <c r="BZ20" s="7">
        <v>0</v>
      </c>
      <c r="CA20" s="7">
        <v>0</v>
      </c>
      <c r="CB20" s="7">
        <v>0</v>
      </c>
      <c r="CC20" s="7">
        <v>0</v>
      </c>
      <c r="CD20" s="7">
        <v>0</v>
      </c>
      <c r="CE20" s="7">
        <v>0</v>
      </c>
      <c r="CF20" s="7">
        <v>0</v>
      </c>
      <c r="CG20" s="7">
        <f t="shared" si="12"/>
        <v>14989005</v>
      </c>
      <c r="CH20" s="7">
        <v>19923000</v>
      </c>
      <c r="CI20" s="7">
        <f t="shared" si="7"/>
        <v>14989005</v>
      </c>
      <c r="CJ20" s="7">
        <v>0</v>
      </c>
      <c r="CK20" s="7">
        <f t="shared" si="8"/>
        <v>63000</v>
      </c>
      <c r="CL20" s="7">
        <v>0</v>
      </c>
      <c r="CM20" s="7">
        <v>23000</v>
      </c>
      <c r="CN20" s="7">
        <v>0</v>
      </c>
      <c r="CO20" s="7">
        <v>0</v>
      </c>
      <c r="CP20" s="7">
        <v>40000</v>
      </c>
      <c r="CQ20" s="7">
        <v>0</v>
      </c>
      <c r="CR20" s="7">
        <v>0</v>
      </c>
      <c r="CS20" s="7">
        <f t="shared" si="13"/>
        <v>0</v>
      </c>
      <c r="CT20" s="7">
        <v>0</v>
      </c>
      <c r="CU20" s="7">
        <v>0</v>
      </c>
      <c r="CV20" s="7">
        <v>0</v>
      </c>
      <c r="CW20" s="7">
        <v>0</v>
      </c>
      <c r="CX20" s="7">
        <v>0</v>
      </c>
      <c r="CY20" s="7">
        <v>0</v>
      </c>
      <c r="CZ20" s="7">
        <v>0</v>
      </c>
      <c r="DA20" s="7">
        <f t="shared" si="14"/>
        <v>204600</v>
      </c>
      <c r="DB20" s="7">
        <v>300</v>
      </c>
      <c r="DC20" s="7">
        <v>0</v>
      </c>
      <c r="DD20" s="7">
        <v>138000</v>
      </c>
      <c r="DE20" s="7">
        <v>0</v>
      </c>
      <c r="DF20" s="7">
        <v>5000</v>
      </c>
      <c r="DG20" s="7">
        <v>0</v>
      </c>
      <c r="DH20" s="7">
        <v>0</v>
      </c>
      <c r="DI20" s="7">
        <v>2800</v>
      </c>
      <c r="DJ20" s="7">
        <v>9000</v>
      </c>
      <c r="DK20" s="7">
        <v>49500</v>
      </c>
      <c r="DL20" s="7">
        <v>0</v>
      </c>
      <c r="DM20" s="7">
        <v>0</v>
      </c>
      <c r="DN20" s="7">
        <f t="shared" si="15"/>
        <v>136726</v>
      </c>
      <c r="DO20" s="7">
        <v>7000</v>
      </c>
      <c r="DP20" s="7">
        <v>5000</v>
      </c>
      <c r="DQ20" s="7">
        <v>33000</v>
      </c>
      <c r="DR20" s="7">
        <v>100</v>
      </c>
      <c r="DS20" s="7">
        <v>15000</v>
      </c>
      <c r="DT20" s="7">
        <v>31300</v>
      </c>
      <c r="DU20" s="7">
        <v>45000</v>
      </c>
      <c r="DV20" s="7">
        <v>100</v>
      </c>
      <c r="DW20" s="7">
        <v>226</v>
      </c>
      <c r="DX20" s="7">
        <v>0</v>
      </c>
      <c r="DY20" s="7">
        <v>0</v>
      </c>
    </row>
    <row r="21" spans="1:129" ht="15" customHeight="1">
      <c r="A21" s="4" t="s">
        <v>1942</v>
      </c>
      <c r="B21" s="7">
        <f t="shared" si="0"/>
        <v>20929210</v>
      </c>
      <c r="C21" s="7">
        <f t="shared" si="1"/>
        <v>17037281</v>
      </c>
      <c r="D21" s="7">
        <f t="shared" si="2"/>
        <v>14016130</v>
      </c>
      <c r="E21" s="7">
        <f t="shared" si="9"/>
        <v>4931404</v>
      </c>
      <c r="F21" s="7">
        <v>2935977</v>
      </c>
      <c r="G21" s="7">
        <v>14954</v>
      </c>
      <c r="H21" s="7">
        <v>21404</v>
      </c>
      <c r="I21" s="7">
        <v>89676</v>
      </c>
      <c r="J21" s="7">
        <v>92665</v>
      </c>
      <c r="K21" s="7">
        <v>137503</v>
      </c>
      <c r="L21" s="7">
        <v>518798</v>
      </c>
      <c r="M21" s="7">
        <v>124502</v>
      </c>
      <c r="N21" s="7">
        <v>76225</v>
      </c>
      <c r="O21" s="7">
        <v>30500</v>
      </c>
      <c r="P21" s="7">
        <v>889200</v>
      </c>
      <c r="Q21" s="7">
        <f t="shared" si="10"/>
        <v>2694055</v>
      </c>
      <c r="R21" s="7">
        <v>287231</v>
      </c>
      <c r="S21" s="7">
        <v>0</v>
      </c>
      <c r="T21" s="7">
        <v>189814</v>
      </c>
      <c r="U21" s="7">
        <v>456000</v>
      </c>
      <c r="V21" s="7">
        <v>274690</v>
      </c>
      <c r="W21" s="7">
        <v>52635</v>
      </c>
      <c r="X21" s="7">
        <v>4700</v>
      </c>
      <c r="Y21" s="7">
        <v>171000</v>
      </c>
      <c r="Z21" s="7">
        <v>0</v>
      </c>
      <c r="AA21" s="7">
        <v>39100</v>
      </c>
      <c r="AB21" s="7">
        <v>13603</v>
      </c>
      <c r="AC21" s="7">
        <v>53212</v>
      </c>
      <c r="AD21" s="7">
        <v>1001382</v>
      </c>
      <c r="AE21" s="7">
        <v>27620</v>
      </c>
      <c r="AF21" s="7">
        <v>119568</v>
      </c>
      <c r="AG21" s="7">
        <v>3500</v>
      </c>
      <c r="AH21" s="7">
        <v>5341639</v>
      </c>
      <c r="AI21" s="7">
        <v>970692</v>
      </c>
      <c r="AJ21" s="7">
        <v>0</v>
      </c>
      <c r="AK21" s="7">
        <f t="shared" si="3"/>
        <v>78340</v>
      </c>
      <c r="AL21" s="7">
        <v>57840</v>
      </c>
      <c r="AM21" s="7">
        <v>20500</v>
      </c>
      <c r="AN21" s="7">
        <v>0</v>
      </c>
      <c r="AO21" s="7">
        <v>0</v>
      </c>
      <c r="AP21" s="7">
        <v>0</v>
      </c>
      <c r="AQ21" s="7">
        <v>0</v>
      </c>
      <c r="AR21" s="7">
        <v>0</v>
      </c>
      <c r="AS21" s="7">
        <f t="shared" si="11"/>
        <v>2366671</v>
      </c>
      <c r="AT21" s="7">
        <v>280000</v>
      </c>
      <c r="AU21" s="7">
        <v>0</v>
      </c>
      <c r="AV21" s="7">
        <v>0</v>
      </c>
      <c r="AW21" s="7">
        <v>0</v>
      </c>
      <c r="AX21" s="7">
        <v>0</v>
      </c>
      <c r="AY21" s="7">
        <v>0</v>
      </c>
      <c r="AZ21" s="7">
        <v>340000</v>
      </c>
      <c r="BA21" s="7">
        <v>1158902</v>
      </c>
      <c r="BB21" s="7">
        <v>309407</v>
      </c>
      <c r="BC21" s="7">
        <v>90000</v>
      </c>
      <c r="BD21" s="7">
        <v>100000</v>
      </c>
      <c r="BE21" s="7">
        <v>8362</v>
      </c>
      <c r="BF21" s="7">
        <v>20000</v>
      </c>
      <c r="BG21" s="7">
        <v>60000</v>
      </c>
      <c r="BH21" s="7">
        <v>0</v>
      </c>
      <c r="BI21" s="7">
        <v>0</v>
      </c>
      <c r="BJ21" s="7">
        <v>0</v>
      </c>
      <c r="BK21" s="7">
        <v>0</v>
      </c>
      <c r="BL21" s="7">
        <v>0</v>
      </c>
      <c r="BM21" s="7">
        <v>0</v>
      </c>
      <c r="BN21" s="7">
        <f t="shared" si="4"/>
        <v>654480</v>
      </c>
      <c r="BO21" s="7">
        <v>0</v>
      </c>
      <c r="BP21" s="7">
        <v>654480</v>
      </c>
      <c r="BQ21" s="7">
        <v>0</v>
      </c>
      <c r="BR21" s="7">
        <v>0</v>
      </c>
      <c r="BS21" s="7">
        <v>0</v>
      </c>
      <c r="BT21" s="7">
        <v>0</v>
      </c>
      <c r="BU21" s="7">
        <v>0</v>
      </c>
      <c r="BV21" s="7">
        <v>0</v>
      </c>
      <c r="BW21" s="7">
        <f t="shared" si="5"/>
        <v>3891929</v>
      </c>
      <c r="BX21" s="7">
        <f t="shared" si="6"/>
        <v>24000</v>
      </c>
      <c r="BY21" s="7">
        <v>0</v>
      </c>
      <c r="BZ21" s="7">
        <v>0</v>
      </c>
      <c r="CA21" s="7">
        <v>24000</v>
      </c>
      <c r="CB21" s="7">
        <v>0</v>
      </c>
      <c r="CC21" s="7">
        <v>0</v>
      </c>
      <c r="CD21" s="7">
        <v>0</v>
      </c>
      <c r="CE21" s="7">
        <v>0</v>
      </c>
      <c r="CF21" s="7">
        <v>0</v>
      </c>
      <c r="CG21" s="7">
        <f t="shared" si="12"/>
        <v>3694429</v>
      </c>
      <c r="CH21" s="7">
        <v>5162738</v>
      </c>
      <c r="CI21" s="7">
        <f t="shared" si="7"/>
        <v>3694429</v>
      </c>
      <c r="CJ21" s="7">
        <v>0</v>
      </c>
      <c r="CK21" s="7">
        <f t="shared" si="8"/>
        <v>15000</v>
      </c>
      <c r="CL21" s="7">
        <v>0</v>
      </c>
      <c r="CM21" s="7">
        <v>0</v>
      </c>
      <c r="CN21" s="7">
        <v>15000</v>
      </c>
      <c r="CO21" s="7">
        <v>0</v>
      </c>
      <c r="CP21" s="7">
        <v>0</v>
      </c>
      <c r="CQ21" s="7">
        <v>0</v>
      </c>
      <c r="CR21" s="7">
        <v>0</v>
      </c>
      <c r="CS21" s="7">
        <f t="shared" si="13"/>
        <v>0</v>
      </c>
      <c r="CT21" s="7">
        <v>0</v>
      </c>
      <c r="CU21" s="7">
        <v>0</v>
      </c>
      <c r="CV21" s="7">
        <v>0</v>
      </c>
      <c r="CW21" s="7">
        <v>0</v>
      </c>
      <c r="CX21" s="7">
        <v>0</v>
      </c>
      <c r="CY21" s="7">
        <v>0</v>
      </c>
      <c r="CZ21" s="7">
        <v>0</v>
      </c>
      <c r="DA21" s="7">
        <f t="shared" si="14"/>
        <v>0</v>
      </c>
      <c r="DB21" s="7">
        <v>0</v>
      </c>
      <c r="DC21" s="7">
        <v>0</v>
      </c>
      <c r="DD21" s="7">
        <v>0</v>
      </c>
      <c r="DE21" s="7">
        <v>0</v>
      </c>
      <c r="DF21" s="7">
        <v>0</v>
      </c>
      <c r="DG21" s="7">
        <v>0</v>
      </c>
      <c r="DH21" s="7">
        <v>0</v>
      </c>
      <c r="DI21" s="7">
        <v>0</v>
      </c>
      <c r="DJ21" s="7">
        <v>0</v>
      </c>
      <c r="DK21" s="7">
        <v>0</v>
      </c>
      <c r="DL21" s="7">
        <v>0</v>
      </c>
      <c r="DM21" s="7">
        <v>0</v>
      </c>
      <c r="DN21" s="7">
        <f t="shared" si="15"/>
        <v>158500</v>
      </c>
      <c r="DO21" s="7">
        <v>0</v>
      </c>
      <c r="DP21" s="7">
        <v>0</v>
      </c>
      <c r="DQ21" s="7">
        <v>11500</v>
      </c>
      <c r="DR21" s="7">
        <v>92000</v>
      </c>
      <c r="DS21" s="7">
        <v>55000</v>
      </c>
      <c r="DT21" s="7">
        <v>0</v>
      </c>
      <c r="DU21" s="7">
        <v>0</v>
      </c>
      <c r="DV21" s="7">
        <v>0</v>
      </c>
      <c r="DW21" s="7">
        <v>0</v>
      </c>
      <c r="DX21" s="7">
        <v>0</v>
      </c>
      <c r="DY21" s="7">
        <v>0</v>
      </c>
    </row>
    <row r="22" spans="1:129" ht="15" customHeight="1">
      <c r="A22" s="4" t="s">
        <v>442</v>
      </c>
      <c r="B22" s="7">
        <f t="shared" si="0"/>
        <v>16817809</v>
      </c>
      <c r="C22" s="7">
        <f t="shared" si="1"/>
        <v>11750332</v>
      </c>
      <c r="D22" s="7">
        <f t="shared" si="2"/>
        <v>9563297</v>
      </c>
      <c r="E22" s="7">
        <f t="shared" si="9"/>
        <v>3824948</v>
      </c>
      <c r="F22" s="7">
        <v>1912548</v>
      </c>
      <c r="G22" s="7">
        <v>23802</v>
      </c>
      <c r="H22" s="7">
        <v>367088</v>
      </c>
      <c r="I22" s="7">
        <v>59550</v>
      </c>
      <c r="J22" s="7">
        <v>61535</v>
      </c>
      <c r="K22" s="7">
        <v>91310</v>
      </c>
      <c r="L22" s="7">
        <v>361427</v>
      </c>
      <c r="M22" s="7">
        <v>82378</v>
      </c>
      <c r="N22" s="7">
        <v>45655</v>
      </c>
      <c r="O22" s="7">
        <v>19375</v>
      </c>
      <c r="P22" s="7">
        <v>800280</v>
      </c>
      <c r="Q22" s="7">
        <f t="shared" si="10"/>
        <v>1960621</v>
      </c>
      <c r="R22" s="7">
        <v>930757</v>
      </c>
      <c r="S22" s="7">
        <v>0</v>
      </c>
      <c r="T22" s="7">
        <v>108183</v>
      </c>
      <c r="U22" s="7">
        <v>304000</v>
      </c>
      <c r="V22" s="7">
        <v>253560</v>
      </c>
      <c r="W22" s="7">
        <v>51535</v>
      </c>
      <c r="X22" s="7">
        <v>11450</v>
      </c>
      <c r="Y22" s="7">
        <v>99000</v>
      </c>
      <c r="Z22" s="7">
        <v>0</v>
      </c>
      <c r="AA22" s="7">
        <v>2400</v>
      </c>
      <c r="AB22" s="7">
        <v>99379</v>
      </c>
      <c r="AC22" s="7">
        <v>0</v>
      </c>
      <c r="AD22" s="7">
        <v>0</v>
      </c>
      <c r="AE22" s="7">
        <v>13957</v>
      </c>
      <c r="AF22" s="7">
        <v>79400</v>
      </c>
      <c r="AG22" s="7">
        <v>7000</v>
      </c>
      <c r="AH22" s="7">
        <v>3102597</v>
      </c>
      <c r="AI22" s="7">
        <v>419953</v>
      </c>
      <c r="AJ22" s="7">
        <v>154258</v>
      </c>
      <c r="AK22" s="7">
        <f t="shared" si="3"/>
        <v>100920</v>
      </c>
      <c r="AL22" s="7">
        <v>68820</v>
      </c>
      <c r="AM22" s="7">
        <v>32100</v>
      </c>
      <c r="AN22" s="7">
        <v>0</v>
      </c>
      <c r="AO22" s="7">
        <v>0</v>
      </c>
      <c r="AP22" s="7">
        <v>0</v>
      </c>
      <c r="AQ22" s="7">
        <v>0</v>
      </c>
      <c r="AR22" s="7">
        <v>0</v>
      </c>
      <c r="AS22" s="7">
        <f t="shared" si="11"/>
        <v>1920735</v>
      </c>
      <c r="AT22" s="7">
        <v>0</v>
      </c>
      <c r="AU22" s="7">
        <v>0</v>
      </c>
      <c r="AV22" s="7">
        <v>0</v>
      </c>
      <c r="AW22" s="7">
        <v>0</v>
      </c>
      <c r="AX22" s="7">
        <v>0</v>
      </c>
      <c r="AY22" s="7">
        <v>2000</v>
      </c>
      <c r="AZ22" s="7">
        <v>250000</v>
      </c>
      <c r="BA22" s="7">
        <v>1071996</v>
      </c>
      <c r="BB22" s="7">
        <v>440073</v>
      </c>
      <c r="BC22" s="7">
        <v>90000</v>
      </c>
      <c r="BD22" s="7">
        <v>0</v>
      </c>
      <c r="BE22" s="7">
        <v>5000</v>
      </c>
      <c r="BF22" s="7">
        <v>20000</v>
      </c>
      <c r="BG22" s="7">
        <v>41666</v>
      </c>
      <c r="BH22" s="7">
        <v>0</v>
      </c>
      <c r="BI22" s="7">
        <v>0</v>
      </c>
      <c r="BJ22" s="7">
        <v>0</v>
      </c>
      <c r="BK22" s="7">
        <v>0</v>
      </c>
      <c r="BL22" s="7">
        <v>0</v>
      </c>
      <c r="BM22" s="7">
        <v>0</v>
      </c>
      <c r="BN22" s="7">
        <f t="shared" si="4"/>
        <v>266300</v>
      </c>
      <c r="BO22" s="7">
        <v>0</v>
      </c>
      <c r="BP22" s="7">
        <v>239300</v>
      </c>
      <c r="BQ22" s="7">
        <v>27000</v>
      </c>
      <c r="BR22" s="7">
        <v>0</v>
      </c>
      <c r="BS22" s="7">
        <v>0</v>
      </c>
      <c r="BT22" s="7">
        <v>0</v>
      </c>
      <c r="BU22" s="7">
        <v>0</v>
      </c>
      <c r="BV22" s="7">
        <v>0</v>
      </c>
      <c r="BW22" s="7">
        <f t="shared" si="5"/>
        <v>5067477</v>
      </c>
      <c r="BX22" s="7">
        <f t="shared" si="6"/>
        <v>0</v>
      </c>
      <c r="BY22" s="7">
        <v>0</v>
      </c>
      <c r="BZ22" s="7">
        <v>0</v>
      </c>
      <c r="CA22" s="7">
        <v>0</v>
      </c>
      <c r="CB22" s="7">
        <v>0</v>
      </c>
      <c r="CC22" s="7">
        <v>0</v>
      </c>
      <c r="CD22" s="7">
        <v>0</v>
      </c>
      <c r="CE22" s="7">
        <v>0</v>
      </c>
      <c r="CF22" s="7">
        <v>0</v>
      </c>
      <c r="CG22" s="7">
        <f t="shared" si="12"/>
        <v>3691647</v>
      </c>
      <c r="CH22" s="7">
        <v>5203716</v>
      </c>
      <c r="CI22" s="7">
        <f t="shared" si="7"/>
        <v>3691647</v>
      </c>
      <c r="CJ22" s="7">
        <v>0</v>
      </c>
      <c r="CK22" s="7">
        <f t="shared" si="8"/>
        <v>90000</v>
      </c>
      <c r="CL22" s="7">
        <v>0</v>
      </c>
      <c r="CM22" s="7">
        <v>20000</v>
      </c>
      <c r="CN22" s="7">
        <v>70000</v>
      </c>
      <c r="CO22" s="7">
        <v>0</v>
      </c>
      <c r="CP22" s="7">
        <v>0</v>
      </c>
      <c r="CQ22" s="7">
        <v>0</v>
      </c>
      <c r="CR22" s="7">
        <v>0</v>
      </c>
      <c r="CS22" s="7">
        <f t="shared" si="13"/>
        <v>994000</v>
      </c>
      <c r="CT22" s="7">
        <v>975000</v>
      </c>
      <c r="CU22" s="7">
        <v>0</v>
      </c>
      <c r="CV22" s="7">
        <v>19000</v>
      </c>
      <c r="CW22" s="7">
        <v>0</v>
      </c>
      <c r="CX22" s="7">
        <v>0</v>
      </c>
      <c r="CY22" s="7">
        <v>0</v>
      </c>
      <c r="CZ22" s="7">
        <v>0</v>
      </c>
      <c r="DA22" s="7">
        <f t="shared" si="14"/>
        <v>251830</v>
      </c>
      <c r="DB22" s="7">
        <v>0</v>
      </c>
      <c r="DC22" s="7">
        <v>0</v>
      </c>
      <c r="DD22" s="7">
        <v>0</v>
      </c>
      <c r="DE22" s="7">
        <v>0</v>
      </c>
      <c r="DF22" s="7">
        <v>0</v>
      </c>
      <c r="DG22" s="7">
        <v>0</v>
      </c>
      <c r="DH22" s="7">
        <v>0</v>
      </c>
      <c r="DI22" s="7">
        <v>129330</v>
      </c>
      <c r="DJ22" s="7">
        <v>120000</v>
      </c>
      <c r="DK22" s="7">
        <v>2500</v>
      </c>
      <c r="DL22" s="7">
        <v>0</v>
      </c>
      <c r="DM22" s="7">
        <v>0</v>
      </c>
      <c r="DN22" s="7">
        <f t="shared" si="15"/>
        <v>40000</v>
      </c>
      <c r="DO22" s="7">
        <v>7000</v>
      </c>
      <c r="DP22" s="7">
        <v>0</v>
      </c>
      <c r="DQ22" s="7">
        <v>6000</v>
      </c>
      <c r="DR22" s="7">
        <v>5000</v>
      </c>
      <c r="DS22" s="7">
        <v>22000</v>
      </c>
      <c r="DT22" s="7">
        <v>0</v>
      </c>
      <c r="DU22" s="7">
        <v>0</v>
      </c>
      <c r="DV22" s="7">
        <v>0</v>
      </c>
      <c r="DW22" s="7">
        <v>0</v>
      </c>
      <c r="DX22" s="7">
        <v>0</v>
      </c>
      <c r="DY22" s="7">
        <v>0</v>
      </c>
    </row>
    <row r="23" spans="1:129" ht="15" customHeight="1">
      <c r="A23" s="4" t="s">
        <v>443</v>
      </c>
      <c r="B23" s="7">
        <f t="shared" si="0"/>
        <v>58834288</v>
      </c>
      <c r="C23" s="7">
        <f t="shared" si="1"/>
        <v>33741323</v>
      </c>
      <c r="D23" s="7">
        <f t="shared" si="2"/>
        <v>23593123</v>
      </c>
      <c r="E23" s="7">
        <f t="shared" si="9"/>
        <v>12531035</v>
      </c>
      <c r="F23" s="7">
        <v>7443616</v>
      </c>
      <c r="G23" s="7">
        <v>0</v>
      </c>
      <c r="H23" s="7">
        <v>350181</v>
      </c>
      <c r="I23" s="7">
        <v>231768</v>
      </c>
      <c r="J23" s="7">
        <v>239494</v>
      </c>
      <c r="K23" s="7">
        <v>355378</v>
      </c>
      <c r="L23" s="7">
        <v>1322782</v>
      </c>
      <c r="M23" s="7">
        <v>320612</v>
      </c>
      <c r="N23" s="7">
        <v>150649</v>
      </c>
      <c r="O23" s="7">
        <v>93625</v>
      </c>
      <c r="P23" s="7">
        <v>2022930</v>
      </c>
      <c r="Q23" s="7">
        <f t="shared" si="10"/>
        <v>5133338</v>
      </c>
      <c r="R23" s="7">
        <v>1668152</v>
      </c>
      <c r="S23" s="7">
        <v>0</v>
      </c>
      <c r="T23" s="7">
        <v>355378</v>
      </c>
      <c r="U23" s="7">
        <v>950000</v>
      </c>
      <c r="V23" s="7">
        <v>676160</v>
      </c>
      <c r="W23" s="7">
        <v>338553</v>
      </c>
      <c r="X23" s="7">
        <v>44150</v>
      </c>
      <c r="Y23" s="7">
        <v>356500</v>
      </c>
      <c r="Z23" s="7">
        <v>16789</v>
      </c>
      <c r="AA23" s="7">
        <v>97000</v>
      </c>
      <c r="AB23" s="7">
        <v>50193</v>
      </c>
      <c r="AC23" s="7">
        <v>147424</v>
      </c>
      <c r="AD23" s="7">
        <v>0</v>
      </c>
      <c r="AE23" s="7">
        <v>53015</v>
      </c>
      <c r="AF23" s="7">
        <v>369524</v>
      </c>
      <c r="AG23" s="7">
        <v>10500</v>
      </c>
      <c r="AH23" s="7">
        <v>3562994</v>
      </c>
      <c r="AI23" s="7">
        <v>0</v>
      </c>
      <c r="AJ23" s="7">
        <v>2106796</v>
      </c>
      <c r="AK23" s="7">
        <f t="shared" si="3"/>
        <v>258960</v>
      </c>
      <c r="AL23" s="7">
        <v>135960</v>
      </c>
      <c r="AM23" s="7">
        <v>123000</v>
      </c>
      <c r="AN23" s="7">
        <v>0</v>
      </c>
      <c r="AO23" s="7">
        <v>0</v>
      </c>
      <c r="AP23" s="7">
        <v>0</v>
      </c>
      <c r="AQ23" s="7">
        <v>0</v>
      </c>
      <c r="AR23" s="7">
        <v>0</v>
      </c>
      <c r="AS23" s="7">
        <f t="shared" si="11"/>
        <v>9822677</v>
      </c>
      <c r="AT23" s="7">
        <v>0</v>
      </c>
      <c r="AU23" s="7">
        <v>0</v>
      </c>
      <c r="AV23" s="7">
        <v>0</v>
      </c>
      <c r="AW23" s="7">
        <v>0</v>
      </c>
      <c r="AX23" s="7">
        <v>62470</v>
      </c>
      <c r="AY23" s="7">
        <v>5000</v>
      </c>
      <c r="AZ23" s="7">
        <v>900000</v>
      </c>
      <c r="BA23" s="7">
        <v>5882894</v>
      </c>
      <c r="BB23" s="7">
        <v>2692903</v>
      </c>
      <c r="BC23" s="7">
        <v>182595</v>
      </c>
      <c r="BD23" s="7">
        <v>0</v>
      </c>
      <c r="BE23" s="7">
        <v>13490</v>
      </c>
      <c r="BF23" s="7">
        <v>20825</v>
      </c>
      <c r="BG23" s="7">
        <v>62500</v>
      </c>
      <c r="BH23" s="7">
        <v>0</v>
      </c>
      <c r="BI23" s="7">
        <v>0</v>
      </c>
      <c r="BJ23" s="7">
        <v>0</v>
      </c>
      <c r="BK23" s="7">
        <v>0</v>
      </c>
      <c r="BL23" s="7">
        <v>0</v>
      </c>
      <c r="BM23" s="7">
        <v>0</v>
      </c>
      <c r="BN23" s="7">
        <f t="shared" si="4"/>
        <v>325523</v>
      </c>
      <c r="BO23" s="7">
        <v>0</v>
      </c>
      <c r="BP23" s="7">
        <v>325523</v>
      </c>
      <c r="BQ23" s="7">
        <v>0</v>
      </c>
      <c r="BR23" s="7">
        <v>0</v>
      </c>
      <c r="BS23" s="7">
        <v>0</v>
      </c>
      <c r="BT23" s="7">
        <v>0</v>
      </c>
      <c r="BU23" s="7">
        <v>0</v>
      </c>
      <c r="BV23" s="7">
        <v>0</v>
      </c>
      <c r="BW23" s="7">
        <f t="shared" si="5"/>
        <v>25092965</v>
      </c>
      <c r="BX23" s="7">
        <f t="shared" si="6"/>
        <v>0</v>
      </c>
      <c r="BY23" s="7">
        <v>0</v>
      </c>
      <c r="BZ23" s="7">
        <v>0</v>
      </c>
      <c r="CA23" s="7">
        <v>0</v>
      </c>
      <c r="CB23" s="7">
        <v>0</v>
      </c>
      <c r="CC23" s="7">
        <v>0</v>
      </c>
      <c r="CD23" s="7">
        <v>0</v>
      </c>
      <c r="CE23" s="7">
        <v>0</v>
      </c>
      <c r="CF23" s="7">
        <v>0</v>
      </c>
      <c r="CG23" s="7">
        <f t="shared" si="12"/>
        <v>24042895</v>
      </c>
      <c r="CH23" s="7">
        <v>32618692</v>
      </c>
      <c r="CI23" s="7">
        <f t="shared" si="7"/>
        <v>24042895</v>
      </c>
      <c r="CJ23" s="7">
        <v>0</v>
      </c>
      <c r="CK23" s="7">
        <f t="shared" si="8"/>
        <v>172805</v>
      </c>
      <c r="CL23" s="7">
        <v>0</v>
      </c>
      <c r="CM23" s="7">
        <v>66000</v>
      </c>
      <c r="CN23" s="7">
        <v>87100</v>
      </c>
      <c r="CO23" s="7">
        <v>0</v>
      </c>
      <c r="CP23" s="7">
        <v>19705</v>
      </c>
      <c r="CQ23" s="7">
        <v>0</v>
      </c>
      <c r="CR23" s="7">
        <v>0</v>
      </c>
      <c r="CS23" s="7">
        <f t="shared" si="13"/>
        <v>409965</v>
      </c>
      <c r="CT23" s="7">
        <v>303600</v>
      </c>
      <c r="CU23" s="7">
        <v>0</v>
      </c>
      <c r="CV23" s="7">
        <v>106365</v>
      </c>
      <c r="CW23" s="7">
        <v>0</v>
      </c>
      <c r="CX23" s="7">
        <v>0</v>
      </c>
      <c r="CY23" s="7">
        <v>0</v>
      </c>
      <c r="CZ23" s="7">
        <v>0</v>
      </c>
      <c r="DA23" s="7">
        <f t="shared" si="14"/>
        <v>365200</v>
      </c>
      <c r="DB23" s="7">
        <v>0</v>
      </c>
      <c r="DC23" s="7">
        <v>0</v>
      </c>
      <c r="DD23" s="7">
        <v>80000</v>
      </c>
      <c r="DE23" s="7">
        <v>0</v>
      </c>
      <c r="DF23" s="7">
        <v>130000</v>
      </c>
      <c r="DG23" s="7">
        <v>0</v>
      </c>
      <c r="DH23" s="7">
        <v>0</v>
      </c>
      <c r="DI23" s="7">
        <v>4200</v>
      </c>
      <c r="DJ23" s="7">
        <v>30000</v>
      </c>
      <c r="DK23" s="7">
        <v>16000</v>
      </c>
      <c r="DL23" s="7">
        <v>105000</v>
      </c>
      <c r="DM23" s="7">
        <v>0</v>
      </c>
      <c r="DN23" s="7">
        <f t="shared" si="15"/>
        <v>102100</v>
      </c>
      <c r="DO23" s="7">
        <v>10000</v>
      </c>
      <c r="DP23" s="7">
        <v>0</v>
      </c>
      <c r="DQ23" s="7">
        <v>12000</v>
      </c>
      <c r="DR23" s="7">
        <v>40100</v>
      </c>
      <c r="DS23" s="7">
        <v>30000</v>
      </c>
      <c r="DT23" s="7">
        <v>10000</v>
      </c>
      <c r="DU23" s="7">
        <v>0</v>
      </c>
      <c r="DV23" s="7">
        <v>0</v>
      </c>
      <c r="DW23" s="7">
        <v>0</v>
      </c>
      <c r="DX23" s="7">
        <v>0</v>
      </c>
      <c r="DY23" s="7">
        <v>0</v>
      </c>
    </row>
    <row r="24" spans="1:129" ht="15" customHeight="1">
      <c r="A24" s="4" t="s">
        <v>1943</v>
      </c>
      <c r="B24" s="7">
        <f t="shared" si="0"/>
        <v>184020690</v>
      </c>
      <c r="C24" s="7">
        <f t="shared" si="1"/>
        <v>109528632</v>
      </c>
      <c r="D24" s="7">
        <f t="shared" si="2"/>
        <v>75518746</v>
      </c>
      <c r="E24" s="7">
        <f t="shared" si="9"/>
        <v>43354062</v>
      </c>
      <c r="F24" s="7">
        <v>27073387</v>
      </c>
      <c r="G24" s="7">
        <v>9573</v>
      </c>
      <c r="H24" s="7">
        <v>0</v>
      </c>
      <c r="I24" s="7">
        <v>842970</v>
      </c>
      <c r="J24" s="7">
        <v>871069</v>
      </c>
      <c r="K24" s="7">
        <v>1292554</v>
      </c>
      <c r="L24" s="7">
        <v>4873494</v>
      </c>
      <c r="M24" s="7">
        <v>1166109</v>
      </c>
      <c r="N24" s="7">
        <v>547931</v>
      </c>
      <c r="O24" s="7">
        <v>311500</v>
      </c>
      <c r="P24" s="7">
        <v>6365475</v>
      </c>
      <c r="Q24" s="7">
        <f t="shared" si="10"/>
        <v>15855679</v>
      </c>
      <c r="R24" s="7">
        <v>1307589</v>
      </c>
      <c r="S24" s="7">
        <v>0</v>
      </c>
      <c r="T24" s="7">
        <v>1053713</v>
      </c>
      <c r="U24" s="7">
        <v>3252000</v>
      </c>
      <c r="V24" s="7">
        <v>4606340</v>
      </c>
      <c r="W24" s="7">
        <v>690388</v>
      </c>
      <c r="X24" s="7">
        <v>1162175</v>
      </c>
      <c r="Y24" s="7">
        <v>803000</v>
      </c>
      <c r="Z24" s="7">
        <v>4914</v>
      </c>
      <c r="AA24" s="7">
        <v>1228500</v>
      </c>
      <c r="AB24" s="7">
        <v>0</v>
      </c>
      <c r="AC24" s="7">
        <v>394160</v>
      </c>
      <c r="AD24" s="7">
        <v>0</v>
      </c>
      <c r="AE24" s="7">
        <v>201640</v>
      </c>
      <c r="AF24" s="7">
        <v>1123960</v>
      </c>
      <c r="AG24" s="7">
        <v>27300</v>
      </c>
      <c r="AH24" s="7">
        <v>15741045</v>
      </c>
      <c r="AI24" s="7">
        <v>0</v>
      </c>
      <c r="AJ24" s="7">
        <v>0</v>
      </c>
      <c r="AK24" s="7">
        <f t="shared" si="3"/>
        <v>567960</v>
      </c>
      <c r="AL24" s="7">
        <v>425760</v>
      </c>
      <c r="AM24" s="7">
        <v>142200</v>
      </c>
      <c r="AN24" s="7">
        <v>0</v>
      </c>
      <c r="AO24" s="7">
        <v>0</v>
      </c>
      <c r="AP24" s="7">
        <v>0</v>
      </c>
      <c r="AQ24" s="7">
        <v>0</v>
      </c>
      <c r="AR24" s="7">
        <v>0</v>
      </c>
      <c r="AS24" s="7">
        <f t="shared" si="11"/>
        <v>34009886</v>
      </c>
      <c r="AT24" s="7">
        <v>0</v>
      </c>
      <c r="AU24" s="7">
        <v>178107</v>
      </c>
      <c r="AV24" s="7">
        <v>0</v>
      </c>
      <c r="AW24" s="7">
        <v>401000</v>
      </c>
      <c r="AX24" s="7">
        <v>164800</v>
      </c>
      <c r="AY24" s="7">
        <v>15000</v>
      </c>
      <c r="AZ24" s="7">
        <v>2934970</v>
      </c>
      <c r="BA24" s="7">
        <v>22097881</v>
      </c>
      <c r="BB24" s="7">
        <v>5812672</v>
      </c>
      <c r="BC24" s="7">
        <v>1536473</v>
      </c>
      <c r="BD24" s="7">
        <v>0</v>
      </c>
      <c r="BE24" s="7">
        <v>30000</v>
      </c>
      <c r="BF24" s="7">
        <v>68774</v>
      </c>
      <c r="BG24" s="7">
        <v>115209</v>
      </c>
      <c r="BH24" s="7">
        <v>401000</v>
      </c>
      <c r="BI24" s="7">
        <v>25000</v>
      </c>
      <c r="BJ24" s="7">
        <v>229000</v>
      </c>
      <c r="BK24" s="7">
        <v>0</v>
      </c>
      <c r="BL24" s="7">
        <v>0</v>
      </c>
      <c r="BM24" s="7">
        <v>0</v>
      </c>
      <c r="BN24" s="7">
        <f t="shared" si="4"/>
        <v>0</v>
      </c>
      <c r="BO24" s="7">
        <v>0</v>
      </c>
      <c r="BP24" s="7">
        <v>0</v>
      </c>
      <c r="BQ24" s="7">
        <v>0</v>
      </c>
      <c r="BR24" s="7">
        <v>0</v>
      </c>
      <c r="BS24" s="7">
        <v>0</v>
      </c>
      <c r="BT24" s="7">
        <v>0</v>
      </c>
      <c r="BU24" s="7">
        <v>0</v>
      </c>
      <c r="BV24" s="7">
        <v>0</v>
      </c>
      <c r="BW24" s="7">
        <f t="shared" si="5"/>
        <v>74492058</v>
      </c>
      <c r="BX24" s="7">
        <f t="shared" si="6"/>
        <v>0</v>
      </c>
      <c r="BY24" s="7">
        <v>0</v>
      </c>
      <c r="BZ24" s="7">
        <v>0</v>
      </c>
      <c r="CA24" s="7">
        <v>0</v>
      </c>
      <c r="CB24" s="7">
        <v>0</v>
      </c>
      <c r="CC24" s="7">
        <v>0</v>
      </c>
      <c r="CD24" s="7">
        <v>0</v>
      </c>
      <c r="CE24" s="7">
        <v>0</v>
      </c>
      <c r="CF24" s="7">
        <v>0</v>
      </c>
      <c r="CG24" s="7">
        <f t="shared" si="12"/>
        <v>71653987</v>
      </c>
      <c r="CH24" s="7">
        <v>99564540</v>
      </c>
      <c r="CI24" s="7">
        <f t="shared" si="7"/>
        <v>71653987</v>
      </c>
      <c r="CJ24" s="7">
        <v>0</v>
      </c>
      <c r="CK24" s="7">
        <f t="shared" si="8"/>
        <v>495000</v>
      </c>
      <c r="CL24" s="7">
        <v>0</v>
      </c>
      <c r="CM24" s="7">
        <v>330000</v>
      </c>
      <c r="CN24" s="7">
        <v>165000</v>
      </c>
      <c r="CO24" s="7">
        <v>0</v>
      </c>
      <c r="CP24" s="7">
        <v>0</v>
      </c>
      <c r="CQ24" s="7">
        <v>0</v>
      </c>
      <c r="CR24" s="7">
        <v>0</v>
      </c>
      <c r="CS24" s="7">
        <f t="shared" si="13"/>
        <v>0</v>
      </c>
      <c r="CT24" s="7">
        <v>0</v>
      </c>
      <c r="CU24" s="7">
        <v>0</v>
      </c>
      <c r="CV24" s="7">
        <v>0</v>
      </c>
      <c r="CW24" s="7">
        <v>0</v>
      </c>
      <c r="CX24" s="7">
        <v>0</v>
      </c>
      <c r="CY24" s="7">
        <v>0</v>
      </c>
      <c r="CZ24" s="7">
        <v>0</v>
      </c>
      <c r="DA24" s="7">
        <f t="shared" si="14"/>
        <v>2268071</v>
      </c>
      <c r="DB24" s="7">
        <v>210000</v>
      </c>
      <c r="DC24" s="7">
        <v>958148</v>
      </c>
      <c r="DD24" s="7">
        <v>285000</v>
      </c>
      <c r="DE24" s="7">
        <v>105000</v>
      </c>
      <c r="DF24" s="7">
        <v>25000</v>
      </c>
      <c r="DG24" s="7">
        <v>0</v>
      </c>
      <c r="DH24" s="7">
        <v>0</v>
      </c>
      <c r="DI24" s="7">
        <v>210000</v>
      </c>
      <c r="DJ24" s="7">
        <v>41000</v>
      </c>
      <c r="DK24" s="7">
        <v>44594</v>
      </c>
      <c r="DL24" s="7">
        <v>389329</v>
      </c>
      <c r="DM24" s="7">
        <v>0</v>
      </c>
      <c r="DN24" s="7">
        <f t="shared" si="15"/>
        <v>75000</v>
      </c>
      <c r="DO24" s="7">
        <v>75000</v>
      </c>
      <c r="DP24" s="7">
        <v>0</v>
      </c>
      <c r="DQ24" s="7">
        <v>0</v>
      </c>
      <c r="DR24" s="7">
        <v>0</v>
      </c>
      <c r="DS24" s="7">
        <v>0</v>
      </c>
      <c r="DT24" s="7">
        <v>0</v>
      </c>
      <c r="DU24" s="7">
        <v>0</v>
      </c>
      <c r="DV24" s="7">
        <v>0</v>
      </c>
      <c r="DW24" s="7">
        <v>0</v>
      </c>
      <c r="DX24" s="7">
        <v>0</v>
      </c>
      <c r="DY24" s="7">
        <v>0</v>
      </c>
    </row>
    <row r="25" spans="1:129" ht="15" customHeight="1">
      <c r="A25" s="4" t="s">
        <v>444</v>
      </c>
      <c r="B25" s="7">
        <f t="shared" si="0"/>
        <v>42187279</v>
      </c>
      <c r="C25" s="7">
        <f t="shared" si="1"/>
        <v>27018671</v>
      </c>
      <c r="D25" s="7">
        <f t="shared" si="2"/>
        <v>21848787</v>
      </c>
      <c r="E25" s="7">
        <f t="shared" si="9"/>
        <v>10527820</v>
      </c>
      <c r="F25" s="7">
        <v>5594466</v>
      </c>
      <c r="G25" s="7">
        <v>0</v>
      </c>
      <c r="H25" s="7">
        <v>575685</v>
      </c>
      <c r="I25" s="7">
        <v>174192</v>
      </c>
      <c r="J25" s="7">
        <v>179998</v>
      </c>
      <c r="K25" s="7">
        <v>267094</v>
      </c>
      <c r="L25" s="7">
        <v>1020882</v>
      </c>
      <c r="M25" s="7">
        <v>240966</v>
      </c>
      <c r="N25" s="7">
        <v>133547</v>
      </c>
      <c r="O25" s="7">
        <v>64125</v>
      </c>
      <c r="P25" s="7">
        <v>2276865</v>
      </c>
      <c r="Q25" s="7">
        <f t="shared" si="10"/>
        <v>3852479</v>
      </c>
      <c r="R25" s="7">
        <v>1639685</v>
      </c>
      <c r="S25" s="7">
        <v>0</v>
      </c>
      <c r="T25" s="7">
        <v>310642</v>
      </c>
      <c r="U25" s="7">
        <v>541500</v>
      </c>
      <c r="V25" s="7">
        <v>253560</v>
      </c>
      <c r="W25" s="7">
        <v>196543</v>
      </c>
      <c r="X25" s="7">
        <v>30200</v>
      </c>
      <c r="Y25" s="7">
        <v>245000</v>
      </c>
      <c r="Z25" s="7">
        <v>11570</v>
      </c>
      <c r="AA25" s="7">
        <v>66600</v>
      </c>
      <c r="AB25" s="7">
        <v>120392</v>
      </c>
      <c r="AC25" s="7">
        <v>92081</v>
      </c>
      <c r="AD25" s="7">
        <v>0</v>
      </c>
      <c r="AE25" s="7">
        <v>38750</v>
      </c>
      <c r="AF25" s="7">
        <v>294756</v>
      </c>
      <c r="AG25" s="7">
        <v>11200</v>
      </c>
      <c r="AH25" s="7">
        <v>6331767</v>
      </c>
      <c r="AI25" s="7">
        <v>719357</v>
      </c>
      <c r="AJ25" s="7">
        <v>122984</v>
      </c>
      <c r="AK25" s="7">
        <f t="shared" si="3"/>
        <v>294380</v>
      </c>
      <c r="AL25" s="7">
        <v>162780</v>
      </c>
      <c r="AM25" s="7">
        <v>131600</v>
      </c>
      <c r="AN25" s="7">
        <v>0</v>
      </c>
      <c r="AO25" s="7">
        <v>0</v>
      </c>
      <c r="AP25" s="7">
        <v>0</v>
      </c>
      <c r="AQ25" s="7">
        <v>0</v>
      </c>
      <c r="AR25" s="7">
        <v>0</v>
      </c>
      <c r="AS25" s="7">
        <f t="shared" si="11"/>
        <v>5169884</v>
      </c>
      <c r="AT25" s="7">
        <v>0</v>
      </c>
      <c r="AU25" s="7">
        <v>0</v>
      </c>
      <c r="AV25" s="7">
        <v>0</v>
      </c>
      <c r="AW25" s="7">
        <v>0</v>
      </c>
      <c r="AX25" s="7">
        <v>0</v>
      </c>
      <c r="AY25" s="7">
        <v>6000</v>
      </c>
      <c r="AZ25" s="7">
        <v>617600</v>
      </c>
      <c r="BA25" s="7">
        <v>3545601</v>
      </c>
      <c r="BB25" s="7">
        <v>690360</v>
      </c>
      <c r="BC25" s="7">
        <v>165973</v>
      </c>
      <c r="BD25" s="7">
        <v>0</v>
      </c>
      <c r="BE25" s="7">
        <v>11600</v>
      </c>
      <c r="BF25" s="7">
        <v>20000</v>
      </c>
      <c r="BG25" s="7">
        <v>61500</v>
      </c>
      <c r="BH25" s="7">
        <v>31250</v>
      </c>
      <c r="BI25" s="7">
        <v>20000</v>
      </c>
      <c r="BJ25" s="7">
        <v>0</v>
      </c>
      <c r="BK25" s="7">
        <v>0</v>
      </c>
      <c r="BL25" s="7">
        <v>0</v>
      </c>
      <c r="BM25" s="7">
        <v>0</v>
      </c>
      <c r="BN25" s="7">
        <f t="shared" si="4"/>
        <v>0</v>
      </c>
      <c r="BO25" s="7">
        <v>0</v>
      </c>
      <c r="BP25" s="7">
        <v>0</v>
      </c>
      <c r="BQ25" s="7">
        <v>0</v>
      </c>
      <c r="BR25" s="7">
        <v>0</v>
      </c>
      <c r="BS25" s="7">
        <v>0</v>
      </c>
      <c r="BT25" s="7">
        <v>0</v>
      </c>
      <c r="BU25" s="7">
        <v>0</v>
      </c>
      <c r="BV25" s="7">
        <v>0</v>
      </c>
      <c r="BW25" s="7">
        <f t="shared" si="5"/>
        <v>15168608</v>
      </c>
      <c r="BX25" s="7">
        <f t="shared" si="6"/>
        <v>20010</v>
      </c>
      <c r="BY25" s="7">
        <v>0</v>
      </c>
      <c r="BZ25" s="7">
        <v>0</v>
      </c>
      <c r="CA25" s="7">
        <v>20010</v>
      </c>
      <c r="CB25" s="7">
        <v>0</v>
      </c>
      <c r="CC25" s="7">
        <v>0</v>
      </c>
      <c r="CD25" s="7">
        <v>0</v>
      </c>
      <c r="CE25" s="7">
        <v>0</v>
      </c>
      <c r="CF25" s="7">
        <v>0</v>
      </c>
      <c r="CG25" s="7">
        <f t="shared" si="12"/>
        <v>12742577</v>
      </c>
      <c r="CH25" s="7">
        <v>16978538</v>
      </c>
      <c r="CI25" s="7">
        <f t="shared" si="7"/>
        <v>12742577</v>
      </c>
      <c r="CJ25" s="7">
        <v>0</v>
      </c>
      <c r="CK25" s="7">
        <f t="shared" si="8"/>
        <v>540828</v>
      </c>
      <c r="CL25" s="7">
        <v>0</v>
      </c>
      <c r="CM25" s="7">
        <v>26000</v>
      </c>
      <c r="CN25" s="7">
        <v>334828</v>
      </c>
      <c r="CO25" s="7">
        <v>180000</v>
      </c>
      <c r="CP25" s="7">
        <v>0</v>
      </c>
      <c r="CQ25" s="7">
        <v>0</v>
      </c>
      <c r="CR25" s="7">
        <v>0</v>
      </c>
      <c r="CS25" s="7">
        <f t="shared" si="13"/>
        <v>1094300</v>
      </c>
      <c r="CT25" s="7">
        <v>1074300</v>
      </c>
      <c r="CU25" s="7">
        <v>20000</v>
      </c>
      <c r="CV25" s="7">
        <v>0</v>
      </c>
      <c r="CW25" s="7">
        <v>0</v>
      </c>
      <c r="CX25" s="7">
        <v>0</v>
      </c>
      <c r="CY25" s="7">
        <v>0</v>
      </c>
      <c r="CZ25" s="7">
        <v>0</v>
      </c>
      <c r="DA25" s="7">
        <f t="shared" si="14"/>
        <v>542893</v>
      </c>
      <c r="DB25" s="7">
        <v>36000</v>
      </c>
      <c r="DC25" s="7">
        <v>299893</v>
      </c>
      <c r="DD25" s="7">
        <v>0</v>
      </c>
      <c r="DE25" s="7">
        <v>0</v>
      </c>
      <c r="DF25" s="7">
        <v>165000</v>
      </c>
      <c r="DG25" s="7">
        <v>0</v>
      </c>
      <c r="DH25" s="7">
        <v>0</v>
      </c>
      <c r="DI25" s="7">
        <v>42000</v>
      </c>
      <c r="DJ25" s="7">
        <v>0</v>
      </c>
      <c r="DK25" s="7">
        <v>0</v>
      </c>
      <c r="DL25" s="7">
        <v>0</v>
      </c>
      <c r="DM25" s="7">
        <v>0</v>
      </c>
      <c r="DN25" s="7">
        <f t="shared" si="15"/>
        <v>228000</v>
      </c>
      <c r="DO25" s="7">
        <v>0</v>
      </c>
      <c r="DP25" s="7">
        <v>0</v>
      </c>
      <c r="DQ25" s="7">
        <v>50000</v>
      </c>
      <c r="DR25" s="7">
        <v>50000</v>
      </c>
      <c r="DS25" s="7">
        <v>8000</v>
      </c>
      <c r="DT25" s="7">
        <v>5000</v>
      </c>
      <c r="DU25" s="7">
        <v>115000</v>
      </c>
      <c r="DV25" s="7">
        <v>0</v>
      </c>
      <c r="DW25" s="7">
        <v>0</v>
      </c>
      <c r="DX25" s="7">
        <v>0</v>
      </c>
      <c r="DY25" s="7">
        <v>0</v>
      </c>
    </row>
    <row r="26" spans="1:129" ht="15" customHeight="1">
      <c r="A26" s="4" t="s">
        <v>1944</v>
      </c>
      <c r="B26" s="7">
        <f t="shared" si="0"/>
        <v>44095724</v>
      </c>
      <c r="C26" s="7">
        <f t="shared" si="1"/>
        <v>34866929</v>
      </c>
      <c r="D26" s="7">
        <f t="shared" si="2"/>
        <v>31284826</v>
      </c>
      <c r="E26" s="7">
        <f t="shared" si="9"/>
        <v>9064462</v>
      </c>
      <c r="F26" s="7">
        <v>5638017</v>
      </c>
      <c r="G26" s="7">
        <v>0</v>
      </c>
      <c r="H26" s="7">
        <v>0</v>
      </c>
      <c r="I26" s="7">
        <v>175548</v>
      </c>
      <c r="J26" s="7">
        <v>181400</v>
      </c>
      <c r="K26" s="7">
        <v>269174</v>
      </c>
      <c r="L26" s="7">
        <v>1051756</v>
      </c>
      <c r="M26" s="7">
        <v>242841</v>
      </c>
      <c r="N26" s="7">
        <v>149216</v>
      </c>
      <c r="O26" s="7">
        <v>63750</v>
      </c>
      <c r="P26" s="7">
        <v>1292760</v>
      </c>
      <c r="Q26" s="7">
        <f t="shared" si="10"/>
        <v>5056386</v>
      </c>
      <c r="R26" s="7">
        <v>89547</v>
      </c>
      <c r="S26" s="7">
        <v>0</v>
      </c>
      <c r="T26" s="7">
        <v>327690</v>
      </c>
      <c r="U26" s="7">
        <v>684000</v>
      </c>
      <c r="V26" s="7">
        <v>887460</v>
      </c>
      <c r="W26" s="7">
        <v>223575</v>
      </c>
      <c r="X26" s="7">
        <v>82475</v>
      </c>
      <c r="Y26" s="7">
        <v>296900</v>
      </c>
      <c r="Z26" s="7">
        <v>11970</v>
      </c>
      <c r="AA26" s="7">
        <v>74500</v>
      </c>
      <c r="AB26" s="7">
        <v>0</v>
      </c>
      <c r="AC26" s="7">
        <v>121645</v>
      </c>
      <c r="AD26" s="7">
        <v>1960286</v>
      </c>
      <c r="AE26" s="7">
        <v>57374</v>
      </c>
      <c r="AF26" s="7">
        <v>234064</v>
      </c>
      <c r="AG26" s="7">
        <v>4900</v>
      </c>
      <c r="AH26" s="7">
        <v>13239197</v>
      </c>
      <c r="AI26" s="7">
        <v>3841201</v>
      </c>
      <c r="AJ26" s="7">
        <v>0</v>
      </c>
      <c r="AK26" s="7">
        <f t="shared" si="3"/>
        <v>83580</v>
      </c>
      <c r="AL26" s="7">
        <v>83580</v>
      </c>
      <c r="AM26" s="7">
        <v>0</v>
      </c>
      <c r="AN26" s="7">
        <v>0</v>
      </c>
      <c r="AO26" s="7">
        <v>0</v>
      </c>
      <c r="AP26" s="7">
        <v>0</v>
      </c>
      <c r="AQ26" s="7">
        <v>0</v>
      </c>
      <c r="AR26" s="7">
        <v>0</v>
      </c>
      <c r="AS26" s="7">
        <f t="shared" si="11"/>
        <v>3559438</v>
      </c>
      <c r="AT26" s="7">
        <v>0</v>
      </c>
      <c r="AU26" s="7">
        <v>0</v>
      </c>
      <c r="AV26" s="7">
        <v>0</v>
      </c>
      <c r="AW26" s="7">
        <v>0</v>
      </c>
      <c r="AX26" s="7">
        <v>0</v>
      </c>
      <c r="AY26" s="7">
        <v>1200</v>
      </c>
      <c r="AZ26" s="7">
        <v>635000</v>
      </c>
      <c r="BA26" s="7">
        <v>1713825</v>
      </c>
      <c r="BB26" s="7">
        <v>1057113</v>
      </c>
      <c r="BC26" s="7">
        <v>0</v>
      </c>
      <c r="BD26" s="7">
        <v>100000</v>
      </c>
      <c r="BE26" s="7">
        <v>7300</v>
      </c>
      <c r="BF26" s="7">
        <v>20000</v>
      </c>
      <c r="BG26" s="7">
        <v>0</v>
      </c>
      <c r="BH26" s="7">
        <v>25000</v>
      </c>
      <c r="BI26" s="7">
        <v>0</v>
      </c>
      <c r="BJ26" s="7">
        <v>0</v>
      </c>
      <c r="BK26" s="7">
        <v>0</v>
      </c>
      <c r="BL26" s="7">
        <v>0</v>
      </c>
      <c r="BM26" s="7">
        <v>0</v>
      </c>
      <c r="BN26" s="7">
        <f t="shared" si="4"/>
        <v>22665</v>
      </c>
      <c r="BO26" s="7">
        <v>0</v>
      </c>
      <c r="BP26" s="7">
        <v>0</v>
      </c>
      <c r="BQ26" s="7">
        <v>0</v>
      </c>
      <c r="BR26" s="7">
        <v>0</v>
      </c>
      <c r="BS26" s="7">
        <v>12000</v>
      </c>
      <c r="BT26" s="7">
        <v>10665</v>
      </c>
      <c r="BU26" s="7">
        <v>0</v>
      </c>
      <c r="BV26" s="7">
        <v>0</v>
      </c>
      <c r="BW26" s="7">
        <f t="shared" si="5"/>
        <v>9228795</v>
      </c>
      <c r="BX26" s="7">
        <f t="shared" si="6"/>
        <v>0</v>
      </c>
      <c r="BY26" s="7">
        <v>0</v>
      </c>
      <c r="BZ26" s="7">
        <v>0</v>
      </c>
      <c r="CA26" s="7">
        <v>0</v>
      </c>
      <c r="CB26" s="7">
        <v>0</v>
      </c>
      <c r="CC26" s="7">
        <v>0</v>
      </c>
      <c r="CD26" s="7">
        <v>0</v>
      </c>
      <c r="CE26" s="7">
        <v>0</v>
      </c>
      <c r="CF26" s="7">
        <v>0</v>
      </c>
      <c r="CG26" s="7">
        <f t="shared" si="12"/>
        <v>8468295</v>
      </c>
      <c r="CH26" s="7">
        <v>9535733</v>
      </c>
      <c r="CI26" s="7">
        <f t="shared" si="7"/>
        <v>6764795</v>
      </c>
      <c r="CJ26" s="7">
        <v>1703500</v>
      </c>
      <c r="CK26" s="7">
        <f t="shared" si="8"/>
        <v>110000</v>
      </c>
      <c r="CL26" s="7">
        <v>0</v>
      </c>
      <c r="CM26" s="7">
        <v>0</v>
      </c>
      <c r="CN26" s="7">
        <v>110000</v>
      </c>
      <c r="CO26" s="7">
        <v>0</v>
      </c>
      <c r="CP26" s="7">
        <v>0</v>
      </c>
      <c r="CQ26" s="7">
        <v>0</v>
      </c>
      <c r="CR26" s="7">
        <v>0</v>
      </c>
      <c r="CS26" s="7">
        <f t="shared" si="13"/>
        <v>350000</v>
      </c>
      <c r="CT26" s="7">
        <v>350000</v>
      </c>
      <c r="CU26" s="7">
        <v>0</v>
      </c>
      <c r="CV26" s="7">
        <v>0</v>
      </c>
      <c r="CW26" s="7">
        <v>0</v>
      </c>
      <c r="CX26" s="7">
        <v>0</v>
      </c>
      <c r="CY26" s="7">
        <v>0</v>
      </c>
      <c r="CZ26" s="7">
        <v>0</v>
      </c>
      <c r="DA26" s="7">
        <f t="shared" si="14"/>
        <v>251500</v>
      </c>
      <c r="DB26" s="7">
        <v>0</v>
      </c>
      <c r="DC26" s="7">
        <v>0</v>
      </c>
      <c r="DD26" s="7">
        <v>0</v>
      </c>
      <c r="DE26" s="7">
        <v>0</v>
      </c>
      <c r="DF26" s="7">
        <v>0</v>
      </c>
      <c r="DG26" s="7">
        <v>0</v>
      </c>
      <c r="DH26" s="7">
        <v>0</v>
      </c>
      <c r="DI26" s="7">
        <v>0</v>
      </c>
      <c r="DJ26" s="7">
        <v>70000</v>
      </c>
      <c r="DK26" s="7">
        <v>6500</v>
      </c>
      <c r="DL26" s="7">
        <v>175000</v>
      </c>
      <c r="DM26" s="7">
        <v>0</v>
      </c>
      <c r="DN26" s="7">
        <f t="shared" si="15"/>
        <v>49000</v>
      </c>
      <c r="DO26" s="7">
        <v>20000</v>
      </c>
      <c r="DP26" s="7">
        <v>0</v>
      </c>
      <c r="DQ26" s="7">
        <v>0</v>
      </c>
      <c r="DR26" s="7">
        <v>24000</v>
      </c>
      <c r="DS26" s="7">
        <v>5000</v>
      </c>
      <c r="DT26" s="7">
        <v>0</v>
      </c>
      <c r="DU26" s="7">
        <v>0</v>
      </c>
      <c r="DV26" s="7">
        <v>0</v>
      </c>
      <c r="DW26" s="7">
        <v>0</v>
      </c>
      <c r="DX26" s="7">
        <v>0</v>
      </c>
      <c r="DY26" s="7">
        <v>0</v>
      </c>
    </row>
    <row r="27" spans="1:129" ht="15" customHeight="1">
      <c r="A27" s="4" t="s">
        <v>450</v>
      </c>
      <c r="B27" s="7">
        <f t="shared" si="0"/>
        <v>29354152</v>
      </c>
      <c r="C27" s="7">
        <f t="shared" si="1"/>
        <v>13627660</v>
      </c>
      <c r="D27" s="7">
        <f t="shared" si="2"/>
        <v>10535279</v>
      </c>
      <c r="E27" s="7">
        <f t="shared" si="9"/>
        <v>5724500</v>
      </c>
      <c r="F27" s="7">
        <v>2872194</v>
      </c>
      <c r="G27" s="7">
        <v>25779</v>
      </c>
      <c r="H27" s="7">
        <v>514330</v>
      </c>
      <c r="I27" s="7">
        <v>89430</v>
      </c>
      <c r="J27" s="7">
        <v>92411</v>
      </c>
      <c r="K27" s="7">
        <v>137126</v>
      </c>
      <c r="L27" s="7">
        <v>487960</v>
      </c>
      <c r="M27" s="7">
        <v>123712</v>
      </c>
      <c r="N27" s="7">
        <v>68563</v>
      </c>
      <c r="O27" s="7">
        <v>35625</v>
      </c>
      <c r="P27" s="7">
        <v>1277370</v>
      </c>
      <c r="Q27" s="7">
        <f t="shared" si="10"/>
        <v>2401323</v>
      </c>
      <c r="R27" s="7">
        <v>1226359</v>
      </c>
      <c r="S27" s="7">
        <v>0</v>
      </c>
      <c r="T27" s="7">
        <v>162465</v>
      </c>
      <c r="U27" s="7">
        <v>266000</v>
      </c>
      <c r="V27" s="7">
        <v>162701</v>
      </c>
      <c r="W27" s="7">
        <v>78540</v>
      </c>
      <c r="X27" s="7">
        <v>33050</v>
      </c>
      <c r="Y27" s="7">
        <v>90500</v>
      </c>
      <c r="Z27" s="7">
        <v>238</v>
      </c>
      <c r="AA27" s="7">
        <v>6100</v>
      </c>
      <c r="AB27" s="7">
        <v>147282</v>
      </c>
      <c r="AC27" s="7">
        <v>80270</v>
      </c>
      <c r="AD27" s="7">
        <v>0</v>
      </c>
      <c r="AE27" s="7">
        <v>18778</v>
      </c>
      <c r="AF27" s="7">
        <v>119240</v>
      </c>
      <c r="AG27" s="7">
        <v>9800</v>
      </c>
      <c r="AH27" s="7">
        <v>895099</v>
      </c>
      <c r="AI27" s="7">
        <v>0</v>
      </c>
      <c r="AJ27" s="7">
        <v>1376797</v>
      </c>
      <c r="AK27" s="7">
        <f t="shared" si="3"/>
        <v>137560</v>
      </c>
      <c r="AL27" s="7">
        <v>104160</v>
      </c>
      <c r="AM27" s="7">
        <v>33400</v>
      </c>
      <c r="AN27" s="7">
        <v>0</v>
      </c>
      <c r="AO27" s="7">
        <v>0</v>
      </c>
      <c r="AP27" s="7">
        <v>0</v>
      </c>
      <c r="AQ27" s="7">
        <v>0</v>
      </c>
      <c r="AR27" s="7">
        <v>0</v>
      </c>
      <c r="AS27" s="7">
        <f t="shared" si="11"/>
        <v>3092381</v>
      </c>
      <c r="AT27" s="7">
        <v>0</v>
      </c>
      <c r="AU27" s="7">
        <v>0</v>
      </c>
      <c r="AV27" s="7">
        <v>0</v>
      </c>
      <c r="AW27" s="7">
        <v>0</v>
      </c>
      <c r="AX27" s="7">
        <v>0</v>
      </c>
      <c r="AY27" s="7">
        <v>1000</v>
      </c>
      <c r="AZ27" s="7">
        <v>400000</v>
      </c>
      <c r="BA27" s="7">
        <v>1647474</v>
      </c>
      <c r="BB27" s="7">
        <v>792657</v>
      </c>
      <c r="BC27" s="7">
        <v>90000</v>
      </c>
      <c r="BD27" s="7">
        <v>80000</v>
      </c>
      <c r="BE27" s="7">
        <v>0</v>
      </c>
      <c r="BF27" s="7">
        <v>20000</v>
      </c>
      <c r="BG27" s="7">
        <v>30000</v>
      </c>
      <c r="BH27" s="7">
        <v>31250</v>
      </c>
      <c r="BI27" s="7">
        <v>0</v>
      </c>
      <c r="BJ27" s="7">
        <v>0</v>
      </c>
      <c r="BK27" s="7">
        <v>0</v>
      </c>
      <c r="BL27" s="7">
        <v>0</v>
      </c>
      <c r="BM27" s="7">
        <v>0</v>
      </c>
      <c r="BN27" s="7">
        <f t="shared" si="4"/>
        <v>0</v>
      </c>
      <c r="BO27" s="7">
        <v>0</v>
      </c>
      <c r="BP27" s="7">
        <v>0</v>
      </c>
      <c r="BQ27" s="7">
        <v>0</v>
      </c>
      <c r="BR27" s="7">
        <v>0</v>
      </c>
      <c r="BS27" s="7">
        <v>0</v>
      </c>
      <c r="BT27" s="7">
        <v>0</v>
      </c>
      <c r="BU27" s="7">
        <v>0</v>
      </c>
      <c r="BV27" s="7">
        <v>0</v>
      </c>
      <c r="BW27" s="7">
        <f t="shared" si="5"/>
        <v>15726492</v>
      </c>
      <c r="BX27" s="7">
        <f t="shared" si="6"/>
        <v>0</v>
      </c>
      <c r="BY27" s="7">
        <v>0</v>
      </c>
      <c r="BZ27" s="7">
        <v>0</v>
      </c>
      <c r="CA27" s="7">
        <v>0</v>
      </c>
      <c r="CB27" s="7">
        <v>0</v>
      </c>
      <c r="CC27" s="7">
        <v>0</v>
      </c>
      <c r="CD27" s="7">
        <v>0</v>
      </c>
      <c r="CE27" s="7">
        <v>0</v>
      </c>
      <c r="CF27" s="7">
        <v>0</v>
      </c>
      <c r="CG27" s="7">
        <f t="shared" si="12"/>
        <v>7849228</v>
      </c>
      <c r="CH27" s="7">
        <v>10289359</v>
      </c>
      <c r="CI27" s="7">
        <f t="shared" si="7"/>
        <v>7849228</v>
      </c>
      <c r="CJ27" s="7">
        <v>0</v>
      </c>
      <c r="CK27" s="7">
        <f t="shared" si="8"/>
        <v>67600</v>
      </c>
      <c r="CL27" s="7">
        <v>0</v>
      </c>
      <c r="CM27" s="7">
        <v>13000</v>
      </c>
      <c r="CN27" s="7">
        <v>0</v>
      </c>
      <c r="CO27" s="7">
        <v>0</v>
      </c>
      <c r="CP27" s="7">
        <v>46600</v>
      </c>
      <c r="CQ27" s="7">
        <v>8000</v>
      </c>
      <c r="CR27" s="7">
        <v>0</v>
      </c>
      <c r="CS27" s="7">
        <f t="shared" si="13"/>
        <v>7788664</v>
      </c>
      <c r="CT27" s="7">
        <v>7258464</v>
      </c>
      <c r="CU27" s="7">
        <v>0</v>
      </c>
      <c r="CV27" s="7">
        <v>335940</v>
      </c>
      <c r="CW27" s="7">
        <v>194260</v>
      </c>
      <c r="CX27" s="7">
        <v>0</v>
      </c>
      <c r="CY27" s="7">
        <v>0</v>
      </c>
      <c r="CZ27" s="7">
        <v>0</v>
      </c>
      <c r="DA27" s="7">
        <f t="shared" si="14"/>
        <v>14000</v>
      </c>
      <c r="DB27" s="7">
        <v>0</v>
      </c>
      <c r="DC27" s="7">
        <v>14000</v>
      </c>
      <c r="DD27" s="7">
        <v>0</v>
      </c>
      <c r="DE27" s="7">
        <v>0</v>
      </c>
      <c r="DF27" s="7">
        <v>0</v>
      </c>
      <c r="DG27" s="7">
        <v>0</v>
      </c>
      <c r="DH27" s="7">
        <v>0</v>
      </c>
      <c r="DI27" s="7">
        <v>0</v>
      </c>
      <c r="DJ27" s="7">
        <v>0</v>
      </c>
      <c r="DK27" s="7">
        <v>0</v>
      </c>
      <c r="DL27" s="7">
        <v>0</v>
      </c>
      <c r="DM27" s="7">
        <v>0</v>
      </c>
      <c r="DN27" s="7">
        <f t="shared" si="15"/>
        <v>7000</v>
      </c>
      <c r="DO27" s="7">
        <v>2000</v>
      </c>
      <c r="DP27" s="7">
        <v>0</v>
      </c>
      <c r="DQ27" s="7">
        <v>5000</v>
      </c>
      <c r="DR27" s="7">
        <v>0</v>
      </c>
      <c r="DS27" s="7">
        <v>0</v>
      </c>
      <c r="DT27" s="7">
        <v>0</v>
      </c>
      <c r="DU27" s="7">
        <v>0</v>
      </c>
      <c r="DV27" s="7">
        <v>0</v>
      </c>
      <c r="DW27" s="7">
        <v>0</v>
      </c>
      <c r="DX27" s="7">
        <v>0</v>
      </c>
      <c r="DY27" s="7">
        <v>0</v>
      </c>
    </row>
    <row r="28" spans="1:129" ht="15" customHeight="1">
      <c r="A28" s="4" t="s">
        <v>1945</v>
      </c>
      <c r="B28" s="7">
        <f t="shared" si="0"/>
        <v>168552461</v>
      </c>
      <c r="C28" s="7">
        <f t="shared" si="1"/>
        <v>83481436</v>
      </c>
      <c r="D28" s="7">
        <f t="shared" si="2"/>
        <v>53154527</v>
      </c>
      <c r="E28" s="7">
        <f t="shared" si="9"/>
        <v>38615537</v>
      </c>
      <c r="F28" s="7">
        <v>24848665</v>
      </c>
      <c r="G28" s="7">
        <v>56206</v>
      </c>
      <c r="H28" s="7">
        <v>0</v>
      </c>
      <c r="I28" s="7">
        <v>773700</v>
      </c>
      <c r="J28" s="7">
        <v>799490</v>
      </c>
      <c r="K28" s="7">
        <v>1186340</v>
      </c>
      <c r="L28" s="7">
        <v>4160108</v>
      </c>
      <c r="M28" s="7">
        <v>1070285</v>
      </c>
      <c r="N28" s="7">
        <v>502905</v>
      </c>
      <c r="O28" s="7">
        <v>297313</v>
      </c>
      <c r="P28" s="7">
        <v>4920525</v>
      </c>
      <c r="Q28" s="7">
        <f t="shared" si="10"/>
        <v>12372926</v>
      </c>
      <c r="R28" s="7">
        <v>1061367</v>
      </c>
      <c r="S28" s="7">
        <v>0</v>
      </c>
      <c r="T28" s="7">
        <v>967125</v>
      </c>
      <c r="U28" s="7">
        <v>2584000</v>
      </c>
      <c r="V28" s="7">
        <v>3053285</v>
      </c>
      <c r="W28" s="7">
        <v>208725</v>
      </c>
      <c r="X28" s="7">
        <v>1579050</v>
      </c>
      <c r="Y28" s="7">
        <v>333000</v>
      </c>
      <c r="Z28" s="7">
        <v>3164</v>
      </c>
      <c r="AA28" s="7">
        <v>686500</v>
      </c>
      <c r="AB28" s="7">
        <v>0</v>
      </c>
      <c r="AC28" s="7">
        <v>676767</v>
      </c>
      <c r="AD28" s="7">
        <v>0</v>
      </c>
      <c r="AE28" s="7">
        <v>164543</v>
      </c>
      <c r="AF28" s="7">
        <v>1031600</v>
      </c>
      <c r="AG28" s="7">
        <v>23800</v>
      </c>
      <c r="AH28" s="7">
        <v>1540181</v>
      </c>
      <c r="AI28" s="7">
        <v>0</v>
      </c>
      <c r="AJ28" s="7">
        <v>211923</v>
      </c>
      <c r="AK28" s="7">
        <f t="shared" si="3"/>
        <v>413960</v>
      </c>
      <c r="AL28" s="7">
        <v>330060</v>
      </c>
      <c r="AM28" s="7">
        <v>83900</v>
      </c>
      <c r="AN28" s="7">
        <v>0</v>
      </c>
      <c r="AO28" s="7">
        <v>0</v>
      </c>
      <c r="AP28" s="7">
        <v>0</v>
      </c>
      <c r="AQ28" s="7">
        <v>0</v>
      </c>
      <c r="AR28" s="7">
        <v>0</v>
      </c>
      <c r="AS28" s="7">
        <f t="shared" si="11"/>
        <v>30242825</v>
      </c>
      <c r="AT28" s="7">
        <v>0</v>
      </c>
      <c r="AU28" s="7">
        <v>0</v>
      </c>
      <c r="AV28" s="7">
        <v>0</v>
      </c>
      <c r="AW28" s="7">
        <v>0</v>
      </c>
      <c r="AX28" s="7">
        <v>45000</v>
      </c>
      <c r="AY28" s="7">
        <v>25000</v>
      </c>
      <c r="AZ28" s="7">
        <v>2617000</v>
      </c>
      <c r="BA28" s="7">
        <v>21216523</v>
      </c>
      <c r="BB28" s="7">
        <v>4798982</v>
      </c>
      <c r="BC28" s="7">
        <v>1210619</v>
      </c>
      <c r="BD28" s="7">
        <v>0</v>
      </c>
      <c r="BE28" s="7">
        <v>77000</v>
      </c>
      <c r="BF28" s="7">
        <v>66162</v>
      </c>
      <c r="BG28" s="7">
        <v>106539</v>
      </c>
      <c r="BH28" s="7">
        <v>80000</v>
      </c>
      <c r="BI28" s="7">
        <v>0</v>
      </c>
      <c r="BJ28" s="7">
        <v>0</v>
      </c>
      <c r="BK28" s="7">
        <v>0</v>
      </c>
      <c r="BL28" s="7">
        <v>0</v>
      </c>
      <c r="BM28" s="7">
        <v>0</v>
      </c>
      <c r="BN28" s="7">
        <f t="shared" si="4"/>
        <v>84084</v>
      </c>
      <c r="BO28" s="7">
        <v>0</v>
      </c>
      <c r="BP28" s="7">
        <v>0</v>
      </c>
      <c r="BQ28" s="7">
        <v>84084</v>
      </c>
      <c r="BR28" s="7">
        <v>0</v>
      </c>
      <c r="BS28" s="7">
        <v>0</v>
      </c>
      <c r="BT28" s="7">
        <v>0</v>
      </c>
      <c r="BU28" s="7">
        <v>0</v>
      </c>
      <c r="BV28" s="7">
        <v>0</v>
      </c>
      <c r="BW28" s="7">
        <f t="shared" si="5"/>
        <v>85071025</v>
      </c>
      <c r="BX28" s="7">
        <f t="shared" si="6"/>
        <v>0</v>
      </c>
      <c r="BY28" s="7">
        <v>0</v>
      </c>
      <c r="BZ28" s="7">
        <v>0</v>
      </c>
      <c r="CA28" s="7">
        <v>0</v>
      </c>
      <c r="CB28" s="7">
        <v>0</v>
      </c>
      <c r="CC28" s="7">
        <v>0</v>
      </c>
      <c r="CD28" s="7">
        <v>0</v>
      </c>
      <c r="CE28" s="7">
        <v>0</v>
      </c>
      <c r="CF28" s="7">
        <v>0</v>
      </c>
      <c r="CG28" s="7">
        <f t="shared" si="12"/>
        <v>81157025</v>
      </c>
      <c r="CH28" s="7">
        <v>107172530</v>
      </c>
      <c r="CI28" s="7">
        <f t="shared" si="7"/>
        <v>81157025</v>
      </c>
      <c r="CJ28" s="7">
        <v>0</v>
      </c>
      <c r="CK28" s="7">
        <f t="shared" si="8"/>
        <v>592000</v>
      </c>
      <c r="CL28" s="7">
        <v>0</v>
      </c>
      <c r="CM28" s="7">
        <v>592000</v>
      </c>
      <c r="CN28" s="7">
        <v>0</v>
      </c>
      <c r="CO28" s="7">
        <v>0</v>
      </c>
      <c r="CP28" s="7">
        <v>0</v>
      </c>
      <c r="CQ28" s="7">
        <v>0</v>
      </c>
      <c r="CR28" s="7">
        <v>0</v>
      </c>
      <c r="CS28" s="7">
        <f t="shared" si="13"/>
        <v>0</v>
      </c>
      <c r="CT28" s="7">
        <v>0</v>
      </c>
      <c r="CU28" s="7">
        <v>0</v>
      </c>
      <c r="CV28" s="7">
        <v>0</v>
      </c>
      <c r="CW28" s="7">
        <v>0</v>
      </c>
      <c r="CX28" s="7">
        <v>0</v>
      </c>
      <c r="CY28" s="7">
        <v>0</v>
      </c>
      <c r="CZ28" s="7">
        <v>0</v>
      </c>
      <c r="DA28" s="7">
        <f t="shared" si="14"/>
        <v>3190000</v>
      </c>
      <c r="DB28" s="7">
        <v>0</v>
      </c>
      <c r="DC28" s="7">
        <v>2410000</v>
      </c>
      <c r="DD28" s="7">
        <v>0</v>
      </c>
      <c r="DE28" s="7">
        <v>0</v>
      </c>
      <c r="DF28" s="7">
        <v>0</v>
      </c>
      <c r="DG28" s="7">
        <v>0</v>
      </c>
      <c r="DH28" s="7">
        <v>0</v>
      </c>
      <c r="DI28" s="7">
        <v>215000</v>
      </c>
      <c r="DJ28" s="7">
        <v>100000</v>
      </c>
      <c r="DK28" s="7">
        <v>350000</v>
      </c>
      <c r="DL28" s="7">
        <v>115000</v>
      </c>
      <c r="DM28" s="7">
        <v>0</v>
      </c>
      <c r="DN28" s="7">
        <f t="shared" si="15"/>
        <v>132000</v>
      </c>
      <c r="DO28" s="7">
        <v>80000</v>
      </c>
      <c r="DP28" s="7">
        <v>0</v>
      </c>
      <c r="DQ28" s="7">
        <v>32500</v>
      </c>
      <c r="DR28" s="7">
        <v>19500</v>
      </c>
      <c r="DS28" s="7">
        <v>0</v>
      </c>
      <c r="DT28" s="7">
        <v>0</v>
      </c>
      <c r="DU28" s="7">
        <v>0</v>
      </c>
      <c r="DV28" s="7">
        <v>0</v>
      </c>
      <c r="DW28" s="7">
        <v>0</v>
      </c>
      <c r="DX28" s="7">
        <v>0</v>
      </c>
      <c r="DY28" s="7">
        <v>0</v>
      </c>
    </row>
    <row r="29" spans="1:129" ht="15" customHeight="1">
      <c r="A29" s="4" t="s">
        <v>1946</v>
      </c>
      <c r="B29" s="7">
        <f t="shared" si="0"/>
        <v>15470735</v>
      </c>
      <c r="C29" s="7">
        <f t="shared" si="1"/>
        <v>9090938</v>
      </c>
      <c r="D29" s="7">
        <f t="shared" si="2"/>
        <v>7426118</v>
      </c>
      <c r="E29" s="7">
        <f t="shared" si="9"/>
        <v>3734348</v>
      </c>
      <c r="F29" s="7">
        <v>1907730</v>
      </c>
      <c r="G29" s="7">
        <v>23795</v>
      </c>
      <c r="H29" s="7">
        <v>325612</v>
      </c>
      <c r="I29" s="7">
        <v>59400</v>
      </c>
      <c r="J29" s="7">
        <v>61380</v>
      </c>
      <c r="K29" s="7">
        <v>91080</v>
      </c>
      <c r="L29" s="7">
        <v>325141</v>
      </c>
      <c r="M29" s="7">
        <v>82170</v>
      </c>
      <c r="N29" s="7">
        <v>45540</v>
      </c>
      <c r="O29" s="7">
        <v>21625</v>
      </c>
      <c r="P29" s="7">
        <v>790875</v>
      </c>
      <c r="Q29" s="7">
        <f t="shared" si="10"/>
        <v>1630980</v>
      </c>
      <c r="R29" s="7">
        <v>650755</v>
      </c>
      <c r="S29" s="7">
        <v>0</v>
      </c>
      <c r="T29" s="7">
        <v>106920</v>
      </c>
      <c r="U29" s="7">
        <v>199500</v>
      </c>
      <c r="V29" s="7">
        <v>253560</v>
      </c>
      <c r="W29" s="7">
        <v>52085</v>
      </c>
      <c r="X29" s="7">
        <v>62150</v>
      </c>
      <c r="Y29" s="7">
        <v>47000</v>
      </c>
      <c r="Z29" s="7">
        <v>0</v>
      </c>
      <c r="AA29" s="7">
        <v>2600</v>
      </c>
      <c r="AB29" s="7">
        <v>114821</v>
      </c>
      <c r="AC29" s="7">
        <v>38649</v>
      </c>
      <c r="AD29" s="7">
        <v>0</v>
      </c>
      <c r="AE29" s="7">
        <v>13940</v>
      </c>
      <c r="AF29" s="7">
        <v>79200</v>
      </c>
      <c r="AG29" s="7">
        <v>9800</v>
      </c>
      <c r="AH29" s="7">
        <v>1315621</v>
      </c>
      <c r="AI29" s="7">
        <v>0</v>
      </c>
      <c r="AJ29" s="7">
        <v>651529</v>
      </c>
      <c r="AK29" s="7">
        <f t="shared" si="3"/>
        <v>93640</v>
      </c>
      <c r="AL29" s="7">
        <v>74340</v>
      </c>
      <c r="AM29" s="7">
        <v>19300</v>
      </c>
      <c r="AN29" s="7">
        <v>0</v>
      </c>
      <c r="AO29" s="7">
        <v>0</v>
      </c>
      <c r="AP29" s="7">
        <v>0</v>
      </c>
      <c r="AQ29" s="7">
        <v>0</v>
      </c>
      <c r="AR29" s="7">
        <v>0</v>
      </c>
      <c r="AS29" s="7">
        <f t="shared" si="11"/>
        <v>1664820</v>
      </c>
      <c r="AT29" s="7">
        <v>0</v>
      </c>
      <c r="AU29" s="7">
        <v>0</v>
      </c>
      <c r="AV29" s="7">
        <v>0</v>
      </c>
      <c r="AW29" s="7">
        <v>0</v>
      </c>
      <c r="AX29" s="7">
        <v>0</v>
      </c>
      <c r="AY29" s="7">
        <v>1200</v>
      </c>
      <c r="AZ29" s="7">
        <v>237220</v>
      </c>
      <c r="BA29" s="7">
        <v>1024857</v>
      </c>
      <c r="BB29" s="7">
        <v>331543</v>
      </c>
      <c r="BC29" s="7">
        <v>30000</v>
      </c>
      <c r="BD29" s="7">
        <v>0</v>
      </c>
      <c r="BE29" s="7">
        <v>0</v>
      </c>
      <c r="BF29" s="7">
        <v>20000</v>
      </c>
      <c r="BG29" s="7">
        <v>20000</v>
      </c>
      <c r="BH29" s="7">
        <v>0</v>
      </c>
      <c r="BI29" s="7">
        <v>0</v>
      </c>
      <c r="BJ29" s="7">
        <v>0</v>
      </c>
      <c r="BK29" s="7">
        <v>0</v>
      </c>
      <c r="BL29" s="7">
        <v>0</v>
      </c>
      <c r="BM29" s="7">
        <v>0</v>
      </c>
      <c r="BN29" s="7">
        <f t="shared" si="4"/>
        <v>0</v>
      </c>
      <c r="BO29" s="7">
        <v>0</v>
      </c>
      <c r="BP29" s="7">
        <v>0</v>
      </c>
      <c r="BQ29" s="7">
        <v>0</v>
      </c>
      <c r="BR29" s="7">
        <v>0</v>
      </c>
      <c r="BS29" s="7">
        <v>0</v>
      </c>
      <c r="BT29" s="7">
        <v>0</v>
      </c>
      <c r="BU29" s="7">
        <v>0</v>
      </c>
      <c r="BV29" s="7">
        <v>0</v>
      </c>
      <c r="BW29" s="7">
        <f t="shared" si="5"/>
        <v>6379797</v>
      </c>
      <c r="BX29" s="7">
        <f t="shared" si="6"/>
        <v>0</v>
      </c>
      <c r="BY29" s="7">
        <v>0</v>
      </c>
      <c r="BZ29" s="7">
        <v>0</v>
      </c>
      <c r="CA29" s="7">
        <v>0</v>
      </c>
      <c r="CB29" s="7">
        <v>0</v>
      </c>
      <c r="CC29" s="7">
        <v>0</v>
      </c>
      <c r="CD29" s="7">
        <v>0</v>
      </c>
      <c r="CE29" s="7">
        <v>0</v>
      </c>
      <c r="CF29" s="7">
        <v>0</v>
      </c>
      <c r="CG29" s="7">
        <f t="shared" si="12"/>
        <v>6330497</v>
      </c>
      <c r="CH29" s="7">
        <v>7686897</v>
      </c>
      <c r="CI29" s="7">
        <f t="shared" si="7"/>
        <v>6330497</v>
      </c>
      <c r="CJ29" s="7">
        <v>0</v>
      </c>
      <c r="CK29" s="7">
        <f t="shared" si="8"/>
        <v>37500</v>
      </c>
      <c r="CL29" s="7">
        <v>0</v>
      </c>
      <c r="CM29" s="7">
        <v>32500</v>
      </c>
      <c r="CN29" s="7">
        <v>0</v>
      </c>
      <c r="CO29" s="7">
        <v>0</v>
      </c>
      <c r="CP29" s="7">
        <v>5000</v>
      </c>
      <c r="CQ29" s="7">
        <v>0</v>
      </c>
      <c r="CR29" s="7">
        <v>0</v>
      </c>
      <c r="CS29" s="7">
        <f t="shared" si="13"/>
        <v>0</v>
      </c>
      <c r="CT29" s="7">
        <v>0</v>
      </c>
      <c r="CU29" s="7">
        <v>0</v>
      </c>
      <c r="CV29" s="7">
        <v>0</v>
      </c>
      <c r="CW29" s="7">
        <v>0</v>
      </c>
      <c r="CX29" s="7">
        <v>0</v>
      </c>
      <c r="CY29" s="7">
        <v>0</v>
      </c>
      <c r="CZ29" s="7">
        <v>0</v>
      </c>
      <c r="DA29" s="7">
        <f t="shared" si="14"/>
        <v>0</v>
      </c>
      <c r="DB29" s="7">
        <v>0</v>
      </c>
      <c r="DC29" s="7">
        <v>0</v>
      </c>
      <c r="DD29" s="7">
        <v>0</v>
      </c>
      <c r="DE29" s="7">
        <v>0</v>
      </c>
      <c r="DF29" s="7">
        <v>0</v>
      </c>
      <c r="DG29" s="7">
        <v>0</v>
      </c>
      <c r="DH29" s="7">
        <v>0</v>
      </c>
      <c r="DI29" s="7">
        <v>0</v>
      </c>
      <c r="DJ29" s="7">
        <v>0</v>
      </c>
      <c r="DK29" s="7">
        <v>0</v>
      </c>
      <c r="DL29" s="7">
        <v>0</v>
      </c>
      <c r="DM29" s="7">
        <v>0</v>
      </c>
      <c r="DN29" s="7">
        <f t="shared" si="15"/>
        <v>11800</v>
      </c>
      <c r="DO29" s="7">
        <v>8000</v>
      </c>
      <c r="DP29" s="7">
        <v>0</v>
      </c>
      <c r="DQ29" s="7">
        <v>2900</v>
      </c>
      <c r="DR29" s="7">
        <v>900</v>
      </c>
      <c r="DS29" s="7">
        <v>0</v>
      </c>
      <c r="DT29" s="7">
        <v>0</v>
      </c>
      <c r="DU29" s="7">
        <v>0</v>
      </c>
      <c r="DV29" s="7">
        <v>0</v>
      </c>
      <c r="DW29" s="7">
        <v>0</v>
      </c>
      <c r="DX29" s="7">
        <v>0</v>
      </c>
      <c r="DY29" s="7">
        <v>0</v>
      </c>
    </row>
    <row r="30" spans="1:129" ht="15" customHeight="1">
      <c r="A30" s="4" t="s">
        <v>451</v>
      </c>
      <c r="B30" s="7">
        <f t="shared" si="0"/>
        <v>39450000</v>
      </c>
      <c r="C30" s="7">
        <f t="shared" si="1"/>
        <v>23584511</v>
      </c>
      <c r="D30" s="7">
        <f t="shared" si="2"/>
        <v>19011271</v>
      </c>
      <c r="E30" s="7">
        <f t="shared" si="9"/>
        <v>10224876</v>
      </c>
      <c r="F30" s="7">
        <v>6013204</v>
      </c>
      <c r="G30" s="7">
        <v>0</v>
      </c>
      <c r="H30" s="7">
        <v>197573</v>
      </c>
      <c r="I30" s="7">
        <v>187230</v>
      </c>
      <c r="J30" s="7">
        <v>193471</v>
      </c>
      <c r="K30" s="7">
        <v>287086</v>
      </c>
      <c r="L30" s="7">
        <v>1095290</v>
      </c>
      <c r="M30" s="7">
        <v>259002</v>
      </c>
      <c r="N30" s="7">
        <v>121700</v>
      </c>
      <c r="O30" s="7">
        <v>67125</v>
      </c>
      <c r="P30" s="7">
        <v>1803195</v>
      </c>
      <c r="Q30" s="7">
        <f t="shared" si="10"/>
        <v>3704429</v>
      </c>
      <c r="R30" s="7">
        <v>827399</v>
      </c>
      <c r="S30" s="7">
        <v>0</v>
      </c>
      <c r="T30" s="7">
        <v>308930</v>
      </c>
      <c r="U30" s="7">
        <v>831250</v>
      </c>
      <c r="V30" s="7">
        <v>644465</v>
      </c>
      <c r="W30" s="7">
        <v>190025</v>
      </c>
      <c r="X30" s="7">
        <v>126300</v>
      </c>
      <c r="Y30" s="7">
        <v>245000</v>
      </c>
      <c r="Z30" s="7">
        <v>2086</v>
      </c>
      <c r="AA30" s="7">
        <v>84100</v>
      </c>
      <c r="AB30" s="7">
        <v>85883</v>
      </c>
      <c r="AC30" s="7">
        <v>42374</v>
      </c>
      <c r="AD30" s="7">
        <v>0</v>
      </c>
      <c r="AE30" s="7">
        <v>54377</v>
      </c>
      <c r="AF30" s="7">
        <v>249640</v>
      </c>
      <c r="AG30" s="7">
        <v>12600</v>
      </c>
      <c r="AH30" s="7">
        <v>4907626</v>
      </c>
      <c r="AI30" s="7">
        <v>0</v>
      </c>
      <c r="AJ30" s="7">
        <v>0</v>
      </c>
      <c r="AK30" s="7">
        <f t="shared" si="3"/>
        <v>174340</v>
      </c>
      <c r="AL30" s="7">
        <v>129840</v>
      </c>
      <c r="AM30" s="7">
        <v>44500</v>
      </c>
      <c r="AN30" s="7">
        <v>0</v>
      </c>
      <c r="AO30" s="7">
        <v>0</v>
      </c>
      <c r="AP30" s="7">
        <v>0</v>
      </c>
      <c r="AQ30" s="7">
        <v>0</v>
      </c>
      <c r="AR30" s="7">
        <v>0</v>
      </c>
      <c r="AS30" s="7">
        <f t="shared" si="11"/>
        <v>4573240</v>
      </c>
      <c r="AT30" s="7">
        <v>0</v>
      </c>
      <c r="AU30" s="7">
        <v>0</v>
      </c>
      <c r="AV30" s="7">
        <v>0</v>
      </c>
      <c r="AW30" s="7">
        <v>0</v>
      </c>
      <c r="AX30" s="7">
        <v>0</v>
      </c>
      <c r="AY30" s="7">
        <v>6700</v>
      </c>
      <c r="AZ30" s="7">
        <v>601597</v>
      </c>
      <c r="BA30" s="7">
        <v>3268418</v>
      </c>
      <c r="BB30" s="7">
        <v>520366</v>
      </c>
      <c r="BC30" s="7">
        <v>106159</v>
      </c>
      <c r="BD30" s="7">
        <v>0</v>
      </c>
      <c r="BE30" s="7">
        <v>0</v>
      </c>
      <c r="BF30" s="7">
        <v>20000</v>
      </c>
      <c r="BG30" s="7">
        <v>50000</v>
      </c>
      <c r="BH30" s="7">
        <v>0</v>
      </c>
      <c r="BI30" s="7">
        <v>0</v>
      </c>
      <c r="BJ30" s="7">
        <v>0</v>
      </c>
      <c r="BK30" s="7">
        <v>0</v>
      </c>
      <c r="BL30" s="7">
        <v>0</v>
      </c>
      <c r="BM30" s="7">
        <v>0</v>
      </c>
      <c r="BN30" s="7">
        <f t="shared" si="4"/>
        <v>0</v>
      </c>
      <c r="BO30" s="7">
        <v>0</v>
      </c>
      <c r="BP30" s="7">
        <v>0</v>
      </c>
      <c r="BQ30" s="7">
        <v>0</v>
      </c>
      <c r="BR30" s="7">
        <v>0</v>
      </c>
      <c r="BS30" s="7">
        <v>0</v>
      </c>
      <c r="BT30" s="7">
        <v>0</v>
      </c>
      <c r="BU30" s="7">
        <v>0</v>
      </c>
      <c r="BV30" s="7">
        <v>0</v>
      </c>
      <c r="BW30" s="7">
        <f t="shared" si="5"/>
        <v>15865489</v>
      </c>
      <c r="BX30" s="7">
        <f t="shared" si="6"/>
        <v>0</v>
      </c>
      <c r="BY30" s="7">
        <v>0</v>
      </c>
      <c r="BZ30" s="7">
        <v>0</v>
      </c>
      <c r="CA30" s="7">
        <v>0</v>
      </c>
      <c r="CB30" s="7">
        <v>0</v>
      </c>
      <c r="CC30" s="7">
        <v>0</v>
      </c>
      <c r="CD30" s="7">
        <v>0</v>
      </c>
      <c r="CE30" s="7">
        <v>0</v>
      </c>
      <c r="CF30" s="7">
        <v>0</v>
      </c>
      <c r="CG30" s="7">
        <f t="shared" si="12"/>
        <v>14787229</v>
      </c>
      <c r="CH30" s="7">
        <v>18576013</v>
      </c>
      <c r="CI30" s="7">
        <f t="shared" si="7"/>
        <v>14787229</v>
      </c>
      <c r="CJ30" s="7">
        <v>0</v>
      </c>
      <c r="CK30" s="7">
        <f t="shared" si="8"/>
        <v>180000</v>
      </c>
      <c r="CL30" s="7">
        <v>135000</v>
      </c>
      <c r="CM30" s="7">
        <v>40000</v>
      </c>
      <c r="CN30" s="7">
        <v>5000</v>
      </c>
      <c r="CO30" s="7">
        <v>0</v>
      </c>
      <c r="CP30" s="7">
        <v>0</v>
      </c>
      <c r="CQ30" s="7">
        <v>0</v>
      </c>
      <c r="CR30" s="7">
        <v>0</v>
      </c>
      <c r="CS30" s="7">
        <f t="shared" si="13"/>
        <v>865260</v>
      </c>
      <c r="CT30" s="7">
        <v>865260</v>
      </c>
      <c r="CU30" s="7">
        <v>0</v>
      </c>
      <c r="CV30" s="7">
        <v>0</v>
      </c>
      <c r="CW30" s="7">
        <v>0</v>
      </c>
      <c r="CX30" s="7">
        <v>0</v>
      </c>
      <c r="CY30" s="7">
        <v>0</v>
      </c>
      <c r="CZ30" s="7">
        <v>0</v>
      </c>
      <c r="DA30" s="7">
        <f t="shared" si="14"/>
        <v>5000</v>
      </c>
      <c r="DB30" s="7">
        <v>0</v>
      </c>
      <c r="DC30" s="7">
        <v>0</v>
      </c>
      <c r="DD30" s="7">
        <v>0</v>
      </c>
      <c r="DE30" s="7">
        <v>0</v>
      </c>
      <c r="DF30" s="7">
        <v>0</v>
      </c>
      <c r="DG30" s="7">
        <v>0</v>
      </c>
      <c r="DH30" s="7">
        <v>0</v>
      </c>
      <c r="DI30" s="7">
        <v>5000</v>
      </c>
      <c r="DJ30" s="7">
        <v>0</v>
      </c>
      <c r="DK30" s="7">
        <v>0</v>
      </c>
      <c r="DL30" s="7">
        <v>0</v>
      </c>
      <c r="DM30" s="7">
        <v>0</v>
      </c>
      <c r="DN30" s="7">
        <f t="shared" si="15"/>
        <v>28000</v>
      </c>
      <c r="DO30" s="7">
        <v>25000</v>
      </c>
      <c r="DP30" s="7">
        <v>0</v>
      </c>
      <c r="DQ30" s="7">
        <v>3000</v>
      </c>
      <c r="DR30" s="7">
        <v>0</v>
      </c>
      <c r="DS30" s="7">
        <v>0</v>
      </c>
      <c r="DT30" s="7">
        <v>0</v>
      </c>
      <c r="DU30" s="7">
        <v>0</v>
      </c>
      <c r="DV30" s="7">
        <v>0</v>
      </c>
      <c r="DW30" s="7">
        <v>0</v>
      </c>
      <c r="DX30" s="7">
        <v>0</v>
      </c>
      <c r="DY30" s="7">
        <v>0</v>
      </c>
    </row>
    <row r="31" spans="1:129" ht="15" customHeight="1">
      <c r="A31" s="4" t="s">
        <v>1947</v>
      </c>
      <c r="B31" s="7">
        <f t="shared" si="0"/>
        <v>31163332</v>
      </c>
      <c r="C31" s="7">
        <f t="shared" si="1"/>
        <v>17089315</v>
      </c>
      <c r="D31" s="7">
        <f t="shared" si="2"/>
        <v>12641580</v>
      </c>
      <c r="E31" s="7">
        <f t="shared" si="9"/>
        <v>7618878</v>
      </c>
      <c r="F31" s="7">
        <v>4145362</v>
      </c>
      <c r="G31" s="7">
        <v>0</v>
      </c>
      <c r="H31" s="7">
        <v>622477</v>
      </c>
      <c r="I31" s="7">
        <v>129072</v>
      </c>
      <c r="J31" s="7">
        <v>133374</v>
      </c>
      <c r="K31" s="7">
        <v>197910</v>
      </c>
      <c r="L31" s="7">
        <v>691931</v>
      </c>
      <c r="M31" s="7">
        <v>178550</v>
      </c>
      <c r="N31" s="7">
        <v>83897</v>
      </c>
      <c r="O31" s="7">
        <v>33250</v>
      </c>
      <c r="P31" s="7">
        <v>1403055</v>
      </c>
      <c r="Q31" s="7">
        <f t="shared" si="10"/>
        <v>2983407</v>
      </c>
      <c r="R31" s="7">
        <v>1276528</v>
      </c>
      <c r="S31" s="7">
        <v>0</v>
      </c>
      <c r="T31" s="7">
        <v>228027</v>
      </c>
      <c r="U31" s="7">
        <v>313500</v>
      </c>
      <c r="V31" s="7">
        <v>264125</v>
      </c>
      <c r="W31" s="7">
        <v>79668</v>
      </c>
      <c r="X31" s="7">
        <v>131350</v>
      </c>
      <c r="Y31" s="7">
        <v>99000</v>
      </c>
      <c r="Z31" s="7">
        <v>0</v>
      </c>
      <c r="AA31" s="7">
        <v>47600</v>
      </c>
      <c r="AB31" s="7">
        <v>219558</v>
      </c>
      <c r="AC31" s="7">
        <v>98226</v>
      </c>
      <c r="AD31" s="7">
        <v>0</v>
      </c>
      <c r="AE31" s="7">
        <v>36229</v>
      </c>
      <c r="AF31" s="7">
        <v>172096</v>
      </c>
      <c r="AG31" s="7">
        <v>17500</v>
      </c>
      <c r="AH31" s="7">
        <v>773675</v>
      </c>
      <c r="AI31" s="7">
        <v>0</v>
      </c>
      <c r="AJ31" s="7">
        <v>1097860</v>
      </c>
      <c r="AK31" s="7">
        <f t="shared" si="3"/>
        <v>167760</v>
      </c>
      <c r="AL31" s="7">
        <v>128160</v>
      </c>
      <c r="AM31" s="7">
        <v>30100</v>
      </c>
      <c r="AN31" s="7">
        <v>9500</v>
      </c>
      <c r="AO31" s="7">
        <v>0</v>
      </c>
      <c r="AP31" s="7">
        <v>0</v>
      </c>
      <c r="AQ31" s="7">
        <v>0</v>
      </c>
      <c r="AR31" s="7">
        <v>0</v>
      </c>
      <c r="AS31" s="7">
        <f t="shared" si="11"/>
        <v>4160007</v>
      </c>
      <c r="AT31" s="7">
        <v>0</v>
      </c>
      <c r="AU31" s="7">
        <v>0</v>
      </c>
      <c r="AV31" s="7">
        <v>0</v>
      </c>
      <c r="AW31" s="7">
        <v>0</v>
      </c>
      <c r="AX31" s="7">
        <v>0</v>
      </c>
      <c r="AY31" s="7">
        <v>0</v>
      </c>
      <c r="AZ31" s="7">
        <v>420000</v>
      </c>
      <c r="BA31" s="7">
        <v>2423825</v>
      </c>
      <c r="BB31" s="7">
        <v>1122332</v>
      </c>
      <c r="BC31" s="7">
        <v>90000</v>
      </c>
      <c r="BD31" s="7">
        <v>0</v>
      </c>
      <c r="BE31" s="7">
        <v>9600</v>
      </c>
      <c r="BF31" s="7">
        <v>20000</v>
      </c>
      <c r="BG31" s="7">
        <v>42600</v>
      </c>
      <c r="BH31" s="7">
        <v>400</v>
      </c>
      <c r="BI31" s="7">
        <v>31250</v>
      </c>
      <c r="BJ31" s="7">
        <v>0</v>
      </c>
      <c r="BK31" s="7">
        <v>0</v>
      </c>
      <c r="BL31" s="7">
        <v>0</v>
      </c>
      <c r="BM31" s="7">
        <v>0</v>
      </c>
      <c r="BN31" s="7">
        <f t="shared" si="4"/>
        <v>287728</v>
      </c>
      <c r="BO31" s="7">
        <v>0</v>
      </c>
      <c r="BP31" s="7">
        <v>278728</v>
      </c>
      <c r="BQ31" s="7">
        <v>3000</v>
      </c>
      <c r="BR31" s="7">
        <v>2000</v>
      </c>
      <c r="BS31" s="7">
        <v>1500</v>
      </c>
      <c r="BT31" s="7">
        <v>2400</v>
      </c>
      <c r="BU31" s="7">
        <v>100</v>
      </c>
      <c r="BV31" s="7">
        <v>0</v>
      </c>
      <c r="BW31" s="7">
        <f t="shared" si="5"/>
        <v>14074017</v>
      </c>
      <c r="BX31" s="7">
        <f t="shared" si="6"/>
        <v>0</v>
      </c>
      <c r="BY31" s="7">
        <v>0</v>
      </c>
      <c r="BZ31" s="7">
        <v>0</v>
      </c>
      <c r="CA31" s="7">
        <v>0</v>
      </c>
      <c r="CB31" s="7">
        <v>0</v>
      </c>
      <c r="CC31" s="7">
        <v>0</v>
      </c>
      <c r="CD31" s="7">
        <v>0</v>
      </c>
      <c r="CE31" s="7">
        <v>0</v>
      </c>
      <c r="CF31" s="7">
        <v>0</v>
      </c>
      <c r="CG31" s="7">
        <f t="shared" si="12"/>
        <v>13890617</v>
      </c>
      <c r="CH31" s="7">
        <v>17436774</v>
      </c>
      <c r="CI31" s="7">
        <f t="shared" si="7"/>
        <v>13890617</v>
      </c>
      <c r="CJ31" s="7">
        <v>0</v>
      </c>
      <c r="CK31" s="7">
        <f t="shared" si="8"/>
        <v>78000</v>
      </c>
      <c r="CL31" s="7">
        <v>0</v>
      </c>
      <c r="CM31" s="7">
        <v>58000</v>
      </c>
      <c r="CN31" s="7">
        <v>0</v>
      </c>
      <c r="CO31" s="7">
        <v>0</v>
      </c>
      <c r="CP31" s="7">
        <v>20000</v>
      </c>
      <c r="CQ31" s="7">
        <v>0</v>
      </c>
      <c r="CR31" s="7">
        <v>0</v>
      </c>
      <c r="CS31" s="7">
        <f t="shared" si="13"/>
        <v>0</v>
      </c>
      <c r="CT31" s="7">
        <v>0</v>
      </c>
      <c r="CU31" s="7">
        <v>0</v>
      </c>
      <c r="CV31" s="7">
        <v>0</v>
      </c>
      <c r="CW31" s="7">
        <v>0</v>
      </c>
      <c r="CX31" s="7">
        <v>0</v>
      </c>
      <c r="CY31" s="7">
        <v>0</v>
      </c>
      <c r="CZ31" s="7">
        <v>0</v>
      </c>
      <c r="DA31" s="7">
        <f t="shared" si="14"/>
        <v>3400</v>
      </c>
      <c r="DB31" s="7">
        <v>0</v>
      </c>
      <c r="DC31" s="7">
        <v>0</v>
      </c>
      <c r="DD31" s="7">
        <v>0</v>
      </c>
      <c r="DE31" s="7">
        <v>0</v>
      </c>
      <c r="DF31" s="7">
        <v>0</v>
      </c>
      <c r="DG31" s="7">
        <v>0</v>
      </c>
      <c r="DH31" s="7">
        <v>0</v>
      </c>
      <c r="DI31" s="7">
        <v>3400</v>
      </c>
      <c r="DJ31" s="7">
        <v>0</v>
      </c>
      <c r="DK31" s="7">
        <v>0</v>
      </c>
      <c r="DL31" s="7">
        <v>0</v>
      </c>
      <c r="DM31" s="7">
        <v>0</v>
      </c>
      <c r="DN31" s="7">
        <f t="shared" si="15"/>
        <v>102000</v>
      </c>
      <c r="DO31" s="7">
        <v>1500</v>
      </c>
      <c r="DP31" s="7">
        <v>0</v>
      </c>
      <c r="DQ31" s="7">
        <v>13100</v>
      </c>
      <c r="DR31" s="7">
        <v>5600</v>
      </c>
      <c r="DS31" s="7">
        <v>45400</v>
      </c>
      <c r="DT31" s="7">
        <v>6800</v>
      </c>
      <c r="DU31" s="7">
        <v>600</v>
      </c>
      <c r="DV31" s="7">
        <v>29000</v>
      </c>
      <c r="DW31" s="7">
        <v>0</v>
      </c>
      <c r="DX31" s="7">
        <v>0</v>
      </c>
      <c r="DY31" s="7">
        <v>0</v>
      </c>
    </row>
    <row r="32" spans="1:129" ht="15" customHeight="1">
      <c r="A32" s="4" t="s">
        <v>445</v>
      </c>
      <c r="B32" s="7">
        <f t="shared" si="0"/>
        <v>28854927</v>
      </c>
      <c r="C32" s="7">
        <f t="shared" si="1"/>
        <v>17262300</v>
      </c>
      <c r="D32" s="7">
        <f t="shared" si="2"/>
        <v>13870543</v>
      </c>
      <c r="E32" s="7">
        <f t="shared" si="9"/>
        <v>7774248</v>
      </c>
      <c r="F32" s="7">
        <v>3838006</v>
      </c>
      <c r="G32" s="7">
        <v>39806</v>
      </c>
      <c r="H32" s="7">
        <v>805629</v>
      </c>
      <c r="I32" s="7">
        <v>119502</v>
      </c>
      <c r="J32" s="7">
        <v>123485</v>
      </c>
      <c r="K32" s="7">
        <v>183236</v>
      </c>
      <c r="L32" s="7">
        <v>622600</v>
      </c>
      <c r="M32" s="7">
        <v>165311</v>
      </c>
      <c r="N32" s="7">
        <v>91618</v>
      </c>
      <c r="O32" s="7">
        <v>40000</v>
      </c>
      <c r="P32" s="7">
        <v>1745055</v>
      </c>
      <c r="Q32" s="7">
        <f t="shared" si="10"/>
        <v>3116540</v>
      </c>
      <c r="R32" s="7">
        <v>1439199</v>
      </c>
      <c r="S32" s="7">
        <v>0</v>
      </c>
      <c r="T32" s="7">
        <v>215104</v>
      </c>
      <c r="U32" s="7">
        <v>304000</v>
      </c>
      <c r="V32" s="7">
        <v>338080</v>
      </c>
      <c r="W32" s="7">
        <v>92840</v>
      </c>
      <c r="X32" s="7">
        <v>128625</v>
      </c>
      <c r="Y32" s="7">
        <v>36000</v>
      </c>
      <c r="Z32" s="7">
        <v>390</v>
      </c>
      <c r="AA32" s="7">
        <v>28300</v>
      </c>
      <c r="AB32" s="7">
        <v>297131</v>
      </c>
      <c r="AC32" s="7">
        <v>26940</v>
      </c>
      <c r="AD32" s="7">
        <v>0</v>
      </c>
      <c r="AE32" s="7">
        <v>30295</v>
      </c>
      <c r="AF32" s="7">
        <v>159336</v>
      </c>
      <c r="AG32" s="7">
        <v>20300</v>
      </c>
      <c r="AH32" s="7">
        <v>384026</v>
      </c>
      <c r="AI32" s="7">
        <v>0</v>
      </c>
      <c r="AJ32" s="7">
        <v>2401509</v>
      </c>
      <c r="AK32" s="7">
        <f t="shared" si="3"/>
        <v>194220</v>
      </c>
      <c r="AL32" s="7">
        <v>154320</v>
      </c>
      <c r="AM32" s="7">
        <v>39900</v>
      </c>
      <c r="AN32" s="7">
        <v>0</v>
      </c>
      <c r="AO32" s="7">
        <v>0</v>
      </c>
      <c r="AP32" s="7">
        <v>0</v>
      </c>
      <c r="AQ32" s="7">
        <v>0</v>
      </c>
      <c r="AR32" s="7">
        <v>0</v>
      </c>
      <c r="AS32" s="7">
        <f t="shared" si="11"/>
        <v>3381757</v>
      </c>
      <c r="AT32" s="7">
        <v>0</v>
      </c>
      <c r="AU32" s="7">
        <v>0</v>
      </c>
      <c r="AV32" s="7">
        <v>0</v>
      </c>
      <c r="AW32" s="7">
        <v>0</v>
      </c>
      <c r="AX32" s="7">
        <v>0</v>
      </c>
      <c r="AY32" s="7">
        <v>0</v>
      </c>
      <c r="AZ32" s="7">
        <v>425000</v>
      </c>
      <c r="BA32" s="7">
        <v>1866457</v>
      </c>
      <c r="BB32" s="7">
        <v>815100</v>
      </c>
      <c r="BC32" s="7">
        <v>210000</v>
      </c>
      <c r="BD32" s="7">
        <v>0</v>
      </c>
      <c r="BE32" s="7">
        <v>9000</v>
      </c>
      <c r="BF32" s="7">
        <v>20000</v>
      </c>
      <c r="BG32" s="7">
        <v>0</v>
      </c>
      <c r="BH32" s="7">
        <v>5000</v>
      </c>
      <c r="BI32" s="7">
        <v>31200</v>
      </c>
      <c r="BJ32" s="7">
        <v>0</v>
      </c>
      <c r="BK32" s="7">
        <v>0</v>
      </c>
      <c r="BL32" s="7">
        <v>0</v>
      </c>
      <c r="BM32" s="7">
        <v>0</v>
      </c>
      <c r="BN32" s="7">
        <f t="shared" si="4"/>
        <v>10000</v>
      </c>
      <c r="BO32" s="7">
        <v>0</v>
      </c>
      <c r="BP32" s="7">
        <v>0</v>
      </c>
      <c r="BQ32" s="7">
        <v>0</v>
      </c>
      <c r="BR32" s="7">
        <v>10000</v>
      </c>
      <c r="BS32" s="7">
        <v>0</v>
      </c>
      <c r="BT32" s="7">
        <v>0</v>
      </c>
      <c r="BU32" s="7">
        <v>0</v>
      </c>
      <c r="BV32" s="7">
        <v>0</v>
      </c>
      <c r="BW32" s="7">
        <f t="shared" si="5"/>
        <v>11592627</v>
      </c>
      <c r="BX32" s="7">
        <f t="shared" si="6"/>
        <v>0</v>
      </c>
      <c r="BY32" s="7">
        <v>0</v>
      </c>
      <c r="BZ32" s="7">
        <v>0</v>
      </c>
      <c r="CA32" s="7">
        <v>0</v>
      </c>
      <c r="CB32" s="7">
        <v>0</v>
      </c>
      <c r="CC32" s="7">
        <v>0</v>
      </c>
      <c r="CD32" s="7">
        <v>0</v>
      </c>
      <c r="CE32" s="7">
        <v>0</v>
      </c>
      <c r="CF32" s="7">
        <v>0</v>
      </c>
      <c r="CG32" s="7">
        <f t="shared" si="12"/>
        <v>11176127</v>
      </c>
      <c r="CH32" s="7">
        <v>13857684</v>
      </c>
      <c r="CI32" s="7">
        <f t="shared" si="7"/>
        <v>11176127</v>
      </c>
      <c r="CJ32" s="7">
        <v>0</v>
      </c>
      <c r="CK32" s="7">
        <f t="shared" si="8"/>
        <v>39000</v>
      </c>
      <c r="CL32" s="7">
        <v>0</v>
      </c>
      <c r="CM32" s="7">
        <v>39000</v>
      </c>
      <c r="CN32" s="7">
        <v>0</v>
      </c>
      <c r="CO32" s="7">
        <v>0</v>
      </c>
      <c r="CP32" s="7">
        <v>0</v>
      </c>
      <c r="CQ32" s="7">
        <v>0</v>
      </c>
      <c r="CR32" s="7">
        <v>0</v>
      </c>
      <c r="CS32" s="7">
        <f t="shared" si="13"/>
        <v>200000</v>
      </c>
      <c r="CT32" s="7">
        <v>200000</v>
      </c>
      <c r="CU32" s="7">
        <v>0</v>
      </c>
      <c r="CV32" s="7">
        <v>0</v>
      </c>
      <c r="CW32" s="7">
        <v>0</v>
      </c>
      <c r="CX32" s="7">
        <v>0</v>
      </c>
      <c r="CY32" s="7">
        <v>0</v>
      </c>
      <c r="CZ32" s="7">
        <v>0</v>
      </c>
      <c r="DA32" s="7">
        <f t="shared" si="14"/>
        <v>110000</v>
      </c>
      <c r="DB32" s="7">
        <v>65000</v>
      </c>
      <c r="DC32" s="7">
        <v>0</v>
      </c>
      <c r="DD32" s="7">
        <v>0</v>
      </c>
      <c r="DE32" s="7">
        <v>0</v>
      </c>
      <c r="DF32" s="7">
        <v>0</v>
      </c>
      <c r="DG32" s="7">
        <v>20000</v>
      </c>
      <c r="DH32" s="7">
        <v>0</v>
      </c>
      <c r="DI32" s="7">
        <v>15000</v>
      </c>
      <c r="DJ32" s="7">
        <v>10000</v>
      </c>
      <c r="DK32" s="7">
        <v>0</v>
      </c>
      <c r="DL32" s="7">
        <v>0</v>
      </c>
      <c r="DM32" s="7">
        <v>0</v>
      </c>
      <c r="DN32" s="7">
        <f t="shared" si="15"/>
        <v>67500</v>
      </c>
      <c r="DO32" s="7">
        <v>5000</v>
      </c>
      <c r="DP32" s="7">
        <v>47500</v>
      </c>
      <c r="DQ32" s="7">
        <v>0</v>
      </c>
      <c r="DR32" s="7">
        <v>5000</v>
      </c>
      <c r="DS32" s="7">
        <v>10000</v>
      </c>
      <c r="DT32" s="7">
        <v>0</v>
      </c>
      <c r="DU32" s="7">
        <v>0</v>
      </c>
      <c r="DV32" s="7">
        <v>0</v>
      </c>
      <c r="DW32" s="7">
        <v>0</v>
      </c>
      <c r="DX32" s="7">
        <v>0</v>
      </c>
      <c r="DY32" s="7">
        <v>0</v>
      </c>
    </row>
    <row r="33" spans="1:129" ht="15" customHeight="1">
      <c r="A33" s="4" t="s">
        <v>1948</v>
      </c>
      <c r="B33" s="7">
        <f t="shared" si="0"/>
        <v>31680806</v>
      </c>
      <c r="C33" s="7">
        <f t="shared" si="1"/>
        <v>15904027</v>
      </c>
      <c r="D33" s="7">
        <f t="shared" si="2"/>
        <v>12322154</v>
      </c>
      <c r="E33" s="7">
        <f t="shared" si="9"/>
        <v>7176012</v>
      </c>
      <c r="F33" s="7">
        <v>3932814</v>
      </c>
      <c r="G33" s="7">
        <v>82018</v>
      </c>
      <c r="H33" s="7">
        <v>602154</v>
      </c>
      <c r="I33" s="7">
        <v>122454</v>
      </c>
      <c r="J33" s="7">
        <v>126536</v>
      </c>
      <c r="K33" s="7">
        <v>187763</v>
      </c>
      <c r="L33" s="7">
        <v>650273</v>
      </c>
      <c r="M33" s="7">
        <v>169395</v>
      </c>
      <c r="N33" s="7">
        <v>79595</v>
      </c>
      <c r="O33" s="7">
        <v>37125</v>
      </c>
      <c r="P33" s="7">
        <v>1185885</v>
      </c>
      <c r="Q33" s="7">
        <f t="shared" si="10"/>
        <v>3418604</v>
      </c>
      <c r="R33" s="7">
        <v>1458370</v>
      </c>
      <c r="S33" s="7">
        <v>0</v>
      </c>
      <c r="T33" s="7">
        <v>212254</v>
      </c>
      <c r="U33" s="7">
        <v>551000</v>
      </c>
      <c r="V33" s="7">
        <v>485990</v>
      </c>
      <c r="W33" s="7">
        <v>61820</v>
      </c>
      <c r="X33" s="7">
        <v>77525</v>
      </c>
      <c r="Y33" s="7">
        <v>108000</v>
      </c>
      <c r="Z33" s="7">
        <v>574</v>
      </c>
      <c r="AA33" s="7">
        <v>95100</v>
      </c>
      <c r="AB33" s="7">
        <v>125172</v>
      </c>
      <c r="AC33" s="7">
        <v>41384</v>
      </c>
      <c r="AD33" s="7">
        <v>0</v>
      </c>
      <c r="AE33" s="7">
        <v>27643</v>
      </c>
      <c r="AF33" s="7">
        <v>163272</v>
      </c>
      <c r="AG33" s="7">
        <v>10500</v>
      </c>
      <c r="AH33" s="7">
        <v>0</v>
      </c>
      <c r="AI33" s="7">
        <v>0</v>
      </c>
      <c r="AJ33" s="7">
        <v>1601518</v>
      </c>
      <c r="AK33" s="7">
        <f t="shared" si="3"/>
        <v>126020</v>
      </c>
      <c r="AL33" s="7">
        <v>97320</v>
      </c>
      <c r="AM33" s="7">
        <v>28700</v>
      </c>
      <c r="AN33" s="7">
        <v>0</v>
      </c>
      <c r="AO33" s="7">
        <v>0</v>
      </c>
      <c r="AP33" s="7">
        <v>0</v>
      </c>
      <c r="AQ33" s="7">
        <v>0</v>
      </c>
      <c r="AR33" s="7">
        <v>0</v>
      </c>
      <c r="AS33" s="7">
        <f t="shared" si="11"/>
        <v>3581873</v>
      </c>
      <c r="AT33" s="7">
        <v>0</v>
      </c>
      <c r="AU33" s="7">
        <v>0</v>
      </c>
      <c r="AV33" s="7">
        <v>0</v>
      </c>
      <c r="AW33" s="7">
        <v>172577</v>
      </c>
      <c r="AX33" s="7">
        <v>0</v>
      </c>
      <c r="AY33" s="7">
        <v>1500</v>
      </c>
      <c r="AZ33" s="7">
        <v>493853</v>
      </c>
      <c r="BA33" s="7">
        <v>2186593</v>
      </c>
      <c r="BB33" s="7">
        <v>695550</v>
      </c>
      <c r="BC33" s="7">
        <v>0</v>
      </c>
      <c r="BD33" s="7">
        <v>0</v>
      </c>
      <c r="BE33" s="7">
        <v>7800</v>
      </c>
      <c r="BF33" s="7">
        <v>20000</v>
      </c>
      <c r="BG33" s="7">
        <v>4000</v>
      </c>
      <c r="BH33" s="7">
        <v>0</v>
      </c>
      <c r="BI33" s="7">
        <v>0</v>
      </c>
      <c r="BJ33" s="7">
        <v>0</v>
      </c>
      <c r="BK33" s="7">
        <v>0</v>
      </c>
      <c r="BL33" s="7">
        <v>0</v>
      </c>
      <c r="BM33" s="7">
        <v>0</v>
      </c>
      <c r="BN33" s="7">
        <f t="shared" si="4"/>
        <v>0</v>
      </c>
      <c r="BO33" s="7">
        <v>0</v>
      </c>
      <c r="BP33" s="7">
        <v>0</v>
      </c>
      <c r="BQ33" s="7">
        <v>0</v>
      </c>
      <c r="BR33" s="7">
        <v>0</v>
      </c>
      <c r="BS33" s="7">
        <v>0</v>
      </c>
      <c r="BT33" s="7">
        <v>0</v>
      </c>
      <c r="BU33" s="7">
        <v>0</v>
      </c>
      <c r="BV33" s="7">
        <v>0</v>
      </c>
      <c r="BW33" s="7">
        <f t="shared" si="5"/>
        <v>15776779</v>
      </c>
      <c r="BX33" s="7">
        <f t="shared" si="6"/>
        <v>21225</v>
      </c>
      <c r="BY33" s="7">
        <v>0</v>
      </c>
      <c r="BZ33" s="7">
        <v>0</v>
      </c>
      <c r="CA33" s="7">
        <v>20225</v>
      </c>
      <c r="CB33" s="7">
        <v>0</v>
      </c>
      <c r="CC33" s="7">
        <v>1000</v>
      </c>
      <c r="CD33" s="7">
        <v>0</v>
      </c>
      <c r="CE33" s="7">
        <v>0</v>
      </c>
      <c r="CF33" s="7">
        <v>0</v>
      </c>
      <c r="CG33" s="7">
        <f t="shared" si="12"/>
        <v>14442873</v>
      </c>
      <c r="CH33" s="7">
        <v>17325016</v>
      </c>
      <c r="CI33" s="7">
        <f t="shared" si="7"/>
        <v>14442873</v>
      </c>
      <c r="CJ33" s="7">
        <v>0</v>
      </c>
      <c r="CK33" s="7">
        <f t="shared" si="8"/>
        <v>1069700</v>
      </c>
      <c r="CL33" s="7">
        <v>0</v>
      </c>
      <c r="CM33" s="7">
        <v>249600</v>
      </c>
      <c r="CN33" s="7">
        <v>820100</v>
      </c>
      <c r="CO33" s="7">
        <v>0</v>
      </c>
      <c r="CP33" s="7">
        <v>0</v>
      </c>
      <c r="CQ33" s="7">
        <v>0</v>
      </c>
      <c r="CR33" s="7">
        <v>0</v>
      </c>
      <c r="CS33" s="7">
        <f t="shared" si="13"/>
        <v>0</v>
      </c>
      <c r="CT33" s="7">
        <v>0</v>
      </c>
      <c r="CU33" s="7">
        <v>0</v>
      </c>
      <c r="CV33" s="7">
        <v>0</v>
      </c>
      <c r="CW33" s="7">
        <v>0</v>
      </c>
      <c r="CX33" s="7">
        <v>0</v>
      </c>
      <c r="CY33" s="7">
        <v>0</v>
      </c>
      <c r="CZ33" s="7">
        <v>0</v>
      </c>
      <c r="DA33" s="7">
        <f t="shared" si="14"/>
        <v>205600</v>
      </c>
      <c r="DB33" s="7">
        <v>16700</v>
      </c>
      <c r="DC33" s="7">
        <v>0</v>
      </c>
      <c r="DD33" s="7">
        <v>0</v>
      </c>
      <c r="DE33" s="7">
        <v>0</v>
      </c>
      <c r="DF33" s="7">
        <v>0</v>
      </c>
      <c r="DG33" s="7">
        <v>0</v>
      </c>
      <c r="DH33" s="7">
        <v>0</v>
      </c>
      <c r="DI33" s="7">
        <v>50000</v>
      </c>
      <c r="DJ33" s="7">
        <v>55000</v>
      </c>
      <c r="DK33" s="7">
        <v>3500</v>
      </c>
      <c r="DL33" s="7">
        <v>80400</v>
      </c>
      <c r="DM33" s="7">
        <v>0</v>
      </c>
      <c r="DN33" s="7">
        <f t="shared" si="15"/>
        <v>37381</v>
      </c>
      <c r="DO33" s="7">
        <v>0</v>
      </c>
      <c r="DP33" s="7">
        <v>0</v>
      </c>
      <c r="DQ33" s="7">
        <v>4700</v>
      </c>
      <c r="DR33" s="7">
        <v>1400</v>
      </c>
      <c r="DS33" s="7">
        <v>31281</v>
      </c>
      <c r="DT33" s="7">
        <v>0</v>
      </c>
      <c r="DU33" s="7">
        <v>0</v>
      </c>
      <c r="DV33" s="7">
        <v>0</v>
      </c>
      <c r="DW33" s="7">
        <v>0</v>
      </c>
      <c r="DX33" s="7">
        <v>0</v>
      </c>
      <c r="DY33" s="7">
        <v>0</v>
      </c>
    </row>
    <row r="34" spans="1:129" ht="15" customHeight="1">
      <c r="A34" s="4" t="s">
        <v>1949</v>
      </c>
      <c r="B34" s="7">
        <f t="shared" si="0"/>
        <v>187686444</v>
      </c>
      <c r="C34" s="7">
        <f t="shared" si="1"/>
        <v>121778287</v>
      </c>
      <c r="D34" s="7">
        <f t="shared" si="2"/>
        <v>91224574</v>
      </c>
      <c r="E34" s="7">
        <f t="shared" si="9"/>
        <v>47553517</v>
      </c>
      <c r="F34" s="7">
        <v>29853084</v>
      </c>
      <c r="G34" s="7">
        <v>0</v>
      </c>
      <c r="H34" s="7">
        <v>0</v>
      </c>
      <c r="I34" s="7">
        <v>929520</v>
      </c>
      <c r="J34" s="7">
        <v>960504</v>
      </c>
      <c r="K34" s="7">
        <v>1425264</v>
      </c>
      <c r="L34" s="7">
        <v>5201836</v>
      </c>
      <c r="M34" s="7">
        <v>1285836</v>
      </c>
      <c r="N34" s="7">
        <v>604188</v>
      </c>
      <c r="O34" s="7">
        <v>353250</v>
      </c>
      <c r="P34" s="7">
        <v>6940035</v>
      </c>
      <c r="Q34" s="7">
        <f t="shared" si="10"/>
        <v>16212342</v>
      </c>
      <c r="R34" s="7">
        <v>1804403</v>
      </c>
      <c r="S34" s="7">
        <v>0</v>
      </c>
      <c r="T34" s="7">
        <v>1161900</v>
      </c>
      <c r="U34" s="7">
        <v>3842750</v>
      </c>
      <c r="V34" s="7">
        <v>4226000</v>
      </c>
      <c r="W34" s="7">
        <v>953948</v>
      </c>
      <c r="X34" s="7">
        <v>757550</v>
      </c>
      <c r="Y34" s="7">
        <v>864000</v>
      </c>
      <c r="Z34" s="7">
        <v>54796</v>
      </c>
      <c r="AA34" s="7">
        <v>732000</v>
      </c>
      <c r="AB34" s="7">
        <v>0</v>
      </c>
      <c r="AC34" s="7">
        <v>201632</v>
      </c>
      <c r="AD34" s="7">
        <v>0</v>
      </c>
      <c r="AE34" s="7">
        <v>215103</v>
      </c>
      <c r="AF34" s="7">
        <v>1368860</v>
      </c>
      <c r="AG34" s="7">
        <v>29400</v>
      </c>
      <c r="AH34" s="7">
        <v>23724090</v>
      </c>
      <c r="AI34" s="7">
        <v>3036165</v>
      </c>
      <c r="AJ34" s="7">
        <v>0</v>
      </c>
      <c r="AK34" s="7">
        <f t="shared" si="3"/>
        <v>698460</v>
      </c>
      <c r="AL34" s="7">
        <v>464760</v>
      </c>
      <c r="AM34" s="7">
        <v>233700</v>
      </c>
      <c r="AN34" s="7">
        <v>0</v>
      </c>
      <c r="AO34" s="7">
        <v>0</v>
      </c>
      <c r="AP34" s="7">
        <v>0</v>
      </c>
      <c r="AQ34" s="7">
        <v>0</v>
      </c>
      <c r="AR34" s="7">
        <v>0</v>
      </c>
      <c r="AS34" s="7">
        <f t="shared" si="11"/>
        <v>30553713</v>
      </c>
      <c r="AT34" s="7">
        <v>0</v>
      </c>
      <c r="AU34" s="7">
        <v>170000</v>
      </c>
      <c r="AV34" s="7">
        <v>0</v>
      </c>
      <c r="AW34" s="7">
        <v>0</v>
      </c>
      <c r="AX34" s="7">
        <v>0</v>
      </c>
      <c r="AY34" s="7">
        <v>0</v>
      </c>
      <c r="AZ34" s="7">
        <v>3050000</v>
      </c>
      <c r="BA34" s="7">
        <v>23672314</v>
      </c>
      <c r="BB34" s="7">
        <v>1467553</v>
      </c>
      <c r="BC34" s="7">
        <v>1373846</v>
      </c>
      <c r="BD34" s="7">
        <v>0</v>
      </c>
      <c r="BE34" s="7">
        <v>0</v>
      </c>
      <c r="BF34" s="7">
        <v>80000</v>
      </c>
      <c r="BG34" s="7">
        <v>475000</v>
      </c>
      <c r="BH34" s="7">
        <v>135000</v>
      </c>
      <c r="BI34" s="7">
        <v>130000</v>
      </c>
      <c r="BJ34" s="7">
        <v>0</v>
      </c>
      <c r="BK34" s="7">
        <v>0</v>
      </c>
      <c r="BL34" s="7">
        <v>0</v>
      </c>
      <c r="BM34" s="7">
        <v>0</v>
      </c>
      <c r="BN34" s="7">
        <f t="shared" si="4"/>
        <v>0</v>
      </c>
      <c r="BO34" s="7">
        <v>0</v>
      </c>
      <c r="BP34" s="7">
        <v>0</v>
      </c>
      <c r="BQ34" s="7">
        <v>0</v>
      </c>
      <c r="BR34" s="7">
        <v>0</v>
      </c>
      <c r="BS34" s="7">
        <v>0</v>
      </c>
      <c r="BT34" s="7">
        <v>0</v>
      </c>
      <c r="BU34" s="7">
        <v>0</v>
      </c>
      <c r="BV34" s="7">
        <v>0</v>
      </c>
      <c r="BW34" s="7">
        <f t="shared" si="5"/>
        <v>65908157</v>
      </c>
      <c r="BX34" s="7">
        <f t="shared" si="6"/>
        <v>0</v>
      </c>
      <c r="BY34" s="7">
        <v>0</v>
      </c>
      <c r="BZ34" s="7">
        <v>0</v>
      </c>
      <c r="CA34" s="7">
        <v>0</v>
      </c>
      <c r="CB34" s="7">
        <v>0</v>
      </c>
      <c r="CC34" s="7">
        <v>0</v>
      </c>
      <c r="CD34" s="7">
        <v>0</v>
      </c>
      <c r="CE34" s="7">
        <v>0</v>
      </c>
      <c r="CF34" s="7">
        <v>0</v>
      </c>
      <c r="CG34" s="7">
        <f t="shared" si="12"/>
        <v>64938157</v>
      </c>
      <c r="CH34" s="7">
        <v>90078024</v>
      </c>
      <c r="CI34" s="7">
        <f t="shared" si="7"/>
        <v>64938157</v>
      </c>
      <c r="CJ34" s="7">
        <v>0</v>
      </c>
      <c r="CK34" s="7">
        <f t="shared" si="8"/>
        <v>215000</v>
      </c>
      <c r="CL34" s="7">
        <v>0</v>
      </c>
      <c r="CM34" s="7">
        <v>215000</v>
      </c>
      <c r="CN34" s="7">
        <v>0</v>
      </c>
      <c r="CO34" s="7">
        <v>0</v>
      </c>
      <c r="CP34" s="7">
        <v>0</v>
      </c>
      <c r="CQ34" s="7">
        <v>0</v>
      </c>
      <c r="CR34" s="7">
        <v>0</v>
      </c>
      <c r="CS34" s="7">
        <f t="shared" si="13"/>
        <v>0</v>
      </c>
      <c r="CT34" s="7">
        <v>0</v>
      </c>
      <c r="CU34" s="7">
        <v>0</v>
      </c>
      <c r="CV34" s="7">
        <v>0</v>
      </c>
      <c r="CW34" s="7">
        <v>0</v>
      </c>
      <c r="CX34" s="7">
        <v>0</v>
      </c>
      <c r="CY34" s="7">
        <v>0</v>
      </c>
      <c r="CZ34" s="7">
        <v>0</v>
      </c>
      <c r="DA34" s="7">
        <f t="shared" si="14"/>
        <v>735000</v>
      </c>
      <c r="DB34" s="7">
        <v>0</v>
      </c>
      <c r="DC34" s="7">
        <v>0</v>
      </c>
      <c r="DD34" s="7">
        <v>330000</v>
      </c>
      <c r="DE34" s="7">
        <v>0</v>
      </c>
      <c r="DF34" s="7">
        <v>150000</v>
      </c>
      <c r="DG34" s="7">
        <v>0</v>
      </c>
      <c r="DH34" s="7">
        <v>0</v>
      </c>
      <c r="DI34" s="7">
        <v>70000</v>
      </c>
      <c r="DJ34" s="7">
        <v>95000</v>
      </c>
      <c r="DK34" s="7">
        <v>90000</v>
      </c>
      <c r="DL34" s="7">
        <v>0</v>
      </c>
      <c r="DM34" s="7">
        <v>0</v>
      </c>
      <c r="DN34" s="7">
        <f t="shared" si="15"/>
        <v>20000</v>
      </c>
      <c r="DO34" s="7">
        <v>20000</v>
      </c>
      <c r="DP34" s="7">
        <v>0</v>
      </c>
      <c r="DQ34" s="7">
        <v>0</v>
      </c>
      <c r="DR34" s="7">
        <v>0</v>
      </c>
      <c r="DS34" s="7">
        <v>0</v>
      </c>
      <c r="DT34" s="7">
        <v>0</v>
      </c>
      <c r="DU34" s="7">
        <v>0</v>
      </c>
      <c r="DV34" s="7">
        <v>0</v>
      </c>
      <c r="DW34" s="7">
        <v>0</v>
      </c>
      <c r="DX34" s="7">
        <v>0</v>
      </c>
      <c r="DY34" s="7">
        <v>0</v>
      </c>
    </row>
    <row r="35" spans="1:129" ht="15" customHeight="1">
      <c r="A35" s="4" t="s">
        <v>446</v>
      </c>
      <c r="B35" s="7">
        <f t="shared" si="0"/>
        <v>24527755</v>
      </c>
      <c r="C35" s="7">
        <f t="shared" si="1"/>
        <v>13466887</v>
      </c>
      <c r="D35" s="7">
        <f t="shared" si="2"/>
        <v>9996252</v>
      </c>
      <c r="E35" s="7">
        <f t="shared" si="9"/>
        <v>5740219</v>
      </c>
      <c r="F35" s="7">
        <v>2992824</v>
      </c>
      <c r="G35" s="7">
        <v>66608</v>
      </c>
      <c r="H35" s="7">
        <v>462207</v>
      </c>
      <c r="I35" s="7">
        <v>93186</v>
      </c>
      <c r="J35" s="7">
        <v>96292</v>
      </c>
      <c r="K35" s="7">
        <v>142885</v>
      </c>
      <c r="L35" s="7">
        <v>495817</v>
      </c>
      <c r="M35" s="7">
        <v>128907</v>
      </c>
      <c r="N35" s="7">
        <v>71443</v>
      </c>
      <c r="O35" s="7">
        <v>27250</v>
      </c>
      <c r="P35" s="7">
        <v>1162800</v>
      </c>
      <c r="Q35" s="7">
        <f t="shared" si="10"/>
        <v>1838941</v>
      </c>
      <c r="R35" s="7">
        <v>854613</v>
      </c>
      <c r="S35" s="7">
        <v>0</v>
      </c>
      <c r="T35" s="7">
        <v>166182</v>
      </c>
      <c r="U35" s="7">
        <v>275500</v>
      </c>
      <c r="V35" s="7">
        <v>105650</v>
      </c>
      <c r="W35" s="7">
        <v>22496</v>
      </c>
      <c r="X35" s="7">
        <v>33300</v>
      </c>
      <c r="Y35" s="7">
        <v>74000</v>
      </c>
      <c r="Z35" s="7">
        <v>140</v>
      </c>
      <c r="AA35" s="7">
        <v>4400</v>
      </c>
      <c r="AB35" s="7">
        <v>140840</v>
      </c>
      <c r="AC35" s="7">
        <v>4421</v>
      </c>
      <c r="AD35" s="7">
        <v>0</v>
      </c>
      <c r="AE35" s="7">
        <v>21251</v>
      </c>
      <c r="AF35" s="7">
        <v>124248</v>
      </c>
      <c r="AG35" s="7">
        <v>11900</v>
      </c>
      <c r="AH35" s="7">
        <v>362546</v>
      </c>
      <c r="AI35" s="7">
        <v>0</v>
      </c>
      <c r="AJ35" s="7">
        <v>1922006</v>
      </c>
      <c r="AK35" s="7">
        <f t="shared" si="3"/>
        <v>132540</v>
      </c>
      <c r="AL35" s="7">
        <v>105240</v>
      </c>
      <c r="AM35" s="7">
        <v>27300</v>
      </c>
      <c r="AN35" s="7">
        <v>0</v>
      </c>
      <c r="AO35" s="7">
        <v>0</v>
      </c>
      <c r="AP35" s="7">
        <v>0</v>
      </c>
      <c r="AQ35" s="7">
        <v>0</v>
      </c>
      <c r="AR35" s="7">
        <v>0</v>
      </c>
      <c r="AS35" s="7">
        <f t="shared" si="11"/>
        <v>3346635</v>
      </c>
      <c r="AT35" s="7">
        <v>0</v>
      </c>
      <c r="AU35" s="7">
        <v>0</v>
      </c>
      <c r="AV35" s="7">
        <v>0</v>
      </c>
      <c r="AW35" s="7">
        <v>0</v>
      </c>
      <c r="AX35" s="7">
        <v>0</v>
      </c>
      <c r="AY35" s="7">
        <v>4000</v>
      </c>
      <c r="AZ35" s="7">
        <v>373000</v>
      </c>
      <c r="BA35" s="7">
        <v>2143425</v>
      </c>
      <c r="BB35" s="7">
        <v>762460</v>
      </c>
      <c r="BC35" s="7">
        <v>0</v>
      </c>
      <c r="BD35" s="7">
        <v>0</v>
      </c>
      <c r="BE35" s="7">
        <v>8500</v>
      </c>
      <c r="BF35" s="7">
        <v>20000</v>
      </c>
      <c r="BG35" s="7">
        <v>4000</v>
      </c>
      <c r="BH35" s="7">
        <v>31250</v>
      </c>
      <c r="BI35" s="7">
        <v>0</v>
      </c>
      <c r="BJ35" s="7">
        <v>0</v>
      </c>
      <c r="BK35" s="7">
        <v>0</v>
      </c>
      <c r="BL35" s="7">
        <v>0</v>
      </c>
      <c r="BM35" s="7">
        <v>0</v>
      </c>
      <c r="BN35" s="7">
        <f t="shared" si="4"/>
        <v>124000</v>
      </c>
      <c r="BO35" s="7">
        <v>0</v>
      </c>
      <c r="BP35" s="7">
        <v>0</v>
      </c>
      <c r="BQ35" s="7">
        <v>124000</v>
      </c>
      <c r="BR35" s="7">
        <v>0</v>
      </c>
      <c r="BS35" s="7">
        <v>0</v>
      </c>
      <c r="BT35" s="7">
        <v>0</v>
      </c>
      <c r="BU35" s="7">
        <v>0</v>
      </c>
      <c r="BV35" s="7">
        <v>0</v>
      </c>
      <c r="BW35" s="7">
        <f t="shared" si="5"/>
        <v>11060868</v>
      </c>
      <c r="BX35" s="7">
        <f t="shared" si="6"/>
        <v>46855</v>
      </c>
      <c r="BY35" s="7">
        <v>40835</v>
      </c>
      <c r="BZ35" s="7">
        <v>6020</v>
      </c>
      <c r="CA35" s="7">
        <v>0</v>
      </c>
      <c r="CB35" s="7">
        <v>0</v>
      </c>
      <c r="CC35" s="7">
        <v>0</v>
      </c>
      <c r="CD35" s="7">
        <v>0</v>
      </c>
      <c r="CE35" s="7">
        <v>0</v>
      </c>
      <c r="CF35" s="7">
        <v>0</v>
      </c>
      <c r="CG35" s="7">
        <f t="shared" si="12"/>
        <v>9618313</v>
      </c>
      <c r="CH35" s="7">
        <v>12524198</v>
      </c>
      <c r="CI35" s="7">
        <f t="shared" si="7"/>
        <v>9618313</v>
      </c>
      <c r="CJ35" s="7">
        <v>0</v>
      </c>
      <c r="CK35" s="7">
        <f t="shared" si="8"/>
        <v>74100</v>
      </c>
      <c r="CL35" s="7">
        <v>0</v>
      </c>
      <c r="CM35" s="7">
        <v>74100</v>
      </c>
      <c r="CN35" s="7">
        <v>0</v>
      </c>
      <c r="CO35" s="7">
        <v>0</v>
      </c>
      <c r="CP35" s="7">
        <v>0</v>
      </c>
      <c r="CQ35" s="7">
        <v>0</v>
      </c>
      <c r="CR35" s="7">
        <v>0</v>
      </c>
      <c r="CS35" s="7">
        <f t="shared" si="13"/>
        <v>1226600</v>
      </c>
      <c r="CT35" s="7">
        <v>1226600</v>
      </c>
      <c r="CU35" s="7">
        <v>0</v>
      </c>
      <c r="CV35" s="7">
        <v>0</v>
      </c>
      <c r="CW35" s="7">
        <v>0</v>
      </c>
      <c r="CX35" s="7">
        <v>0</v>
      </c>
      <c r="CY35" s="7">
        <v>0</v>
      </c>
      <c r="CZ35" s="7">
        <v>0</v>
      </c>
      <c r="DA35" s="7">
        <f t="shared" si="14"/>
        <v>25000</v>
      </c>
      <c r="DB35" s="7">
        <v>0</v>
      </c>
      <c r="DC35" s="7">
        <v>0</v>
      </c>
      <c r="DD35" s="7">
        <v>0</v>
      </c>
      <c r="DE35" s="7">
        <v>0</v>
      </c>
      <c r="DF35" s="7">
        <v>0</v>
      </c>
      <c r="DG35" s="7">
        <v>0</v>
      </c>
      <c r="DH35" s="7">
        <v>0</v>
      </c>
      <c r="DI35" s="7">
        <v>0</v>
      </c>
      <c r="DJ35" s="7">
        <v>8000</v>
      </c>
      <c r="DK35" s="7">
        <v>7500</v>
      </c>
      <c r="DL35" s="7">
        <v>9500</v>
      </c>
      <c r="DM35" s="7">
        <v>0</v>
      </c>
      <c r="DN35" s="7">
        <f t="shared" si="15"/>
        <v>70000</v>
      </c>
      <c r="DO35" s="7">
        <v>2000</v>
      </c>
      <c r="DP35" s="7">
        <v>0</v>
      </c>
      <c r="DQ35" s="7">
        <v>0</v>
      </c>
      <c r="DR35" s="7">
        <v>34500</v>
      </c>
      <c r="DS35" s="7">
        <v>5500</v>
      </c>
      <c r="DT35" s="7">
        <v>24500</v>
      </c>
      <c r="DU35" s="7">
        <v>3500</v>
      </c>
      <c r="DV35" s="7">
        <v>0</v>
      </c>
      <c r="DW35" s="7">
        <v>0</v>
      </c>
      <c r="DX35" s="7">
        <v>0</v>
      </c>
      <c r="DY35" s="7">
        <v>0</v>
      </c>
    </row>
    <row r="36" spans="1:129" ht="15" customHeight="1">
      <c r="A36" s="4" t="s">
        <v>1950</v>
      </c>
      <c r="B36" s="7">
        <f t="shared" si="0"/>
        <v>53404000</v>
      </c>
      <c r="C36" s="7">
        <f t="shared" si="1"/>
        <v>36906438</v>
      </c>
      <c r="D36" s="7">
        <f t="shared" si="2"/>
        <v>28817187</v>
      </c>
      <c r="E36" s="7">
        <f t="shared" si="9"/>
        <v>13083035</v>
      </c>
      <c r="F36" s="7">
        <v>8064495</v>
      </c>
      <c r="G36" s="7">
        <v>0</v>
      </c>
      <c r="H36" s="7">
        <v>452588</v>
      </c>
      <c r="I36" s="7">
        <v>251100</v>
      </c>
      <c r="J36" s="7">
        <v>259470</v>
      </c>
      <c r="K36" s="7">
        <v>385020</v>
      </c>
      <c r="L36" s="7">
        <v>1374042</v>
      </c>
      <c r="M36" s="7">
        <v>347355</v>
      </c>
      <c r="N36" s="7">
        <v>163215</v>
      </c>
      <c r="O36" s="7">
        <v>75750</v>
      </c>
      <c r="P36" s="7">
        <v>1710000</v>
      </c>
      <c r="Q36" s="7">
        <f t="shared" si="10"/>
        <v>5859904</v>
      </c>
      <c r="R36" s="7">
        <v>1845530</v>
      </c>
      <c r="S36" s="7">
        <v>0</v>
      </c>
      <c r="T36" s="7">
        <v>401760</v>
      </c>
      <c r="U36" s="7">
        <v>1121000</v>
      </c>
      <c r="V36" s="7">
        <v>824070</v>
      </c>
      <c r="W36" s="7">
        <v>134613</v>
      </c>
      <c r="X36" s="7">
        <v>173275</v>
      </c>
      <c r="Y36" s="7">
        <v>396000</v>
      </c>
      <c r="Z36" s="7">
        <v>0</v>
      </c>
      <c r="AA36" s="7">
        <v>360100</v>
      </c>
      <c r="AB36" s="7">
        <v>7105</v>
      </c>
      <c r="AC36" s="7">
        <v>186727</v>
      </c>
      <c r="AD36" s="7">
        <v>0</v>
      </c>
      <c r="AE36" s="7">
        <v>64424</v>
      </c>
      <c r="AF36" s="7">
        <v>334800</v>
      </c>
      <c r="AG36" s="7">
        <v>10500</v>
      </c>
      <c r="AH36" s="7">
        <v>9725468</v>
      </c>
      <c r="AI36" s="7">
        <v>0</v>
      </c>
      <c r="AJ36" s="7">
        <v>0</v>
      </c>
      <c r="AK36" s="7">
        <f t="shared" si="3"/>
        <v>148780</v>
      </c>
      <c r="AL36" s="7">
        <v>120180</v>
      </c>
      <c r="AM36" s="7">
        <v>28600</v>
      </c>
      <c r="AN36" s="7">
        <v>0</v>
      </c>
      <c r="AO36" s="7">
        <v>0</v>
      </c>
      <c r="AP36" s="7">
        <v>0</v>
      </c>
      <c r="AQ36" s="7">
        <v>0</v>
      </c>
      <c r="AR36" s="7">
        <v>0</v>
      </c>
      <c r="AS36" s="7">
        <f t="shared" si="11"/>
        <v>8089251</v>
      </c>
      <c r="AT36" s="7">
        <v>0</v>
      </c>
      <c r="AU36" s="7">
        <v>0</v>
      </c>
      <c r="AV36" s="7">
        <v>0</v>
      </c>
      <c r="AW36" s="7">
        <v>0</v>
      </c>
      <c r="AX36" s="7">
        <v>0</v>
      </c>
      <c r="AY36" s="7">
        <v>0</v>
      </c>
      <c r="AZ36" s="7">
        <v>750000</v>
      </c>
      <c r="BA36" s="7">
        <v>4787917</v>
      </c>
      <c r="BB36" s="7">
        <v>2061521</v>
      </c>
      <c r="BC36" s="7">
        <v>425813</v>
      </c>
      <c r="BD36" s="7">
        <v>0</v>
      </c>
      <c r="BE36" s="7">
        <v>0</v>
      </c>
      <c r="BF36" s="7">
        <v>20000</v>
      </c>
      <c r="BG36" s="7">
        <v>44000</v>
      </c>
      <c r="BH36" s="7">
        <v>0</v>
      </c>
      <c r="BI36" s="7">
        <v>0</v>
      </c>
      <c r="BJ36" s="7">
        <v>0</v>
      </c>
      <c r="BK36" s="7">
        <v>0</v>
      </c>
      <c r="BL36" s="7">
        <v>0</v>
      </c>
      <c r="BM36" s="7">
        <v>0</v>
      </c>
      <c r="BN36" s="7">
        <f t="shared" si="4"/>
        <v>0</v>
      </c>
      <c r="BO36" s="7">
        <v>0</v>
      </c>
      <c r="BP36" s="7">
        <v>0</v>
      </c>
      <c r="BQ36" s="7">
        <v>0</v>
      </c>
      <c r="BR36" s="7">
        <v>0</v>
      </c>
      <c r="BS36" s="7">
        <v>0</v>
      </c>
      <c r="BT36" s="7">
        <v>0</v>
      </c>
      <c r="BU36" s="7">
        <v>0</v>
      </c>
      <c r="BV36" s="7">
        <v>0</v>
      </c>
      <c r="BW36" s="7">
        <f t="shared" si="5"/>
        <v>16497562</v>
      </c>
      <c r="BX36" s="7">
        <f t="shared" si="6"/>
        <v>15000</v>
      </c>
      <c r="BY36" s="7">
        <v>0</v>
      </c>
      <c r="BZ36" s="7">
        <v>0</v>
      </c>
      <c r="CA36" s="7">
        <v>15000</v>
      </c>
      <c r="CB36" s="7">
        <v>0</v>
      </c>
      <c r="CC36" s="7">
        <v>0</v>
      </c>
      <c r="CD36" s="7">
        <v>0</v>
      </c>
      <c r="CE36" s="7">
        <v>0</v>
      </c>
      <c r="CF36" s="7">
        <v>0</v>
      </c>
      <c r="CG36" s="7">
        <f t="shared" si="12"/>
        <v>16176562</v>
      </c>
      <c r="CH36" s="7">
        <v>23026000</v>
      </c>
      <c r="CI36" s="7">
        <f t="shared" si="7"/>
        <v>16176562</v>
      </c>
      <c r="CJ36" s="7">
        <v>0</v>
      </c>
      <c r="CK36" s="7">
        <f t="shared" si="8"/>
        <v>250000</v>
      </c>
      <c r="CL36" s="7">
        <v>0</v>
      </c>
      <c r="CM36" s="7">
        <v>150000</v>
      </c>
      <c r="CN36" s="7">
        <v>100000</v>
      </c>
      <c r="CO36" s="7">
        <v>0</v>
      </c>
      <c r="CP36" s="7">
        <v>0</v>
      </c>
      <c r="CQ36" s="7">
        <v>0</v>
      </c>
      <c r="CR36" s="7">
        <v>0</v>
      </c>
      <c r="CS36" s="7">
        <f t="shared" si="13"/>
        <v>0</v>
      </c>
      <c r="CT36" s="7">
        <v>0</v>
      </c>
      <c r="CU36" s="7">
        <v>0</v>
      </c>
      <c r="CV36" s="7">
        <v>0</v>
      </c>
      <c r="CW36" s="7">
        <v>0</v>
      </c>
      <c r="CX36" s="7">
        <v>0</v>
      </c>
      <c r="CY36" s="7">
        <v>0</v>
      </c>
      <c r="CZ36" s="7">
        <v>0</v>
      </c>
      <c r="DA36" s="7">
        <f t="shared" si="14"/>
        <v>0</v>
      </c>
      <c r="DB36" s="7">
        <v>0</v>
      </c>
      <c r="DC36" s="7">
        <v>0</v>
      </c>
      <c r="DD36" s="7">
        <v>0</v>
      </c>
      <c r="DE36" s="7">
        <v>0</v>
      </c>
      <c r="DF36" s="7">
        <v>0</v>
      </c>
      <c r="DG36" s="7">
        <v>0</v>
      </c>
      <c r="DH36" s="7">
        <v>0</v>
      </c>
      <c r="DI36" s="7">
        <v>0</v>
      </c>
      <c r="DJ36" s="7">
        <v>0</v>
      </c>
      <c r="DK36" s="7">
        <v>0</v>
      </c>
      <c r="DL36" s="7">
        <v>0</v>
      </c>
      <c r="DM36" s="7">
        <v>0</v>
      </c>
      <c r="DN36" s="7">
        <f t="shared" si="15"/>
        <v>56000</v>
      </c>
      <c r="DO36" s="7">
        <v>5000</v>
      </c>
      <c r="DP36" s="7">
        <v>0</v>
      </c>
      <c r="DQ36" s="7">
        <v>11000</v>
      </c>
      <c r="DR36" s="7">
        <v>15000</v>
      </c>
      <c r="DS36" s="7">
        <v>25000</v>
      </c>
      <c r="DT36" s="7">
        <v>0</v>
      </c>
      <c r="DU36" s="7">
        <v>0</v>
      </c>
      <c r="DV36" s="7">
        <v>0</v>
      </c>
      <c r="DW36" s="7">
        <v>0</v>
      </c>
      <c r="DX36" s="7">
        <v>0</v>
      </c>
      <c r="DY36" s="7">
        <v>0</v>
      </c>
    </row>
    <row r="37" spans="1:129" ht="15" customHeight="1">
      <c r="A37" s="4" t="s">
        <v>1951</v>
      </c>
      <c r="B37" s="7">
        <f t="shared" si="0"/>
        <v>144842660</v>
      </c>
      <c r="C37" s="7">
        <f t="shared" si="1"/>
        <v>98283900</v>
      </c>
      <c r="D37" s="7">
        <f t="shared" si="2"/>
        <v>74960328</v>
      </c>
      <c r="E37" s="7">
        <f t="shared" si="9"/>
        <v>32417377</v>
      </c>
      <c r="F37" s="7">
        <v>20988499</v>
      </c>
      <c r="G37" s="7">
        <v>0</v>
      </c>
      <c r="H37" s="7">
        <v>0</v>
      </c>
      <c r="I37" s="7">
        <v>653508</v>
      </c>
      <c r="J37" s="7">
        <v>675292</v>
      </c>
      <c r="K37" s="7">
        <v>1002046</v>
      </c>
      <c r="L37" s="7">
        <v>3745693</v>
      </c>
      <c r="M37" s="7">
        <v>904019</v>
      </c>
      <c r="N37" s="7">
        <v>424780</v>
      </c>
      <c r="O37" s="7">
        <v>263250</v>
      </c>
      <c r="P37" s="7">
        <v>3760290</v>
      </c>
      <c r="Q37" s="7">
        <f t="shared" si="10"/>
        <v>10881704</v>
      </c>
      <c r="R37" s="7">
        <v>1107723</v>
      </c>
      <c r="S37" s="7">
        <v>0</v>
      </c>
      <c r="T37" s="7">
        <v>816885</v>
      </c>
      <c r="U37" s="7">
        <v>2141300</v>
      </c>
      <c r="V37" s="7">
        <v>3209647</v>
      </c>
      <c r="W37" s="7">
        <v>470140</v>
      </c>
      <c r="X37" s="7">
        <v>841800</v>
      </c>
      <c r="Y37" s="7">
        <v>359500</v>
      </c>
      <c r="Z37" s="7">
        <v>23668</v>
      </c>
      <c r="AA37" s="7">
        <v>441000</v>
      </c>
      <c r="AB37" s="7">
        <v>0</v>
      </c>
      <c r="AC37" s="7">
        <v>436220</v>
      </c>
      <c r="AD37" s="7">
        <v>0</v>
      </c>
      <c r="AE37" s="7">
        <v>145677</v>
      </c>
      <c r="AF37" s="7">
        <v>871344</v>
      </c>
      <c r="AG37" s="7">
        <v>16800</v>
      </c>
      <c r="AH37" s="7">
        <v>27209365</v>
      </c>
      <c r="AI37" s="7">
        <v>4111702</v>
      </c>
      <c r="AJ37" s="7">
        <v>0</v>
      </c>
      <c r="AK37" s="7">
        <f t="shared" si="3"/>
        <v>340180</v>
      </c>
      <c r="AL37" s="7">
        <v>236280</v>
      </c>
      <c r="AM37" s="7">
        <v>103900</v>
      </c>
      <c r="AN37" s="7">
        <v>0</v>
      </c>
      <c r="AO37" s="7">
        <v>0</v>
      </c>
      <c r="AP37" s="7">
        <v>0</v>
      </c>
      <c r="AQ37" s="7">
        <v>0</v>
      </c>
      <c r="AR37" s="7">
        <v>0</v>
      </c>
      <c r="AS37" s="7">
        <f t="shared" si="11"/>
        <v>21879212</v>
      </c>
      <c r="AT37" s="7">
        <v>0</v>
      </c>
      <c r="AU37" s="7">
        <v>0</v>
      </c>
      <c r="AV37" s="7">
        <v>0</v>
      </c>
      <c r="AW37" s="7">
        <v>0</v>
      </c>
      <c r="AX37" s="7">
        <v>75000</v>
      </c>
      <c r="AY37" s="7">
        <v>0</v>
      </c>
      <c r="AZ37" s="7">
        <v>2200000</v>
      </c>
      <c r="BA37" s="7">
        <v>12601165</v>
      </c>
      <c r="BB37" s="7">
        <v>5351643</v>
      </c>
      <c r="BC37" s="7">
        <v>1230071</v>
      </c>
      <c r="BD37" s="7">
        <v>80000</v>
      </c>
      <c r="BE37" s="7">
        <v>27600</v>
      </c>
      <c r="BF37" s="7">
        <v>58295</v>
      </c>
      <c r="BG37" s="7">
        <v>95438</v>
      </c>
      <c r="BH37" s="7">
        <v>150000</v>
      </c>
      <c r="BI37" s="7">
        <v>10000</v>
      </c>
      <c r="BJ37" s="7">
        <v>0</v>
      </c>
      <c r="BK37" s="7">
        <v>0</v>
      </c>
      <c r="BL37" s="7">
        <v>0</v>
      </c>
      <c r="BM37" s="7">
        <v>0</v>
      </c>
      <c r="BN37" s="7">
        <f t="shared" si="4"/>
        <v>1444360</v>
      </c>
      <c r="BO37" s="7">
        <v>17200</v>
      </c>
      <c r="BP37" s="7">
        <v>449160</v>
      </c>
      <c r="BQ37" s="7">
        <v>878000</v>
      </c>
      <c r="BR37" s="7">
        <v>88000</v>
      </c>
      <c r="BS37" s="7">
        <v>12000</v>
      </c>
      <c r="BT37" s="7">
        <v>0</v>
      </c>
      <c r="BU37" s="7">
        <v>0</v>
      </c>
      <c r="BV37" s="7">
        <v>0</v>
      </c>
      <c r="BW37" s="7">
        <f t="shared" si="5"/>
        <v>46558760</v>
      </c>
      <c r="BX37" s="7">
        <f t="shared" si="6"/>
        <v>906000</v>
      </c>
      <c r="BY37" s="7">
        <v>0</v>
      </c>
      <c r="BZ37" s="7">
        <v>0</v>
      </c>
      <c r="CA37" s="7">
        <v>0</v>
      </c>
      <c r="CB37" s="7">
        <v>0</v>
      </c>
      <c r="CC37" s="7">
        <v>900000</v>
      </c>
      <c r="CD37" s="7">
        <v>4000</v>
      </c>
      <c r="CE37" s="7">
        <v>2000</v>
      </c>
      <c r="CF37" s="7">
        <v>0</v>
      </c>
      <c r="CG37" s="7">
        <f t="shared" si="12"/>
        <v>42844760</v>
      </c>
      <c r="CH37" s="7">
        <v>60797568</v>
      </c>
      <c r="CI37" s="7">
        <f t="shared" si="7"/>
        <v>42844760</v>
      </c>
      <c r="CJ37" s="7">
        <v>0</v>
      </c>
      <c r="CK37" s="7">
        <f t="shared" si="8"/>
        <v>1052100</v>
      </c>
      <c r="CL37" s="7">
        <v>0</v>
      </c>
      <c r="CM37" s="7">
        <v>1047100</v>
      </c>
      <c r="CN37" s="7">
        <v>5000</v>
      </c>
      <c r="CO37" s="7">
        <v>0</v>
      </c>
      <c r="CP37" s="7">
        <v>0</v>
      </c>
      <c r="CQ37" s="7">
        <v>0</v>
      </c>
      <c r="CR37" s="7">
        <v>0</v>
      </c>
      <c r="CS37" s="7">
        <f t="shared" si="13"/>
        <v>650000</v>
      </c>
      <c r="CT37" s="7">
        <v>650000</v>
      </c>
      <c r="CU37" s="7">
        <v>0</v>
      </c>
      <c r="CV37" s="7">
        <v>0</v>
      </c>
      <c r="CW37" s="7">
        <v>0</v>
      </c>
      <c r="CX37" s="7">
        <v>0</v>
      </c>
      <c r="CY37" s="7">
        <v>0</v>
      </c>
      <c r="CZ37" s="7">
        <v>0</v>
      </c>
      <c r="DA37" s="7">
        <f t="shared" si="14"/>
        <v>1052900</v>
      </c>
      <c r="DB37" s="7">
        <v>10000</v>
      </c>
      <c r="DC37" s="7">
        <v>20000</v>
      </c>
      <c r="DD37" s="7">
        <v>0</v>
      </c>
      <c r="DE37" s="7">
        <v>20000</v>
      </c>
      <c r="DF37" s="7">
        <v>0</v>
      </c>
      <c r="DG37" s="7">
        <v>6000</v>
      </c>
      <c r="DH37" s="7">
        <v>0</v>
      </c>
      <c r="DI37" s="7">
        <v>303800</v>
      </c>
      <c r="DJ37" s="7">
        <v>346000</v>
      </c>
      <c r="DK37" s="7">
        <v>160000</v>
      </c>
      <c r="DL37" s="7">
        <v>37100</v>
      </c>
      <c r="DM37" s="7">
        <v>150000</v>
      </c>
      <c r="DN37" s="7">
        <f t="shared" si="15"/>
        <v>53000</v>
      </c>
      <c r="DO37" s="7">
        <v>51000</v>
      </c>
      <c r="DP37" s="7">
        <v>0</v>
      </c>
      <c r="DQ37" s="7">
        <v>2000</v>
      </c>
      <c r="DR37" s="7">
        <v>0</v>
      </c>
      <c r="DS37" s="7">
        <v>0</v>
      </c>
      <c r="DT37" s="7">
        <v>0</v>
      </c>
      <c r="DU37" s="7">
        <v>0</v>
      </c>
      <c r="DV37" s="7">
        <v>0</v>
      </c>
      <c r="DW37" s="7">
        <v>0</v>
      </c>
      <c r="DX37" s="7">
        <v>0</v>
      </c>
      <c r="DY37" s="7">
        <v>0</v>
      </c>
    </row>
    <row r="38" spans="1:129" ht="15" customHeight="1">
      <c r="A38" s="4" t="s">
        <v>1952</v>
      </c>
      <c r="B38" s="7">
        <f t="shared" si="0"/>
        <v>23475550</v>
      </c>
      <c r="C38" s="7">
        <f t="shared" si="1"/>
        <v>12127744</v>
      </c>
      <c r="D38" s="7">
        <f t="shared" si="2"/>
        <v>8995081</v>
      </c>
      <c r="E38" s="7">
        <f t="shared" si="9"/>
        <v>5455148</v>
      </c>
      <c r="F38" s="7">
        <v>2893198</v>
      </c>
      <c r="G38" s="7">
        <v>0</v>
      </c>
      <c r="H38" s="7">
        <v>520602</v>
      </c>
      <c r="I38" s="7">
        <v>90084</v>
      </c>
      <c r="J38" s="7">
        <v>93087</v>
      </c>
      <c r="K38" s="7">
        <v>138129</v>
      </c>
      <c r="L38" s="7">
        <v>467468</v>
      </c>
      <c r="M38" s="7">
        <v>124616</v>
      </c>
      <c r="N38" s="7">
        <v>69064</v>
      </c>
      <c r="O38" s="7">
        <v>28625</v>
      </c>
      <c r="P38" s="7">
        <v>1030275</v>
      </c>
      <c r="Q38" s="7">
        <f t="shared" si="10"/>
        <v>2156793</v>
      </c>
      <c r="R38" s="7">
        <v>1097779</v>
      </c>
      <c r="S38" s="7">
        <v>0</v>
      </c>
      <c r="T38" s="7">
        <v>162151</v>
      </c>
      <c r="U38" s="7">
        <v>209000</v>
      </c>
      <c r="V38" s="7">
        <v>158475</v>
      </c>
      <c r="W38" s="7">
        <v>25960</v>
      </c>
      <c r="X38" s="7">
        <v>46550</v>
      </c>
      <c r="Y38" s="7">
        <v>36000</v>
      </c>
      <c r="Z38" s="7">
        <v>0</v>
      </c>
      <c r="AA38" s="7">
        <v>3100</v>
      </c>
      <c r="AB38" s="7">
        <v>148379</v>
      </c>
      <c r="AC38" s="7">
        <v>120827</v>
      </c>
      <c r="AD38" s="7">
        <v>0</v>
      </c>
      <c r="AE38" s="7">
        <v>20060</v>
      </c>
      <c r="AF38" s="7">
        <v>120112</v>
      </c>
      <c r="AG38" s="7">
        <v>8400</v>
      </c>
      <c r="AH38" s="7">
        <v>0</v>
      </c>
      <c r="AI38" s="7">
        <v>0</v>
      </c>
      <c r="AJ38" s="7">
        <v>1271320</v>
      </c>
      <c r="AK38" s="7">
        <f t="shared" si="3"/>
        <v>111820</v>
      </c>
      <c r="AL38" s="7">
        <v>84120</v>
      </c>
      <c r="AM38" s="7">
        <v>27700</v>
      </c>
      <c r="AN38" s="7">
        <v>0</v>
      </c>
      <c r="AO38" s="7">
        <v>0</v>
      </c>
      <c r="AP38" s="7">
        <v>0</v>
      </c>
      <c r="AQ38" s="7">
        <v>0</v>
      </c>
      <c r="AR38" s="7">
        <v>0</v>
      </c>
      <c r="AS38" s="7">
        <f t="shared" si="11"/>
        <v>2978763</v>
      </c>
      <c r="AT38" s="7">
        <v>0</v>
      </c>
      <c r="AU38" s="7">
        <v>0</v>
      </c>
      <c r="AV38" s="7">
        <v>0</v>
      </c>
      <c r="AW38" s="7">
        <v>0</v>
      </c>
      <c r="AX38" s="7">
        <v>0</v>
      </c>
      <c r="AY38" s="7">
        <v>0</v>
      </c>
      <c r="AZ38" s="7">
        <v>350000</v>
      </c>
      <c r="BA38" s="7">
        <v>1729057</v>
      </c>
      <c r="BB38" s="7">
        <v>758456</v>
      </c>
      <c r="BC38" s="7">
        <v>90000</v>
      </c>
      <c r="BD38" s="7">
        <v>0</v>
      </c>
      <c r="BE38" s="7">
        <v>0</v>
      </c>
      <c r="BF38" s="7">
        <v>20000</v>
      </c>
      <c r="BG38" s="7">
        <v>31250</v>
      </c>
      <c r="BH38" s="7">
        <v>0</v>
      </c>
      <c r="BI38" s="7">
        <v>0</v>
      </c>
      <c r="BJ38" s="7">
        <v>0</v>
      </c>
      <c r="BK38" s="7">
        <v>0</v>
      </c>
      <c r="BL38" s="7">
        <v>0</v>
      </c>
      <c r="BM38" s="7">
        <v>0</v>
      </c>
      <c r="BN38" s="7">
        <f t="shared" si="4"/>
        <v>153900</v>
      </c>
      <c r="BO38" s="7">
        <v>0</v>
      </c>
      <c r="BP38" s="7">
        <v>0</v>
      </c>
      <c r="BQ38" s="7">
        <v>153900</v>
      </c>
      <c r="BR38" s="7">
        <v>0</v>
      </c>
      <c r="BS38" s="7">
        <v>0</v>
      </c>
      <c r="BT38" s="7">
        <v>0</v>
      </c>
      <c r="BU38" s="7">
        <v>0</v>
      </c>
      <c r="BV38" s="7">
        <v>0</v>
      </c>
      <c r="BW38" s="7">
        <f t="shared" si="5"/>
        <v>11347806</v>
      </c>
      <c r="BX38" s="7">
        <f t="shared" si="6"/>
        <v>0</v>
      </c>
      <c r="BY38" s="7">
        <v>0</v>
      </c>
      <c r="BZ38" s="7">
        <v>0</v>
      </c>
      <c r="CA38" s="7">
        <v>0</v>
      </c>
      <c r="CB38" s="7">
        <v>0</v>
      </c>
      <c r="CC38" s="7">
        <v>0</v>
      </c>
      <c r="CD38" s="7">
        <v>0</v>
      </c>
      <c r="CE38" s="7">
        <v>0</v>
      </c>
      <c r="CF38" s="7">
        <v>0</v>
      </c>
      <c r="CG38" s="7">
        <f t="shared" si="12"/>
        <v>11188806</v>
      </c>
      <c r="CH38" s="7">
        <v>13676319</v>
      </c>
      <c r="CI38" s="7">
        <f t="shared" si="7"/>
        <v>11188806</v>
      </c>
      <c r="CJ38" s="7">
        <v>0</v>
      </c>
      <c r="CK38" s="7">
        <f t="shared" si="8"/>
        <v>100000</v>
      </c>
      <c r="CL38" s="7">
        <v>0</v>
      </c>
      <c r="CM38" s="7">
        <v>100000</v>
      </c>
      <c r="CN38" s="7">
        <v>0</v>
      </c>
      <c r="CO38" s="7">
        <v>0</v>
      </c>
      <c r="CP38" s="7">
        <v>0</v>
      </c>
      <c r="CQ38" s="7">
        <v>0</v>
      </c>
      <c r="CR38" s="7">
        <v>0</v>
      </c>
      <c r="CS38" s="7">
        <f t="shared" si="13"/>
        <v>0</v>
      </c>
      <c r="CT38" s="7">
        <v>0</v>
      </c>
      <c r="CU38" s="7">
        <v>0</v>
      </c>
      <c r="CV38" s="7">
        <v>0</v>
      </c>
      <c r="CW38" s="7">
        <v>0</v>
      </c>
      <c r="CX38" s="7">
        <v>0</v>
      </c>
      <c r="CY38" s="7">
        <v>0</v>
      </c>
      <c r="CZ38" s="7">
        <v>0</v>
      </c>
      <c r="DA38" s="7">
        <f t="shared" si="14"/>
        <v>0</v>
      </c>
      <c r="DB38" s="7">
        <v>0</v>
      </c>
      <c r="DC38" s="7">
        <v>0</v>
      </c>
      <c r="DD38" s="7">
        <v>0</v>
      </c>
      <c r="DE38" s="7">
        <v>0</v>
      </c>
      <c r="DF38" s="7">
        <v>0</v>
      </c>
      <c r="DG38" s="7">
        <v>0</v>
      </c>
      <c r="DH38" s="7">
        <v>0</v>
      </c>
      <c r="DI38" s="7">
        <v>0</v>
      </c>
      <c r="DJ38" s="7">
        <v>0</v>
      </c>
      <c r="DK38" s="7">
        <v>0</v>
      </c>
      <c r="DL38" s="7">
        <v>0</v>
      </c>
      <c r="DM38" s="7">
        <v>0</v>
      </c>
      <c r="DN38" s="7">
        <f t="shared" si="15"/>
        <v>59000</v>
      </c>
      <c r="DO38" s="7">
        <v>1820</v>
      </c>
      <c r="DP38" s="7">
        <v>0</v>
      </c>
      <c r="DQ38" s="7">
        <v>3000</v>
      </c>
      <c r="DR38" s="7">
        <v>2000</v>
      </c>
      <c r="DS38" s="7">
        <v>52180</v>
      </c>
      <c r="DT38" s="7">
        <v>0</v>
      </c>
      <c r="DU38" s="7">
        <v>0</v>
      </c>
      <c r="DV38" s="7">
        <v>0</v>
      </c>
      <c r="DW38" s="7">
        <v>0</v>
      </c>
      <c r="DX38" s="7">
        <v>0</v>
      </c>
      <c r="DY38" s="7">
        <v>0</v>
      </c>
    </row>
    <row r="39" spans="1:129" ht="15" customHeight="1">
      <c r="A39" s="4" t="s">
        <v>1304</v>
      </c>
      <c r="B39" s="7">
        <f t="shared" si="0"/>
        <v>109380756</v>
      </c>
      <c r="C39" s="7">
        <f t="shared" si="1"/>
        <v>57979696</v>
      </c>
      <c r="D39" s="7">
        <f t="shared" si="2"/>
        <v>38210348</v>
      </c>
      <c r="E39" s="7">
        <f t="shared" si="9"/>
        <v>25110777</v>
      </c>
      <c r="F39" s="7">
        <v>15391913</v>
      </c>
      <c r="G39" s="7">
        <v>0</v>
      </c>
      <c r="H39" s="7">
        <v>0</v>
      </c>
      <c r="I39" s="7">
        <v>479250</v>
      </c>
      <c r="J39" s="7">
        <v>495225</v>
      </c>
      <c r="K39" s="7">
        <v>734850</v>
      </c>
      <c r="L39" s="7">
        <v>2705898</v>
      </c>
      <c r="M39" s="7">
        <v>662963</v>
      </c>
      <c r="N39" s="7">
        <v>311513</v>
      </c>
      <c r="O39" s="7">
        <v>184125</v>
      </c>
      <c r="P39" s="7">
        <v>4145040</v>
      </c>
      <c r="Q39" s="7">
        <f t="shared" si="10"/>
        <v>8500130</v>
      </c>
      <c r="R39" s="7">
        <v>712037</v>
      </c>
      <c r="S39" s="7">
        <v>0</v>
      </c>
      <c r="T39" s="7">
        <v>599063</v>
      </c>
      <c r="U39" s="7">
        <v>2417750</v>
      </c>
      <c r="V39" s="7">
        <v>1870005</v>
      </c>
      <c r="W39" s="7">
        <v>608713</v>
      </c>
      <c r="X39" s="7">
        <v>457140</v>
      </c>
      <c r="Y39" s="7">
        <v>371200</v>
      </c>
      <c r="Z39" s="7">
        <v>1260</v>
      </c>
      <c r="AA39" s="7">
        <v>390200</v>
      </c>
      <c r="AB39" s="7">
        <v>0</v>
      </c>
      <c r="AC39" s="7">
        <v>188475</v>
      </c>
      <c r="AD39" s="7">
        <v>0</v>
      </c>
      <c r="AE39" s="7">
        <v>108587</v>
      </c>
      <c r="AF39" s="7">
        <v>757500</v>
      </c>
      <c r="AG39" s="7">
        <v>18200</v>
      </c>
      <c r="AH39" s="7">
        <v>3043570</v>
      </c>
      <c r="AI39" s="7">
        <v>0</v>
      </c>
      <c r="AJ39" s="7">
        <v>1068311</v>
      </c>
      <c r="AK39" s="7">
        <f t="shared" si="3"/>
        <v>487560</v>
      </c>
      <c r="AL39" s="7">
        <v>289560</v>
      </c>
      <c r="AM39" s="7">
        <v>198000</v>
      </c>
      <c r="AN39" s="7">
        <v>0</v>
      </c>
      <c r="AO39" s="7">
        <v>0</v>
      </c>
      <c r="AP39" s="7">
        <v>0</v>
      </c>
      <c r="AQ39" s="7">
        <v>0</v>
      </c>
      <c r="AR39" s="7">
        <v>0</v>
      </c>
      <c r="AS39" s="7">
        <f t="shared" si="11"/>
        <v>19682848</v>
      </c>
      <c r="AT39" s="7">
        <v>0</v>
      </c>
      <c r="AU39" s="7">
        <v>12180</v>
      </c>
      <c r="AV39" s="7">
        <v>0</v>
      </c>
      <c r="AW39" s="7">
        <v>0</v>
      </c>
      <c r="AX39" s="7">
        <v>0</v>
      </c>
      <c r="AY39" s="7">
        <v>0</v>
      </c>
      <c r="AZ39" s="7">
        <v>1781130</v>
      </c>
      <c r="BA39" s="7">
        <v>12937685</v>
      </c>
      <c r="BB39" s="7">
        <v>3435747</v>
      </c>
      <c r="BC39" s="7">
        <v>1202884</v>
      </c>
      <c r="BD39" s="7">
        <v>100000</v>
      </c>
      <c r="BE39" s="7">
        <v>22222</v>
      </c>
      <c r="BF39" s="7">
        <v>41000</v>
      </c>
      <c r="BG39" s="7">
        <v>18000</v>
      </c>
      <c r="BH39" s="7">
        <v>75000</v>
      </c>
      <c r="BI39" s="7">
        <v>2800</v>
      </c>
      <c r="BJ39" s="7">
        <v>7000</v>
      </c>
      <c r="BK39" s="7">
        <v>28200</v>
      </c>
      <c r="BL39" s="7">
        <v>8000</v>
      </c>
      <c r="BM39" s="7">
        <v>11000</v>
      </c>
      <c r="BN39" s="7">
        <f t="shared" si="4"/>
        <v>86500</v>
      </c>
      <c r="BO39" s="7">
        <v>0</v>
      </c>
      <c r="BP39" s="7">
        <v>0</v>
      </c>
      <c r="BQ39" s="7">
        <v>0</v>
      </c>
      <c r="BR39" s="7">
        <v>86500</v>
      </c>
      <c r="BS39" s="7">
        <v>0</v>
      </c>
      <c r="BT39" s="7">
        <v>0</v>
      </c>
      <c r="BU39" s="7">
        <v>0</v>
      </c>
      <c r="BV39" s="7">
        <v>0</v>
      </c>
      <c r="BW39" s="7">
        <f t="shared" si="5"/>
        <v>51401060</v>
      </c>
      <c r="BX39" s="7">
        <f t="shared" si="6"/>
        <v>0</v>
      </c>
      <c r="BY39" s="7">
        <v>0</v>
      </c>
      <c r="BZ39" s="7">
        <v>0</v>
      </c>
      <c r="CA39" s="7">
        <v>0</v>
      </c>
      <c r="CB39" s="7">
        <v>0</v>
      </c>
      <c r="CC39" s="7">
        <v>0</v>
      </c>
      <c r="CD39" s="7">
        <v>0</v>
      </c>
      <c r="CE39" s="7">
        <v>0</v>
      </c>
      <c r="CF39" s="7">
        <v>0</v>
      </c>
      <c r="CG39" s="7">
        <f t="shared" si="12"/>
        <v>47852773</v>
      </c>
      <c r="CH39" s="7">
        <v>64226205</v>
      </c>
      <c r="CI39" s="7">
        <f t="shared" si="7"/>
        <v>47852773</v>
      </c>
      <c r="CJ39" s="7">
        <v>0</v>
      </c>
      <c r="CK39" s="7">
        <f t="shared" si="8"/>
        <v>704460</v>
      </c>
      <c r="CL39" s="7">
        <v>0</v>
      </c>
      <c r="CM39" s="7">
        <v>598650</v>
      </c>
      <c r="CN39" s="7">
        <v>105810</v>
      </c>
      <c r="CO39" s="7">
        <v>0</v>
      </c>
      <c r="CP39" s="7">
        <v>0</v>
      </c>
      <c r="CQ39" s="7">
        <v>0</v>
      </c>
      <c r="CR39" s="7">
        <v>0</v>
      </c>
      <c r="CS39" s="7">
        <f t="shared" si="13"/>
        <v>175000</v>
      </c>
      <c r="CT39" s="7">
        <v>175000</v>
      </c>
      <c r="CU39" s="7">
        <v>0</v>
      </c>
      <c r="CV39" s="7">
        <v>0</v>
      </c>
      <c r="CW39" s="7">
        <v>0</v>
      </c>
      <c r="CX39" s="7">
        <v>0</v>
      </c>
      <c r="CY39" s="7">
        <v>0</v>
      </c>
      <c r="CZ39" s="7">
        <v>0</v>
      </c>
      <c r="DA39" s="7">
        <f t="shared" si="14"/>
        <v>1938242</v>
      </c>
      <c r="DB39" s="7">
        <v>2000</v>
      </c>
      <c r="DC39" s="7">
        <v>1170000</v>
      </c>
      <c r="DD39" s="7">
        <v>530000</v>
      </c>
      <c r="DE39" s="7">
        <v>0</v>
      </c>
      <c r="DF39" s="7">
        <v>0</v>
      </c>
      <c r="DG39" s="7">
        <v>0</v>
      </c>
      <c r="DH39" s="7">
        <v>0</v>
      </c>
      <c r="DI39" s="7">
        <v>59742</v>
      </c>
      <c r="DJ39" s="7">
        <v>64000</v>
      </c>
      <c r="DK39" s="7">
        <v>91000</v>
      </c>
      <c r="DL39" s="7">
        <v>21500</v>
      </c>
      <c r="DM39" s="7">
        <v>0</v>
      </c>
      <c r="DN39" s="7">
        <f t="shared" si="15"/>
        <v>730585</v>
      </c>
      <c r="DO39" s="7">
        <v>89000</v>
      </c>
      <c r="DP39" s="7">
        <v>0</v>
      </c>
      <c r="DQ39" s="7">
        <v>0</v>
      </c>
      <c r="DR39" s="7">
        <v>418585</v>
      </c>
      <c r="DS39" s="7">
        <v>28000</v>
      </c>
      <c r="DT39" s="7">
        <v>120000</v>
      </c>
      <c r="DU39" s="7">
        <v>20000</v>
      </c>
      <c r="DV39" s="7">
        <v>40000</v>
      </c>
      <c r="DW39" s="7">
        <v>15000</v>
      </c>
      <c r="DX39" s="7">
        <v>0</v>
      </c>
      <c r="DY39" s="7">
        <v>0</v>
      </c>
    </row>
    <row r="40" spans="1:129" ht="15" customHeight="1">
      <c r="A40" s="4" t="s">
        <v>447</v>
      </c>
      <c r="B40" s="7">
        <f t="shared" si="0"/>
        <v>66739095</v>
      </c>
      <c r="C40" s="7">
        <f t="shared" si="1"/>
        <v>37851615</v>
      </c>
      <c r="D40" s="7">
        <f t="shared" si="2"/>
        <v>25183191</v>
      </c>
      <c r="E40" s="7">
        <f t="shared" si="9"/>
        <v>14010036</v>
      </c>
      <c r="F40" s="7">
        <v>8459428</v>
      </c>
      <c r="G40" s="7">
        <v>0</v>
      </c>
      <c r="H40" s="7">
        <v>477857</v>
      </c>
      <c r="I40" s="7">
        <v>263460</v>
      </c>
      <c r="J40" s="7">
        <v>272242</v>
      </c>
      <c r="K40" s="7">
        <v>403972</v>
      </c>
      <c r="L40" s="7">
        <v>1425320</v>
      </c>
      <c r="M40" s="7">
        <v>364453</v>
      </c>
      <c r="N40" s="7">
        <v>171249</v>
      </c>
      <c r="O40" s="7">
        <v>85000</v>
      </c>
      <c r="P40" s="7">
        <v>2087055</v>
      </c>
      <c r="Q40" s="7">
        <f t="shared" si="10"/>
        <v>6857099</v>
      </c>
      <c r="R40" s="7">
        <v>2889392</v>
      </c>
      <c r="S40" s="7">
        <v>0</v>
      </c>
      <c r="T40" s="7">
        <v>465446</v>
      </c>
      <c r="U40" s="7">
        <v>940500</v>
      </c>
      <c r="V40" s="7">
        <v>1225540</v>
      </c>
      <c r="W40" s="7">
        <v>168410</v>
      </c>
      <c r="X40" s="7">
        <v>90170</v>
      </c>
      <c r="Y40" s="7">
        <v>255000</v>
      </c>
      <c r="Z40" s="7">
        <v>12272</v>
      </c>
      <c r="AA40" s="7">
        <v>165600</v>
      </c>
      <c r="AB40" s="7">
        <v>113739</v>
      </c>
      <c r="AC40" s="7">
        <v>102627</v>
      </c>
      <c r="AD40" s="7">
        <v>0</v>
      </c>
      <c r="AE40" s="7">
        <v>63823</v>
      </c>
      <c r="AF40" s="7">
        <v>351280</v>
      </c>
      <c r="AG40" s="7">
        <v>13300</v>
      </c>
      <c r="AH40" s="7">
        <v>3050623</v>
      </c>
      <c r="AI40" s="7">
        <v>0</v>
      </c>
      <c r="AJ40" s="7">
        <v>1052133</v>
      </c>
      <c r="AK40" s="7">
        <f t="shared" si="3"/>
        <v>213300</v>
      </c>
      <c r="AL40" s="7">
        <v>141900</v>
      </c>
      <c r="AM40" s="7">
        <v>71400</v>
      </c>
      <c r="AN40" s="7">
        <v>0</v>
      </c>
      <c r="AO40" s="7">
        <v>0</v>
      </c>
      <c r="AP40" s="7">
        <v>0</v>
      </c>
      <c r="AQ40" s="7">
        <v>0</v>
      </c>
      <c r="AR40" s="7">
        <v>0</v>
      </c>
      <c r="AS40" s="7">
        <f t="shared" si="11"/>
        <v>11400752</v>
      </c>
      <c r="AT40" s="7">
        <v>0</v>
      </c>
      <c r="AU40" s="7">
        <v>0</v>
      </c>
      <c r="AV40" s="7">
        <v>0</v>
      </c>
      <c r="AW40" s="7">
        <v>0</v>
      </c>
      <c r="AX40" s="7">
        <v>100000</v>
      </c>
      <c r="AY40" s="7">
        <v>0</v>
      </c>
      <c r="AZ40" s="7">
        <v>1010663</v>
      </c>
      <c r="BA40" s="7">
        <v>6977900</v>
      </c>
      <c r="BB40" s="7">
        <v>2921960</v>
      </c>
      <c r="BC40" s="7">
        <v>307704</v>
      </c>
      <c r="BD40" s="7">
        <v>0</v>
      </c>
      <c r="BE40" s="7">
        <v>0</v>
      </c>
      <c r="BF40" s="7">
        <v>20025</v>
      </c>
      <c r="BG40" s="7">
        <v>62500</v>
      </c>
      <c r="BH40" s="7">
        <v>0</v>
      </c>
      <c r="BI40" s="7">
        <v>0</v>
      </c>
      <c r="BJ40" s="7">
        <v>0</v>
      </c>
      <c r="BK40" s="7">
        <v>0</v>
      </c>
      <c r="BL40" s="7">
        <v>0</v>
      </c>
      <c r="BM40" s="7">
        <v>0</v>
      </c>
      <c r="BN40" s="7">
        <f t="shared" si="4"/>
        <v>1267672</v>
      </c>
      <c r="BO40" s="7">
        <v>0</v>
      </c>
      <c r="BP40" s="7">
        <v>1012672</v>
      </c>
      <c r="BQ40" s="7">
        <v>0</v>
      </c>
      <c r="BR40" s="7">
        <v>25000</v>
      </c>
      <c r="BS40" s="7">
        <v>230000</v>
      </c>
      <c r="BT40" s="7">
        <v>0</v>
      </c>
      <c r="BU40" s="7">
        <v>0</v>
      </c>
      <c r="BV40" s="7">
        <v>0</v>
      </c>
      <c r="BW40" s="7">
        <f t="shared" si="5"/>
        <v>28887480</v>
      </c>
      <c r="BX40" s="7">
        <f t="shared" si="6"/>
        <v>0</v>
      </c>
      <c r="BY40" s="7">
        <v>0</v>
      </c>
      <c r="BZ40" s="7">
        <v>0</v>
      </c>
      <c r="CA40" s="7">
        <v>0</v>
      </c>
      <c r="CB40" s="7">
        <v>0</v>
      </c>
      <c r="CC40" s="7">
        <v>0</v>
      </c>
      <c r="CD40" s="7">
        <v>0</v>
      </c>
      <c r="CE40" s="7">
        <v>0</v>
      </c>
      <c r="CF40" s="7">
        <v>0</v>
      </c>
      <c r="CG40" s="7">
        <f t="shared" si="12"/>
        <v>28233480</v>
      </c>
      <c r="CH40" s="7">
        <v>38133340</v>
      </c>
      <c r="CI40" s="7">
        <f t="shared" si="7"/>
        <v>28233480</v>
      </c>
      <c r="CJ40" s="7">
        <v>0</v>
      </c>
      <c r="CK40" s="7">
        <f t="shared" si="8"/>
        <v>150000</v>
      </c>
      <c r="CL40" s="7">
        <v>0</v>
      </c>
      <c r="CM40" s="7">
        <v>143500</v>
      </c>
      <c r="CN40" s="7">
        <v>6500</v>
      </c>
      <c r="CO40" s="7">
        <v>0</v>
      </c>
      <c r="CP40" s="7">
        <v>0</v>
      </c>
      <c r="CQ40" s="7">
        <v>0</v>
      </c>
      <c r="CR40" s="7">
        <v>0</v>
      </c>
      <c r="CS40" s="7">
        <f t="shared" si="13"/>
        <v>420000</v>
      </c>
      <c r="CT40" s="7">
        <v>420000</v>
      </c>
      <c r="CU40" s="7">
        <v>0</v>
      </c>
      <c r="CV40" s="7">
        <v>0</v>
      </c>
      <c r="CW40" s="7">
        <v>0</v>
      </c>
      <c r="CX40" s="7">
        <v>0</v>
      </c>
      <c r="CY40" s="7">
        <v>0</v>
      </c>
      <c r="CZ40" s="7">
        <v>0</v>
      </c>
      <c r="DA40" s="7">
        <f t="shared" si="14"/>
        <v>0</v>
      </c>
      <c r="DB40" s="7">
        <v>0</v>
      </c>
      <c r="DC40" s="7">
        <v>0</v>
      </c>
      <c r="DD40" s="7">
        <v>0</v>
      </c>
      <c r="DE40" s="7">
        <v>0</v>
      </c>
      <c r="DF40" s="7">
        <v>0</v>
      </c>
      <c r="DG40" s="7">
        <v>0</v>
      </c>
      <c r="DH40" s="7">
        <v>0</v>
      </c>
      <c r="DI40" s="7">
        <v>0</v>
      </c>
      <c r="DJ40" s="7">
        <v>0</v>
      </c>
      <c r="DK40" s="7">
        <v>0</v>
      </c>
      <c r="DL40" s="7">
        <v>0</v>
      </c>
      <c r="DM40" s="7">
        <v>0</v>
      </c>
      <c r="DN40" s="7">
        <f t="shared" si="15"/>
        <v>84000</v>
      </c>
      <c r="DO40" s="7">
        <v>0</v>
      </c>
      <c r="DP40" s="7">
        <v>0</v>
      </c>
      <c r="DQ40" s="7">
        <v>13000</v>
      </c>
      <c r="DR40" s="7">
        <v>10000</v>
      </c>
      <c r="DS40" s="7">
        <v>13000</v>
      </c>
      <c r="DT40" s="7">
        <v>38000</v>
      </c>
      <c r="DU40" s="7">
        <v>10000</v>
      </c>
      <c r="DV40" s="7">
        <v>0</v>
      </c>
      <c r="DW40" s="7">
        <v>0</v>
      </c>
      <c r="DX40" s="7">
        <v>0</v>
      </c>
      <c r="DY40" s="7">
        <v>0</v>
      </c>
    </row>
    <row r="41" spans="1:129" ht="15" customHeight="1">
      <c r="A41" s="4" t="s">
        <v>1953</v>
      </c>
      <c r="B41" s="7">
        <f t="shared" si="0"/>
        <v>21533729</v>
      </c>
      <c r="C41" s="7">
        <f t="shared" si="1"/>
        <v>14764047</v>
      </c>
      <c r="D41" s="7">
        <f t="shared" si="2"/>
        <v>11534635</v>
      </c>
      <c r="E41" s="7">
        <f t="shared" si="9"/>
        <v>4876672</v>
      </c>
      <c r="F41" s="7">
        <v>2589117</v>
      </c>
      <c r="G41" s="7">
        <v>22945</v>
      </c>
      <c r="H41" s="7">
        <v>265294</v>
      </c>
      <c r="I41" s="7">
        <v>80616</v>
      </c>
      <c r="J41" s="7">
        <v>83303</v>
      </c>
      <c r="K41" s="7">
        <v>123611</v>
      </c>
      <c r="L41" s="7">
        <v>455230</v>
      </c>
      <c r="M41" s="7">
        <v>111519</v>
      </c>
      <c r="N41" s="7">
        <v>68524</v>
      </c>
      <c r="O41" s="7">
        <v>29138</v>
      </c>
      <c r="P41" s="7">
        <v>1047375</v>
      </c>
      <c r="Q41" s="7">
        <f t="shared" si="10"/>
        <v>2290886</v>
      </c>
      <c r="R41" s="7">
        <v>1020928</v>
      </c>
      <c r="S41" s="7">
        <v>0</v>
      </c>
      <c r="T41" s="7">
        <v>143765</v>
      </c>
      <c r="U41" s="7">
        <v>346750</v>
      </c>
      <c r="V41" s="7">
        <v>221865</v>
      </c>
      <c r="W41" s="7">
        <v>194535</v>
      </c>
      <c r="X41" s="7">
        <v>750</v>
      </c>
      <c r="Y41" s="7">
        <v>146000</v>
      </c>
      <c r="Z41" s="7">
        <v>0</v>
      </c>
      <c r="AA41" s="7">
        <v>27300</v>
      </c>
      <c r="AB41" s="7">
        <v>36873</v>
      </c>
      <c r="AC41" s="7">
        <v>17385</v>
      </c>
      <c r="AD41" s="7">
        <v>0</v>
      </c>
      <c r="AE41" s="7">
        <v>20947</v>
      </c>
      <c r="AF41" s="7">
        <v>107488</v>
      </c>
      <c r="AG41" s="7">
        <v>6300</v>
      </c>
      <c r="AH41" s="7">
        <v>2706104</v>
      </c>
      <c r="AI41" s="7">
        <v>557431</v>
      </c>
      <c r="AJ41" s="7">
        <v>958402</v>
      </c>
      <c r="AK41" s="7">
        <f t="shared" si="3"/>
        <v>145140</v>
      </c>
      <c r="AL41" s="7">
        <v>82440</v>
      </c>
      <c r="AM41" s="7">
        <v>62700</v>
      </c>
      <c r="AN41" s="7">
        <v>0</v>
      </c>
      <c r="AO41" s="7">
        <v>0</v>
      </c>
      <c r="AP41" s="7">
        <v>0</v>
      </c>
      <c r="AQ41" s="7">
        <v>0</v>
      </c>
      <c r="AR41" s="7">
        <v>0</v>
      </c>
      <c r="AS41" s="7">
        <f t="shared" si="11"/>
        <v>3229412</v>
      </c>
      <c r="AT41" s="7">
        <v>0</v>
      </c>
      <c r="AU41" s="7">
        <v>0</v>
      </c>
      <c r="AV41" s="7">
        <v>0</v>
      </c>
      <c r="AW41" s="7">
        <v>0</v>
      </c>
      <c r="AX41" s="7">
        <v>0</v>
      </c>
      <c r="AY41" s="7">
        <v>1000</v>
      </c>
      <c r="AZ41" s="7">
        <v>312500</v>
      </c>
      <c r="BA41" s="7">
        <v>1567182</v>
      </c>
      <c r="BB41" s="7">
        <v>1056497</v>
      </c>
      <c r="BC41" s="7">
        <v>90000</v>
      </c>
      <c r="BD41" s="7">
        <v>0</v>
      </c>
      <c r="BE41" s="7">
        <v>8257</v>
      </c>
      <c r="BF41" s="7">
        <v>20000</v>
      </c>
      <c r="BG41" s="7">
        <v>100000</v>
      </c>
      <c r="BH41" s="7">
        <v>11226</v>
      </c>
      <c r="BI41" s="7">
        <v>750</v>
      </c>
      <c r="BJ41" s="7">
        <v>21000</v>
      </c>
      <c r="BK41" s="7">
        <v>41000</v>
      </c>
      <c r="BL41" s="7">
        <v>0</v>
      </c>
      <c r="BM41" s="7">
        <v>0</v>
      </c>
      <c r="BN41" s="7">
        <f t="shared" si="4"/>
        <v>0</v>
      </c>
      <c r="BO41" s="7">
        <v>0</v>
      </c>
      <c r="BP41" s="7">
        <v>0</v>
      </c>
      <c r="BQ41" s="7">
        <v>0</v>
      </c>
      <c r="BR41" s="7">
        <v>0</v>
      </c>
      <c r="BS41" s="7">
        <v>0</v>
      </c>
      <c r="BT41" s="7">
        <v>0</v>
      </c>
      <c r="BU41" s="7">
        <v>0</v>
      </c>
      <c r="BV41" s="7">
        <v>0</v>
      </c>
      <c r="BW41" s="7">
        <f t="shared" si="5"/>
        <v>6769682</v>
      </c>
      <c r="BX41" s="7">
        <f t="shared" si="6"/>
        <v>0</v>
      </c>
      <c r="BY41" s="7">
        <v>0</v>
      </c>
      <c r="BZ41" s="7">
        <v>0</v>
      </c>
      <c r="CA41" s="7">
        <v>0</v>
      </c>
      <c r="CB41" s="7">
        <v>0</v>
      </c>
      <c r="CC41" s="7">
        <v>0</v>
      </c>
      <c r="CD41" s="7">
        <v>0</v>
      </c>
      <c r="CE41" s="7">
        <v>0</v>
      </c>
      <c r="CF41" s="7">
        <v>0</v>
      </c>
      <c r="CG41" s="7">
        <f t="shared" si="12"/>
        <v>6217082</v>
      </c>
      <c r="CH41" s="7">
        <v>8840761</v>
      </c>
      <c r="CI41" s="7">
        <f t="shared" si="7"/>
        <v>6217082</v>
      </c>
      <c r="CJ41" s="7">
        <v>0</v>
      </c>
      <c r="CK41" s="7">
        <f t="shared" si="8"/>
        <v>26000</v>
      </c>
      <c r="CL41" s="7">
        <v>0</v>
      </c>
      <c r="CM41" s="7">
        <v>0</v>
      </c>
      <c r="CN41" s="7">
        <v>26000</v>
      </c>
      <c r="CO41" s="7">
        <v>0</v>
      </c>
      <c r="CP41" s="7">
        <v>0</v>
      </c>
      <c r="CQ41" s="7">
        <v>0</v>
      </c>
      <c r="CR41" s="7">
        <v>0</v>
      </c>
      <c r="CS41" s="7">
        <f t="shared" si="13"/>
        <v>180200</v>
      </c>
      <c r="CT41" s="7">
        <v>180200</v>
      </c>
      <c r="CU41" s="7">
        <v>0</v>
      </c>
      <c r="CV41" s="7">
        <v>0</v>
      </c>
      <c r="CW41" s="7">
        <v>0</v>
      </c>
      <c r="CX41" s="7">
        <v>0</v>
      </c>
      <c r="CY41" s="7">
        <v>0</v>
      </c>
      <c r="CZ41" s="7">
        <v>0</v>
      </c>
      <c r="DA41" s="7">
        <f t="shared" si="14"/>
        <v>273200</v>
      </c>
      <c r="DB41" s="7">
        <v>108000</v>
      </c>
      <c r="DC41" s="7">
        <v>0</v>
      </c>
      <c r="DD41" s="7">
        <v>0</v>
      </c>
      <c r="DE41" s="7">
        <v>0</v>
      </c>
      <c r="DF41" s="7">
        <v>78000</v>
      </c>
      <c r="DG41" s="7">
        <v>0</v>
      </c>
      <c r="DH41" s="7">
        <v>0</v>
      </c>
      <c r="DI41" s="7">
        <v>73000</v>
      </c>
      <c r="DJ41" s="7">
        <v>14200</v>
      </c>
      <c r="DK41" s="7">
        <v>0</v>
      </c>
      <c r="DL41" s="7">
        <v>0</v>
      </c>
      <c r="DM41" s="7">
        <v>0</v>
      </c>
      <c r="DN41" s="7">
        <f t="shared" si="15"/>
        <v>73200</v>
      </c>
      <c r="DO41" s="7">
        <v>25500</v>
      </c>
      <c r="DP41" s="7">
        <v>0</v>
      </c>
      <c r="DQ41" s="7">
        <v>1000</v>
      </c>
      <c r="DR41" s="7">
        <v>5500</v>
      </c>
      <c r="DS41" s="7">
        <v>1500</v>
      </c>
      <c r="DT41" s="7">
        <v>500</v>
      </c>
      <c r="DU41" s="7">
        <v>3000</v>
      </c>
      <c r="DV41" s="7">
        <v>17000</v>
      </c>
      <c r="DW41" s="7">
        <v>19200</v>
      </c>
      <c r="DX41" s="7">
        <v>0</v>
      </c>
      <c r="DY41" s="7">
        <v>0</v>
      </c>
    </row>
    <row r="42" spans="1:129" ht="15" customHeight="1">
      <c r="A42" s="4" t="s">
        <v>1954</v>
      </c>
      <c r="B42" s="7">
        <f t="shared" si="0"/>
        <v>13695206</v>
      </c>
      <c r="C42" s="7">
        <f t="shared" si="1"/>
        <v>7724570</v>
      </c>
      <c r="D42" s="7">
        <f t="shared" si="2"/>
        <v>5918373</v>
      </c>
      <c r="E42" s="7">
        <f t="shared" si="9"/>
        <v>3382814</v>
      </c>
      <c r="F42" s="7">
        <v>1857050</v>
      </c>
      <c r="G42" s="7">
        <v>19547</v>
      </c>
      <c r="H42" s="7">
        <v>259141</v>
      </c>
      <c r="I42" s="7">
        <v>57822</v>
      </c>
      <c r="J42" s="7">
        <v>59749</v>
      </c>
      <c r="K42" s="7">
        <v>88660</v>
      </c>
      <c r="L42" s="7">
        <v>304778</v>
      </c>
      <c r="M42" s="7">
        <v>79987</v>
      </c>
      <c r="N42" s="7">
        <v>44330</v>
      </c>
      <c r="O42" s="7">
        <v>21800</v>
      </c>
      <c r="P42" s="7">
        <v>589950</v>
      </c>
      <c r="Q42" s="7">
        <f t="shared" si="10"/>
        <v>1270906</v>
      </c>
      <c r="R42" s="7">
        <v>586506</v>
      </c>
      <c r="S42" s="7">
        <v>0</v>
      </c>
      <c r="T42" s="7">
        <v>104080</v>
      </c>
      <c r="U42" s="7">
        <v>183350</v>
      </c>
      <c r="V42" s="7">
        <v>63390</v>
      </c>
      <c r="W42" s="7">
        <v>34100</v>
      </c>
      <c r="X42" s="7">
        <v>77750</v>
      </c>
      <c r="Y42" s="7">
        <v>27000</v>
      </c>
      <c r="Z42" s="7">
        <v>1372</v>
      </c>
      <c r="AA42" s="7">
        <v>500</v>
      </c>
      <c r="AB42" s="7">
        <v>75512</v>
      </c>
      <c r="AC42" s="7">
        <v>18837</v>
      </c>
      <c r="AD42" s="7">
        <v>0</v>
      </c>
      <c r="AE42" s="7">
        <v>16513</v>
      </c>
      <c r="AF42" s="7">
        <v>77096</v>
      </c>
      <c r="AG42" s="7">
        <v>4900</v>
      </c>
      <c r="AH42" s="7">
        <v>37222</v>
      </c>
      <c r="AI42" s="7">
        <v>0</v>
      </c>
      <c r="AJ42" s="7">
        <v>1166291</v>
      </c>
      <c r="AK42" s="7">
        <f t="shared" si="3"/>
        <v>61140</v>
      </c>
      <c r="AL42" s="7">
        <v>47340</v>
      </c>
      <c r="AM42" s="7">
        <v>13800</v>
      </c>
      <c r="AN42" s="7">
        <v>0</v>
      </c>
      <c r="AO42" s="7">
        <v>0</v>
      </c>
      <c r="AP42" s="7">
        <v>0</v>
      </c>
      <c r="AQ42" s="7">
        <v>0</v>
      </c>
      <c r="AR42" s="7">
        <v>0</v>
      </c>
      <c r="AS42" s="7">
        <f t="shared" si="11"/>
        <v>1625817</v>
      </c>
      <c r="AT42" s="7">
        <v>0</v>
      </c>
      <c r="AU42" s="7">
        <v>0</v>
      </c>
      <c r="AV42" s="7">
        <v>0</v>
      </c>
      <c r="AW42" s="7">
        <v>0</v>
      </c>
      <c r="AX42" s="7">
        <v>0</v>
      </c>
      <c r="AY42" s="7">
        <v>0</v>
      </c>
      <c r="AZ42" s="7">
        <v>205000</v>
      </c>
      <c r="BA42" s="7">
        <v>1271603</v>
      </c>
      <c r="BB42" s="7">
        <v>0</v>
      </c>
      <c r="BC42" s="7">
        <v>90000</v>
      </c>
      <c r="BD42" s="7">
        <v>0</v>
      </c>
      <c r="BE42" s="7">
        <v>7064</v>
      </c>
      <c r="BF42" s="7">
        <v>20000</v>
      </c>
      <c r="BG42" s="7">
        <v>900</v>
      </c>
      <c r="BH42" s="7">
        <v>31250</v>
      </c>
      <c r="BI42" s="7">
        <v>0</v>
      </c>
      <c r="BJ42" s="7">
        <v>0</v>
      </c>
      <c r="BK42" s="7">
        <v>0</v>
      </c>
      <c r="BL42" s="7">
        <v>0</v>
      </c>
      <c r="BM42" s="7">
        <v>0</v>
      </c>
      <c r="BN42" s="7">
        <f t="shared" si="4"/>
        <v>180380</v>
      </c>
      <c r="BO42" s="7">
        <v>0</v>
      </c>
      <c r="BP42" s="7">
        <v>180380</v>
      </c>
      <c r="BQ42" s="7">
        <v>0</v>
      </c>
      <c r="BR42" s="7">
        <v>0</v>
      </c>
      <c r="BS42" s="7">
        <v>0</v>
      </c>
      <c r="BT42" s="7">
        <v>0</v>
      </c>
      <c r="BU42" s="7">
        <v>0</v>
      </c>
      <c r="BV42" s="7">
        <v>0</v>
      </c>
      <c r="BW42" s="7">
        <f t="shared" si="5"/>
        <v>5970636</v>
      </c>
      <c r="BX42" s="7">
        <f t="shared" si="6"/>
        <v>0</v>
      </c>
      <c r="BY42" s="7">
        <v>0</v>
      </c>
      <c r="BZ42" s="7">
        <v>0</v>
      </c>
      <c r="CA42" s="7">
        <v>0</v>
      </c>
      <c r="CB42" s="7">
        <v>0</v>
      </c>
      <c r="CC42" s="7">
        <v>0</v>
      </c>
      <c r="CD42" s="7">
        <v>0</v>
      </c>
      <c r="CE42" s="7">
        <v>0</v>
      </c>
      <c r="CF42" s="7">
        <v>0</v>
      </c>
      <c r="CG42" s="7">
        <f t="shared" si="12"/>
        <v>5909581</v>
      </c>
      <c r="CH42" s="7">
        <v>7181184</v>
      </c>
      <c r="CI42" s="7">
        <f t="shared" si="7"/>
        <v>5909581</v>
      </c>
      <c r="CJ42" s="7">
        <v>0</v>
      </c>
      <c r="CK42" s="7">
        <f t="shared" si="8"/>
        <v>35000</v>
      </c>
      <c r="CL42" s="7">
        <v>0</v>
      </c>
      <c r="CM42" s="7">
        <v>35000</v>
      </c>
      <c r="CN42" s="7">
        <v>0</v>
      </c>
      <c r="CO42" s="7">
        <v>0</v>
      </c>
      <c r="CP42" s="7">
        <v>0</v>
      </c>
      <c r="CQ42" s="7">
        <v>0</v>
      </c>
      <c r="CR42" s="7">
        <v>0</v>
      </c>
      <c r="CS42" s="7">
        <f t="shared" si="13"/>
        <v>0</v>
      </c>
      <c r="CT42" s="7">
        <v>0</v>
      </c>
      <c r="CU42" s="7">
        <v>0</v>
      </c>
      <c r="CV42" s="7">
        <v>0</v>
      </c>
      <c r="CW42" s="7">
        <v>0</v>
      </c>
      <c r="CX42" s="7">
        <v>0</v>
      </c>
      <c r="CY42" s="7">
        <v>0</v>
      </c>
      <c r="CZ42" s="7">
        <v>0</v>
      </c>
      <c r="DA42" s="7">
        <f t="shared" si="14"/>
        <v>10330</v>
      </c>
      <c r="DB42" s="7">
        <v>0</v>
      </c>
      <c r="DC42" s="7">
        <v>0</v>
      </c>
      <c r="DD42" s="7">
        <v>0</v>
      </c>
      <c r="DE42" s="7">
        <v>0</v>
      </c>
      <c r="DF42" s="7">
        <v>0</v>
      </c>
      <c r="DG42" s="7">
        <v>0</v>
      </c>
      <c r="DH42" s="7">
        <v>0</v>
      </c>
      <c r="DI42" s="7">
        <v>10330</v>
      </c>
      <c r="DJ42" s="7">
        <v>0</v>
      </c>
      <c r="DK42" s="7">
        <v>0</v>
      </c>
      <c r="DL42" s="7">
        <v>0</v>
      </c>
      <c r="DM42" s="7">
        <v>0</v>
      </c>
      <c r="DN42" s="7">
        <f t="shared" si="15"/>
        <v>15725</v>
      </c>
      <c r="DO42" s="7">
        <v>0</v>
      </c>
      <c r="DP42" s="7">
        <v>0</v>
      </c>
      <c r="DQ42" s="7">
        <v>4000</v>
      </c>
      <c r="DR42" s="7">
        <v>6000</v>
      </c>
      <c r="DS42" s="7">
        <v>100</v>
      </c>
      <c r="DT42" s="7">
        <v>5625</v>
      </c>
      <c r="DU42" s="7">
        <v>0</v>
      </c>
      <c r="DV42" s="7">
        <v>0</v>
      </c>
      <c r="DW42" s="7">
        <v>0</v>
      </c>
      <c r="DX42" s="7">
        <v>0</v>
      </c>
      <c r="DY42" s="7">
        <v>0</v>
      </c>
    </row>
    <row r="43" spans="1:129" ht="15" customHeight="1">
      <c r="A43" s="4" t="s">
        <v>448</v>
      </c>
      <c r="B43" s="7">
        <f t="shared" si="0"/>
        <v>11463366</v>
      </c>
      <c r="C43" s="7">
        <f t="shared" si="1"/>
        <v>8811379</v>
      </c>
      <c r="D43" s="7">
        <f t="shared" si="2"/>
        <v>7283487</v>
      </c>
      <c r="E43" s="7">
        <f t="shared" si="9"/>
        <v>2819016</v>
      </c>
      <c r="F43" s="7">
        <v>1335989</v>
      </c>
      <c r="G43" s="7">
        <v>48187</v>
      </c>
      <c r="H43" s="7">
        <v>296881</v>
      </c>
      <c r="I43" s="7">
        <v>41598</v>
      </c>
      <c r="J43" s="7">
        <v>42985</v>
      </c>
      <c r="K43" s="7">
        <v>63784</v>
      </c>
      <c r="L43" s="7">
        <v>281296</v>
      </c>
      <c r="M43" s="7">
        <v>57544</v>
      </c>
      <c r="N43" s="7">
        <v>31892</v>
      </c>
      <c r="O43" s="7">
        <v>14375</v>
      </c>
      <c r="P43" s="7">
        <v>604485</v>
      </c>
      <c r="Q43" s="7">
        <f t="shared" si="10"/>
        <v>1466659</v>
      </c>
      <c r="R43" s="7">
        <v>749575</v>
      </c>
      <c r="S43" s="7">
        <v>0</v>
      </c>
      <c r="T43" s="7">
        <v>75570</v>
      </c>
      <c r="U43" s="7">
        <v>251750</v>
      </c>
      <c r="V43" s="7">
        <v>73955</v>
      </c>
      <c r="W43" s="7">
        <v>24696</v>
      </c>
      <c r="X43" s="7">
        <v>16800</v>
      </c>
      <c r="Y43" s="7">
        <v>99000</v>
      </c>
      <c r="Z43" s="7">
        <v>0</v>
      </c>
      <c r="AA43" s="7">
        <v>9500</v>
      </c>
      <c r="AB43" s="7">
        <v>95775</v>
      </c>
      <c r="AC43" s="7">
        <v>0</v>
      </c>
      <c r="AD43" s="7">
        <v>0</v>
      </c>
      <c r="AE43" s="7">
        <v>9674</v>
      </c>
      <c r="AF43" s="7">
        <v>55464</v>
      </c>
      <c r="AG43" s="7">
        <v>4900</v>
      </c>
      <c r="AH43" s="7">
        <v>2496093</v>
      </c>
      <c r="AI43" s="7">
        <v>434059</v>
      </c>
      <c r="AJ43" s="7">
        <v>0</v>
      </c>
      <c r="AK43" s="7">
        <f t="shared" si="3"/>
        <v>67660</v>
      </c>
      <c r="AL43" s="7">
        <v>50460</v>
      </c>
      <c r="AM43" s="7">
        <v>17200</v>
      </c>
      <c r="AN43" s="7">
        <v>0</v>
      </c>
      <c r="AO43" s="7">
        <v>0</v>
      </c>
      <c r="AP43" s="7">
        <v>0</v>
      </c>
      <c r="AQ43" s="7">
        <v>0</v>
      </c>
      <c r="AR43" s="7">
        <v>0</v>
      </c>
      <c r="AS43" s="7">
        <f t="shared" si="11"/>
        <v>1527892</v>
      </c>
      <c r="AT43" s="7">
        <v>0</v>
      </c>
      <c r="AU43" s="7">
        <v>0</v>
      </c>
      <c r="AV43" s="7">
        <v>0</v>
      </c>
      <c r="AW43" s="7">
        <v>0</v>
      </c>
      <c r="AX43" s="7">
        <v>0</v>
      </c>
      <c r="AY43" s="7">
        <v>0</v>
      </c>
      <c r="AZ43" s="7">
        <v>173189</v>
      </c>
      <c r="BA43" s="7">
        <v>705909</v>
      </c>
      <c r="BB43" s="7">
        <v>452294</v>
      </c>
      <c r="BC43" s="7">
        <v>90000</v>
      </c>
      <c r="BD43" s="7">
        <v>80000</v>
      </c>
      <c r="BE43" s="7">
        <v>6500</v>
      </c>
      <c r="BF43" s="7">
        <v>20000</v>
      </c>
      <c r="BG43" s="7">
        <v>0</v>
      </c>
      <c r="BH43" s="7">
        <v>0</v>
      </c>
      <c r="BI43" s="7">
        <v>0</v>
      </c>
      <c r="BJ43" s="7">
        <v>0</v>
      </c>
      <c r="BK43" s="7">
        <v>0</v>
      </c>
      <c r="BL43" s="7">
        <v>0</v>
      </c>
      <c r="BM43" s="7">
        <v>0</v>
      </c>
      <c r="BN43" s="7">
        <f t="shared" si="4"/>
        <v>0</v>
      </c>
      <c r="BO43" s="7">
        <v>0</v>
      </c>
      <c r="BP43" s="7">
        <v>0</v>
      </c>
      <c r="BQ43" s="7">
        <v>0</v>
      </c>
      <c r="BR43" s="7">
        <v>0</v>
      </c>
      <c r="BS43" s="7">
        <v>0</v>
      </c>
      <c r="BT43" s="7">
        <v>0</v>
      </c>
      <c r="BU43" s="7">
        <v>0</v>
      </c>
      <c r="BV43" s="7">
        <v>0</v>
      </c>
      <c r="BW43" s="7">
        <f t="shared" si="5"/>
        <v>2651987</v>
      </c>
      <c r="BX43" s="7">
        <f t="shared" si="6"/>
        <v>0</v>
      </c>
      <c r="BY43" s="7">
        <v>0</v>
      </c>
      <c r="BZ43" s="7">
        <v>0</v>
      </c>
      <c r="CA43" s="7">
        <v>0</v>
      </c>
      <c r="CB43" s="7">
        <v>0</v>
      </c>
      <c r="CC43" s="7">
        <v>0</v>
      </c>
      <c r="CD43" s="7">
        <v>0</v>
      </c>
      <c r="CE43" s="7">
        <v>0</v>
      </c>
      <c r="CF43" s="7">
        <v>0</v>
      </c>
      <c r="CG43" s="7">
        <f t="shared" si="12"/>
        <v>2582787</v>
      </c>
      <c r="CH43" s="7">
        <v>3740990</v>
      </c>
      <c r="CI43" s="7">
        <f t="shared" si="7"/>
        <v>2582787</v>
      </c>
      <c r="CJ43" s="7">
        <v>0</v>
      </c>
      <c r="CK43" s="7">
        <f t="shared" si="8"/>
        <v>52000</v>
      </c>
      <c r="CL43" s="7">
        <v>0</v>
      </c>
      <c r="CM43" s="7">
        <v>52000</v>
      </c>
      <c r="CN43" s="7">
        <v>0</v>
      </c>
      <c r="CO43" s="7">
        <v>0</v>
      </c>
      <c r="CP43" s="7">
        <v>0</v>
      </c>
      <c r="CQ43" s="7">
        <v>0</v>
      </c>
      <c r="CR43" s="7">
        <v>0</v>
      </c>
      <c r="CS43" s="7">
        <f t="shared" si="13"/>
        <v>0</v>
      </c>
      <c r="CT43" s="7">
        <v>0</v>
      </c>
      <c r="CU43" s="7">
        <v>0</v>
      </c>
      <c r="CV43" s="7">
        <v>0</v>
      </c>
      <c r="CW43" s="7">
        <v>0</v>
      </c>
      <c r="CX43" s="7">
        <v>0</v>
      </c>
      <c r="CY43" s="7">
        <v>0</v>
      </c>
      <c r="CZ43" s="7">
        <v>0</v>
      </c>
      <c r="DA43" s="7">
        <f t="shared" si="14"/>
        <v>0</v>
      </c>
      <c r="DB43" s="7">
        <v>0</v>
      </c>
      <c r="DC43" s="7">
        <v>0</v>
      </c>
      <c r="DD43" s="7">
        <v>0</v>
      </c>
      <c r="DE43" s="7">
        <v>0</v>
      </c>
      <c r="DF43" s="7">
        <v>0</v>
      </c>
      <c r="DG43" s="7">
        <v>0</v>
      </c>
      <c r="DH43" s="7">
        <v>0</v>
      </c>
      <c r="DI43" s="7">
        <v>0</v>
      </c>
      <c r="DJ43" s="7">
        <v>0</v>
      </c>
      <c r="DK43" s="7">
        <v>0</v>
      </c>
      <c r="DL43" s="7">
        <v>0</v>
      </c>
      <c r="DM43" s="7">
        <v>0</v>
      </c>
      <c r="DN43" s="7">
        <f t="shared" si="15"/>
        <v>17200</v>
      </c>
      <c r="DO43" s="7">
        <v>2000</v>
      </c>
      <c r="DP43" s="7">
        <v>0</v>
      </c>
      <c r="DQ43" s="7">
        <v>500</v>
      </c>
      <c r="DR43" s="7">
        <v>100</v>
      </c>
      <c r="DS43" s="7">
        <v>14600</v>
      </c>
      <c r="DT43" s="7">
        <v>0</v>
      </c>
      <c r="DU43" s="7">
        <v>0</v>
      </c>
      <c r="DV43" s="7">
        <v>0</v>
      </c>
      <c r="DW43" s="7">
        <v>0</v>
      </c>
      <c r="DX43" s="7">
        <v>0</v>
      </c>
      <c r="DY43" s="7">
        <v>0</v>
      </c>
    </row>
    <row r="44" spans="1:129" ht="15" customHeight="1">
      <c r="A44" s="4" t="s">
        <v>1955</v>
      </c>
      <c r="B44" s="7">
        <f t="shared" si="0"/>
        <v>20586044</v>
      </c>
      <c r="C44" s="7">
        <f t="shared" si="1"/>
        <v>13131586</v>
      </c>
      <c r="D44" s="7">
        <f t="shared" si="2"/>
        <v>10301916</v>
      </c>
      <c r="E44" s="7">
        <f t="shared" si="9"/>
        <v>4935174</v>
      </c>
      <c r="F44" s="7">
        <v>3203445</v>
      </c>
      <c r="G44" s="7">
        <v>0</v>
      </c>
      <c r="H44" s="7">
        <v>0</v>
      </c>
      <c r="I44" s="7">
        <v>99744</v>
      </c>
      <c r="J44" s="7">
        <v>103069</v>
      </c>
      <c r="K44" s="7">
        <v>152941</v>
      </c>
      <c r="L44" s="7">
        <v>531696</v>
      </c>
      <c r="M44" s="7">
        <v>137979</v>
      </c>
      <c r="N44" s="7">
        <v>76470</v>
      </c>
      <c r="O44" s="7">
        <v>34750</v>
      </c>
      <c r="P44" s="7">
        <v>595080</v>
      </c>
      <c r="Q44" s="7">
        <f t="shared" si="10"/>
        <v>1622207</v>
      </c>
      <c r="R44" s="7">
        <v>512275</v>
      </c>
      <c r="S44" s="7">
        <v>0</v>
      </c>
      <c r="T44" s="7">
        <v>147954</v>
      </c>
      <c r="U44" s="7">
        <v>299250</v>
      </c>
      <c r="V44" s="7">
        <v>169040</v>
      </c>
      <c r="W44" s="7">
        <v>62315</v>
      </c>
      <c r="X44" s="7">
        <v>138895</v>
      </c>
      <c r="Y44" s="7">
        <v>27000</v>
      </c>
      <c r="Z44" s="7">
        <v>0</v>
      </c>
      <c r="AA44" s="7">
        <v>60600</v>
      </c>
      <c r="AB44" s="7">
        <v>0</v>
      </c>
      <c r="AC44" s="7">
        <v>46476</v>
      </c>
      <c r="AD44" s="7">
        <v>0</v>
      </c>
      <c r="AE44" s="7">
        <v>22610</v>
      </c>
      <c r="AF44" s="7">
        <v>132992</v>
      </c>
      <c r="AG44" s="7">
        <v>2800</v>
      </c>
      <c r="AH44" s="7">
        <v>3698015</v>
      </c>
      <c r="AI44" s="7">
        <v>0</v>
      </c>
      <c r="AJ44" s="7">
        <v>0</v>
      </c>
      <c r="AK44" s="7">
        <f t="shared" si="3"/>
        <v>46520</v>
      </c>
      <c r="AL44" s="7">
        <v>38820</v>
      </c>
      <c r="AM44" s="7">
        <v>7700</v>
      </c>
      <c r="AN44" s="7">
        <v>0</v>
      </c>
      <c r="AO44" s="7">
        <v>0</v>
      </c>
      <c r="AP44" s="7">
        <v>0</v>
      </c>
      <c r="AQ44" s="7">
        <v>0</v>
      </c>
      <c r="AR44" s="7">
        <v>0</v>
      </c>
      <c r="AS44" s="7">
        <f t="shared" si="11"/>
        <v>2413037</v>
      </c>
      <c r="AT44" s="7">
        <v>0</v>
      </c>
      <c r="AU44" s="7">
        <v>0</v>
      </c>
      <c r="AV44" s="7">
        <v>0</v>
      </c>
      <c r="AW44" s="7">
        <v>0</v>
      </c>
      <c r="AX44" s="7">
        <v>0</v>
      </c>
      <c r="AY44" s="7">
        <v>0</v>
      </c>
      <c r="AZ44" s="7">
        <v>328294</v>
      </c>
      <c r="BA44" s="7">
        <v>2016643</v>
      </c>
      <c r="BB44" s="7">
        <v>0</v>
      </c>
      <c r="BC44" s="7">
        <v>30000</v>
      </c>
      <c r="BD44" s="7">
        <v>0</v>
      </c>
      <c r="BE44" s="7">
        <v>7100</v>
      </c>
      <c r="BF44" s="7">
        <v>20000</v>
      </c>
      <c r="BG44" s="7">
        <v>11000</v>
      </c>
      <c r="BH44" s="7">
        <v>0</v>
      </c>
      <c r="BI44" s="7">
        <v>0</v>
      </c>
      <c r="BJ44" s="7">
        <v>0</v>
      </c>
      <c r="BK44" s="7">
        <v>0</v>
      </c>
      <c r="BL44" s="7">
        <v>0</v>
      </c>
      <c r="BM44" s="7">
        <v>0</v>
      </c>
      <c r="BN44" s="7">
        <f t="shared" si="4"/>
        <v>416633</v>
      </c>
      <c r="BO44" s="7">
        <v>0</v>
      </c>
      <c r="BP44" s="7">
        <v>406633</v>
      </c>
      <c r="BQ44" s="7">
        <v>10000</v>
      </c>
      <c r="BR44" s="7">
        <v>0</v>
      </c>
      <c r="BS44" s="7">
        <v>0</v>
      </c>
      <c r="BT44" s="7">
        <v>0</v>
      </c>
      <c r="BU44" s="7">
        <v>0</v>
      </c>
      <c r="BV44" s="7">
        <v>0</v>
      </c>
      <c r="BW44" s="7">
        <f t="shared" si="5"/>
        <v>7454458</v>
      </c>
      <c r="BX44" s="7">
        <f t="shared" si="6"/>
        <v>20000</v>
      </c>
      <c r="BY44" s="7">
        <v>0</v>
      </c>
      <c r="BZ44" s="7">
        <v>0</v>
      </c>
      <c r="CA44" s="7">
        <v>20000</v>
      </c>
      <c r="CB44" s="7">
        <v>0</v>
      </c>
      <c r="CC44" s="7">
        <v>0</v>
      </c>
      <c r="CD44" s="7">
        <v>0</v>
      </c>
      <c r="CE44" s="7">
        <v>0</v>
      </c>
      <c r="CF44" s="7">
        <v>0</v>
      </c>
      <c r="CG44" s="7">
        <f t="shared" si="12"/>
        <v>7068808</v>
      </c>
      <c r="CH44" s="7">
        <v>9082251</v>
      </c>
      <c r="CI44" s="7">
        <f t="shared" si="7"/>
        <v>7065608</v>
      </c>
      <c r="CJ44" s="7">
        <v>3200</v>
      </c>
      <c r="CK44" s="7">
        <f t="shared" si="8"/>
        <v>55250</v>
      </c>
      <c r="CL44" s="7">
        <v>0</v>
      </c>
      <c r="CM44" s="7">
        <v>55250</v>
      </c>
      <c r="CN44" s="7">
        <v>0</v>
      </c>
      <c r="CO44" s="7">
        <v>0</v>
      </c>
      <c r="CP44" s="7">
        <v>0</v>
      </c>
      <c r="CQ44" s="7">
        <v>0</v>
      </c>
      <c r="CR44" s="7">
        <v>0</v>
      </c>
      <c r="CS44" s="7">
        <f t="shared" si="13"/>
        <v>0</v>
      </c>
      <c r="CT44" s="7">
        <v>0</v>
      </c>
      <c r="CU44" s="7">
        <v>0</v>
      </c>
      <c r="CV44" s="7">
        <v>0</v>
      </c>
      <c r="CW44" s="7">
        <v>0</v>
      </c>
      <c r="CX44" s="7">
        <v>0</v>
      </c>
      <c r="CY44" s="7">
        <v>0</v>
      </c>
      <c r="CZ44" s="7">
        <v>0</v>
      </c>
      <c r="DA44" s="7">
        <f t="shared" si="14"/>
        <v>294300</v>
      </c>
      <c r="DB44" s="7">
        <v>0</v>
      </c>
      <c r="DC44" s="7">
        <v>164200</v>
      </c>
      <c r="DD44" s="7">
        <v>0</v>
      </c>
      <c r="DE44" s="7">
        <v>0</v>
      </c>
      <c r="DF44" s="7">
        <v>130000</v>
      </c>
      <c r="DG44" s="7">
        <v>0</v>
      </c>
      <c r="DH44" s="7">
        <v>0</v>
      </c>
      <c r="DI44" s="7">
        <v>100</v>
      </c>
      <c r="DJ44" s="7">
        <v>0</v>
      </c>
      <c r="DK44" s="7">
        <v>0</v>
      </c>
      <c r="DL44" s="7">
        <v>0</v>
      </c>
      <c r="DM44" s="7">
        <v>0</v>
      </c>
      <c r="DN44" s="7">
        <f t="shared" si="15"/>
        <v>16100</v>
      </c>
      <c r="DO44" s="7">
        <v>2000</v>
      </c>
      <c r="DP44" s="7">
        <v>7600</v>
      </c>
      <c r="DQ44" s="7">
        <v>6500</v>
      </c>
      <c r="DR44" s="7">
        <v>0</v>
      </c>
      <c r="DS44" s="7">
        <v>0</v>
      </c>
      <c r="DT44" s="7">
        <v>0</v>
      </c>
      <c r="DU44" s="7">
        <v>0</v>
      </c>
      <c r="DV44" s="7">
        <v>0</v>
      </c>
      <c r="DW44" s="7">
        <v>0</v>
      </c>
      <c r="DX44" s="7">
        <v>0</v>
      </c>
      <c r="DY44" s="7">
        <v>0</v>
      </c>
    </row>
    <row r="45" spans="1:129" ht="15" customHeight="1">
      <c r="A45" s="4" t="s">
        <v>1956</v>
      </c>
      <c r="B45" s="7">
        <f t="shared" si="0"/>
        <v>406594200</v>
      </c>
      <c r="C45" s="7">
        <f t="shared" si="1"/>
        <v>245624421</v>
      </c>
      <c r="D45" s="7">
        <f t="shared" si="2"/>
        <v>185537600</v>
      </c>
      <c r="E45" s="7">
        <f t="shared" si="9"/>
        <v>98710690</v>
      </c>
      <c r="F45" s="7">
        <v>57111240</v>
      </c>
      <c r="G45" s="7">
        <v>0</v>
      </c>
      <c r="H45" s="7">
        <v>0</v>
      </c>
      <c r="I45" s="7">
        <v>1778244</v>
      </c>
      <c r="J45" s="7">
        <v>1837519</v>
      </c>
      <c r="K45" s="7">
        <v>2726641</v>
      </c>
      <c r="L45" s="7">
        <v>16489418</v>
      </c>
      <c r="M45" s="7">
        <v>2459904</v>
      </c>
      <c r="N45" s="7">
        <v>1155859</v>
      </c>
      <c r="O45" s="7">
        <v>734000</v>
      </c>
      <c r="P45" s="7">
        <v>14417865</v>
      </c>
      <c r="Q45" s="7">
        <f t="shared" si="10"/>
        <v>28996643</v>
      </c>
      <c r="R45" s="7">
        <v>1398686</v>
      </c>
      <c r="S45" s="7">
        <v>0</v>
      </c>
      <c r="T45" s="7">
        <v>2222805</v>
      </c>
      <c r="U45" s="7">
        <v>7132600</v>
      </c>
      <c r="V45" s="7">
        <v>6795408</v>
      </c>
      <c r="W45" s="7">
        <v>1731951</v>
      </c>
      <c r="X45" s="7">
        <v>2890905</v>
      </c>
      <c r="Y45" s="7">
        <v>2374400</v>
      </c>
      <c r="Z45" s="7">
        <v>49706</v>
      </c>
      <c r="AA45" s="7">
        <v>939500</v>
      </c>
      <c r="AB45" s="7">
        <v>0</v>
      </c>
      <c r="AC45" s="7">
        <v>408114</v>
      </c>
      <c r="AD45" s="7">
        <v>0</v>
      </c>
      <c r="AE45" s="7">
        <v>509576</v>
      </c>
      <c r="AF45" s="7">
        <v>2486992</v>
      </c>
      <c r="AG45" s="7">
        <v>56000</v>
      </c>
      <c r="AH45" s="7">
        <v>51604062</v>
      </c>
      <c r="AI45" s="7">
        <v>4863665</v>
      </c>
      <c r="AJ45" s="7">
        <v>0</v>
      </c>
      <c r="AK45" s="7">
        <f t="shared" si="3"/>
        <v>1362540</v>
      </c>
      <c r="AL45" s="7">
        <v>977040</v>
      </c>
      <c r="AM45" s="7">
        <v>385500</v>
      </c>
      <c r="AN45" s="7">
        <v>0</v>
      </c>
      <c r="AO45" s="7">
        <v>0</v>
      </c>
      <c r="AP45" s="7">
        <v>0</v>
      </c>
      <c r="AQ45" s="7">
        <v>0</v>
      </c>
      <c r="AR45" s="7">
        <v>0</v>
      </c>
      <c r="AS45" s="7">
        <f t="shared" si="11"/>
        <v>58927421</v>
      </c>
      <c r="AT45" s="7">
        <v>0</v>
      </c>
      <c r="AU45" s="7">
        <v>0</v>
      </c>
      <c r="AV45" s="7">
        <v>0</v>
      </c>
      <c r="AW45" s="7">
        <v>3406500</v>
      </c>
      <c r="AX45" s="7">
        <v>234600</v>
      </c>
      <c r="AY45" s="7">
        <v>30000</v>
      </c>
      <c r="AZ45" s="7">
        <v>6695000</v>
      </c>
      <c r="BA45" s="7">
        <v>30315358</v>
      </c>
      <c r="BB45" s="7">
        <v>9483463</v>
      </c>
      <c r="BC45" s="7">
        <v>3197400</v>
      </c>
      <c r="BD45" s="7">
        <v>925000</v>
      </c>
      <c r="BE45" s="7">
        <v>73000</v>
      </c>
      <c r="BF45" s="7">
        <v>156000</v>
      </c>
      <c r="BG45" s="7">
        <v>0</v>
      </c>
      <c r="BH45" s="7">
        <v>510400</v>
      </c>
      <c r="BI45" s="7">
        <v>98700</v>
      </c>
      <c r="BJ45" s="7">
        <v>0</v>
      </c>
      <c r="BK45" s="7">
        <v>3500000</v>
      </c>
      <c r="BL45" s="7">
        <v>252000</v>
      </c>
      <c r="BM45" s="7">
        <v>50000</v>
      </c>
      <c r="BN45" s="7">
        <f t="shared" si="4"/>
        <v>1159400</v>
      </c>
      <c r="BO45" s="7">
        <v>0</v>
      </c>
      <c r="BP45" s="7">
        <v>781400</v>
      </c>
      <c r="BQ45" s="7">
        <v>0</v>
      </c>
      <c r="BR45" s="7">
        <v>378000</v>
      </c>
      <c r="BS45" s="7">
        <v>0</v>
      </c>
      <c r="BT45" s="7">
        <v>0</v>
      </c>
      <c r="BU45" s="7">
        <v>0</v>
      </c>
      <c r="BV45" s="7">
        <v>0</v>
      </c>
      <c r="BW45" s="7">
        <f t="shared" si="5"/>
        <v>160969779</v>
      </c>
      <c r="BX45" s="7">
        <f t="shared" si="6"/>
        <v>4290800</v>
      </c>
      <c r="BY45" s="7">
        <v>0</v>
      </c>
      <c r="BZ45" s="7">
        <v>0</v>
      </c>
      <c r="CA45" s="7">
        <v>0</v>
      </c>
      <c r="CB45" s="7">
        <v>4290800</v>
      </c>
      <c r="CC45" s="7">
        <v>0</v>
      </c>
      <c r="CD45" s="7">
        <v>0</v>
      </c>
      <c r="CE45" s="7">
        <v>0</v>
      </c>
      <c r="CF45" s="7">
        <v>0</v>
      </c>
      <c r="CG45" s="7">
        <f t="shared" si="12"/>
        <v>150480779</v>
      </c>
      <c r="CH45" s="7">
        <v>190214600</v>
      </c>
      <c r="CI45" s="7">
        <f>CH45-BA45-BB45</f>
        <v>150415779</v>
      </c>
      <c r="CJ45" s="7">
        <v>65000</v>
      </c>
      <c r="CK45" s="7">
        <f t="shared" si="8"/>
        <v>2422000</v>
      </c>
      <c r="CL45" s="7">
        <v>0</v>
      </c>
      <c r="CM45" s="7">
        <v>2100000</v>
      </c>
      <c r="CN45" s="7">
        <v>225000</v>
      </c>
      <c r="CO45" s="7">
        <v>0</v>
      </c>
      <c r="CP45" s="7">
        <v>97000</v>
      </c>
      <c r="CQ45" s="7">
        <v>0</v>
      </c>
      <c r="CR45" s="7">
        <v>0</v>
      </c>
      <c r="CS45" s="7">
        <f t="shared" si="13"/>
        <v>2140000</v>
      </c>
      <c r="CT45" s="7">
        <v>2140000</v>
      </c>
      <c r="CU45" s="7">
        <v>0</v>
      </c>
      <c r="CV45" s="7">
        <v>0</v>
      </c>
      <c r="CW45" s="7">
        <v>0</v>
      </c>
      <c r="CX45" s="7">
        <v>0</v>
      </c>
      <c r="CY45" s="7">
        <v>0</v>
      </c>
      <c r="CZ45" s="7">
        <v>0</v>
      </c>
      <c r="DA45" s="7">
        <f t="shared" si="14"/>
        <v>666200</v>
      </c>
      <c r="DB45" s="7">
        <v>140700</v>
      </c>
      <c r="DC45" s="7">
        <v>235000</v>
      </c>
      <c r="DD45" s="7">
        <v>0</v>
      </c>
      <c r="DE45" s="7">
        <v>0</v>
      </c>
      <c r="DF45" s="7">
        <v>145000</v>
      </c>
      <c r="DG45" s="7">
        <v>0</v>
      </c>
      <c r="DH45" s="7">
        <v>0</v>
      </c>
      <c r="DI45" s="7">
        <v>60000</v>
      </c>
      <c r="DJ45" s="7">
        <v>5500</v>
      </c>
      <c r="DK45" s="7">
        <v>80000</v>
      </c>
      <c r="DL45" s="7">
        <v>0</v>
      </c>
      <c r="DM45" s="7">
        <v>0</v>
      </c>
      <c r="DN45" s="7">
        <f t="shared" si="15"/>
        <v>970000</v>
      </c>
      <c r="DO45" s="7">
        <v>135000</v>
      </c>
      <c r="DP45" s="7">
        <v>0</v>
      </c>
      <c r="DQ45" s="7">
        <v>350000</v>
      </c>
      <c r="DR45" s="7">
        <v>485000</v>
      </c>
      <c r="DS45" s="7">
        <v>0</v>
      </c>
      <c r="DT45" s="7">
        <v>0</v>
      </c>
      <c r="DU45" s="7">
        <v>0</v>
      </c>
      <c r="DV45" s="7">
        <v>0</v>
      </c>
      <c r="DW45" s="7">
        <v>0</v>
      </c>
      <c r="DX45" s="7">
        <v>0</v>
      </c>
      <c r="DY45" s="7">
        <v>0</v>
      </c>
    </row>
    <row r="46" spans="1:129" ht="15" customHeight="1">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row>
    <row r="47" spans="1:129" ht="15" customHeight="1">
      <c r="A47" s="5" t="s">
        <v>1957</v>
      </c>
      <c r="B47" s="8">
        <f t="shared" ref="B47:AF47" si="16">SUM(B10:B45)</f>
        <v>2411967814</v>
      </c>
      <c r="C47" s="8">
        <f t="shared" si="16"/>
        <v>1443604781</v>
      </c>
      <c r="D47" s="8">
        <f t="shared" si="16"/>
        <v>1069853426</v>
      </c>
      <c r="E47" s="8">
        <f t="shared" si="16"/>
        <v>547036854</v>
      </c>
      <c r="F47" s="8">
        <f t="shared" si="16"/>
        <v>325643981</v>
      </c>
      <c r="G47" s="8">
        <f t="shared" si="16"/>
        <v>677672</v>
      </c>
      <c r="H47" s="8">
        <f t="shared" si="16"/>
        <v>10998389</v>
      </c>
      <c r="I47" s="8">
        <f t="shared" si="16"/>
        <v>10137694</v>
      </c>
      <c r="J47" s="8">
        <f t="shared" si="16"/>
        <v>10475664</v>
      </c>
      <c r="K47" s="8">
        <f t="shared" si="16"/>
        <v>15544511</v>
      </c>
      <c r="L47" s="8">
        <f t="shared" si="16"/>
        <v>63660140</v>
      </c>
      <c r="M47" s="8">
        <f t="shared" si="16"/>
        <v>14024350</v>
      </c>
      <c r="N47" s="8">
        <f t="shared" si="16"/>
        <v>6896152</v>
      </c>
      <c r="O47" s="8">
        <f t="shared" si="16"/>
        <v>3711701</v>
      </c>
      <c r="P47" s="8">
        <f t="shared" si="16"/>
        <v>85266600</v>
      </c>
      <c r="Q47" s="8">
        <f t="shared" si="16"/>
        <v>201511680</v>
      </c>
      <c r="R47" s="8">
        <f t="shared" si="16"/>
        <v>43402755</v>
      </c>
      <c r="S47" s="8">
        <f t="shared" si="16"/>
        <v>420000</v>
      </c>
      <c r="T47" s="8">
        <f t="shared" si="16"/>
        <v>14397693</v>
      </c>
      <c r="U47" s="8">
        <f t="shared" si="16"/>
        <v>37323800</v>
      </c>
      <c r="V47" s="8">
        <f t="shared" si="16"/>
        <v>36954227</v>
      </c>
      <c r="W47" s="8">
        <f t="shared" si="16"/>
        <v>8940522</v>
      </c>
      <c r="X47" s="8">
        <f t="shared" si="16"/>
        <v>11600985</v>
      </c>
      <c r="Y47" s="8">
        <f t="shared" si="16"/>
        <v>10362250</v>
      </c>
      <c r="Z47" s="8">
        <f t="shared" si="16"/>
        <v>216930</v>
      </c>
      <c r="AA47" s="8">
        <f t="shared" si="16"/>
        <v>7480700</v>
      </c>
      <c r="AB47" s="8">
        <f t="shared" si="16"/>
        <v>3004123</v>
      </c>
      <c r="AC47" s="8">
        <f t="shared" si="16"/>
        <v>5153804</v>
      </c>
      <c r="AD47" s="8">
        <f t="shared" si="16"/>
        <v>5120944</v>
      </c>
      <c r="AE47" s="8">
        <f t="shared" si="16"/>
        <v>2581555</v>
      </c>
      <c r="AF47" s="8">
        <f t="shared" si="16"/>
        <v>14066992</v>
      </c>
      <c r="AG47" s="8">
        <f t="shared" ref="AG47:CR47" si="17">SUM(AG10:AG45)</f>
        <v>484400</v>
      </c>
      <c r="AH47" s="8">
        <f t="shared" si="17"/>
        <v>268254253</v>
      </c>
      <c r="AI47" s="8">
        <f t="shared" si="17"/>
        <v>23922974</v>
      </c>
      <c r="AJ47" s="8">
        <f t="shared" si="17"/>
        <v>20594941</v>
      </c>
      <c r="AK47" s="8">
        <f t="shared" si="17"/>
        <v>8532724</v>
      </c>
      <c r="AL47" s="8">
        <f t="shared" si="17"/>
        <v>5998180</v>
      </c>
      <c r="AM47" s="8">
        <f t="shared" si="17"/>
        <v>2465500</v>
      </c>
      <c r="AN47" s="8">
        <f t="shared" si="17"/>
        <v>9500</v>
      </c>
      <c r="AO47" s="8">
        <f t="shared" si="17"/>
        <v>0</v>
      </c>
      <c r="AP47" s="8">
        <f t="shared" si="17"/>
        <v>59544</v>
      </c>
      <c r="AQ47" s="8">
        <f t="shared" si="17"/>
        <v>0</v>
      </c>
      <c r="AR47" s="8">
        <f t="shared" si="17"/>
        <v>0</v>
      </c>
      <c r="AS47" s="8">
        <f t="shared" si="17"/>
        <v>364525696</v>
      </c>
      <c r="AT47" s="8">
        <f t="shared" si="17"/>
        <v>3250000</v>
      </c>
      <c r="AU47" s="8">
        <f>SUM(AU10:AU45)</f>
        <v>368987</v>
      </c>
      <c r="AV47" s="8">
        <f t="shared" si="17"/>
        <v>0</v>
      </c>
      <c r="AW47" s="8">
        <f t="shared" si="17"/>
        <v>3980077</v>
      </c>
      <c r="AX47" s="8">
        <f t="shared" si="17"/>
        <v>681870</v>
      </c>
      <c r="AY47" s="8">
        <f t="shared" si="17"/>
        <v>125900</v>
      </c>
      <c r="AZ47" s="8">
        <f t="shared" si="17"/>
        <v>36680371</v>
      </c>
      <c r="BA47" s="8">
        <f t="shared" si="17"/>
        <v>206700408</v>
      </c>
      <c r="BB47" s="8">
        <f t="shared" si="17"/>
        <v>61418327</v>
      </c>
      <c r="BC47" s="8">
        <f t="shared" si="17"/>
        <v>15628671</v>
      </c>
      <c r="BD47" s="8">
        <f t="shared" si="17"/>
        <v>1945000</v>
      </c>
      <c r="BE47" s="8">
        <f t="shared" si="17"/>
        <v>375725</v>
      </c>
      <c r="BF47" s="8">
        <f>SUM(BF10:BF45)</f>
        <v>1109707</v>
      </c>
      <c r="BG47" s="8">
        <f t="shared" si="17"/>
        <v>1991752</v>
      </c>
      <c r="BH47" s="8">
        <f t="shared" si="17"/>
        <v>19528153</v>
      </c>
      <c r="BI47" s="8">
        <f t="shared" si="17"/>
        <v>4963700</v>
      </c>
      <c r="BJ47" s="8">
        <f t="shared" si="17"/>
        <v>1011833</v>
      </c>
      <c r="BK47" s="8">
        <f t="shared" si="17"/>
        <v>3712601</v>
      </c>
      <c r="BL47" s="8">
        <f t="shared" si="17"/>
        <v>472107</v>
      </c>
      <c r="BM47" s="8">
        <f t="shared" si="17"/>
        <v>580507</v>
      </c>
      <c r="BN47" s="8">
        <f t="shared" si="17"/>
        <v>9225659</v>
      </c>
      <c r="BO47" s="8">
        <f t="shared" si="17"/>
        <v>17200</v>
      </c>
      <c r="BP47" s="8">
        <f t="shared" si="17"/>
        <v>6194114</v>
      </c>
      <c r="BQ47" s="8">
        <f t="shared" si="17"/>
        <v>1631680</v>
      </c>
      <c r="BR47" s="8">
        <f t="shared" si="17"/>
        <v>1064500</v>
      </c>
      <c r="BS47" s="8">
        <f t="shared" si="17"/>
        <v>305000</v>
      </c>
      <c r="BT47" s="8">
        <f t="shared" si="17"/>
        <v>13065</v>
      </c>
      <c r="BU47" s="8">
        <f t="shared" si="17"/>
        <v>100</v>
      </c>
      <c r="BV47" s="8">
        <f t="shared" si="17"/>
        <v>0</v>
      </c>
      <c r="BW47" s="8">
        <f t="shared" si="17"/>
        <v>968363033</v>
      </c>
      <c r="BX47" s="8">
        <f t="shared" si="17"/>
        <v>5417390</v>
      </c>
      <c r="BY47" s="8">
        <f t="shared" si="17"/>
        <v>40835</v>
      </c>
      <c r="BZ47" s="8">
        <f t="shared" si="17"/>
        <v>6020</v>
      </c>
      <c r="CA47" s="8">
        <f t="shared" si="17"/>
        <v>172735</v>
      </c>
      <c r="CB47" s="8">
        <f>SUM(CB10:CB45)</f>
        <v>4290800</v>
      </c>
      <c r="CC47" s="8">
        <f t="shared" si="17"/>
        <v>901000</v>
      </c>
      <c r="CD47" s="8">
        <f t="shared" si="17"/>
        <v>4000</v>
      </c>
      <c r="CE47" s="8">
        <f t="shared" si="17"/>
        <v>2000</v>
      </c>
      <c r="CF47" s="8">
        <f t="shared" si="17"/>
        <v>0</v>
      </c>
      <c r="CG47" s="8">
        <f t="shared" si="17"/>
        <v>828491287</v>
      </c>
      <c r="CH47" s="8">
        <f t="shared" si="17"/>
        <v>1094439322</v>
      </c>
      <c r="CI47" s="8">
        <f t="shared" si="17"/>
        <v>826320587</v>
      </c>
      <c r="CJ47" s="8">
        <f t="shared" si="17"/>
        <v>2170700</v>
      </c>
      <c r="CK47" s="8">
        <f t="shared" si="17"/>
        <v>12407323</v>
      </c>
      <c r="CL47" s="8">
        <f t="shared" si="17"/>
        <v>147000</v>
      </c>
      <c r="CM47" s="8">
        <f t="shared" si="17"/>
        <v>8081926</v>
      </c>
      <c r="CN47" s="8">
        <f t="shared" si="17"/>
        <v>3609808</v>
      </c>
      <c r="CO47" s="8">
        <f t="shared" si="17"/>
        <v>180000</v>
      </c>
      <c r="CP47" s="8">
        <f t="shared" si="17"/>
        <v>335589</v>
      </c>
      <c r="CQ47" s="8">
        <f t="shared" si="17"/>
        <v>53000</v>
      </c>
      <c r="CR47" s="8">
        <f t="shared" si="17"/>
        <v>0</v>
      </c>
      <c r="CS47" s="8">
        <f t="shared" ref="CS47:DY47" si="18">SUM(CS10:CS45)</f>
        <v>98626409</v>
      </c>
      <c r="CT47" s="8">
        <f t="shared" si="18"/>
        <v>85460396</v>
      </c>
      <c r="CU47" s="8">
        <f t="shared" si="18"/>
        <v>4806981</v>
      </c>
      <c r="CV47" s="8">
        <f t="shared" si="18"/>
        <v>1810935</v>
      </c>
      <c r="CW47" s="8">
        <f t="shared" si="18"/>
        <v>2953394</v>
      </c>
      <c r="CX47" s="8">
        <f t="shared" si="18"/>
        <v>0</v>
      </c>
      <c r="CY47" s="8">
        <f t="shared" si="18"/>
        <v>0</v>
      </c>
      <c r="CZ47" s="8">
        <f t="shared" si="18"/>
        <v>3594703</v>
      </c>
      <c r="DA47" s="8">
        <f t="shared" si="18"/>
        <v>18653570</v>
      </c>
      <c r="DB47" s="8">
        <f t="shared" si="18"/>
        <v>849314</v>
      </c>
      <c r="DC47" s="8">
        <f t="shared" si="18"/>
        <v>5271241</v>
      </c>
      <c r="DD47" s="8">
        <f t="shared" si="18"/>
        <v>1363000</v>
      </c>
      <c r="DE47" s="8">
        <f t="shared" si="18"/>
        <v>125000</v>
      </c>
      <c r="DF47" s="8">
        <f t="shared" si="18"/>
        <v>1232114</v>
      </c>
      <c r="DG47" s="8">
        <f>SUM(DG10:DG45)</f>
        <v>3266000</v>
      </c>
      <c r="DH47" s="8">
        <f t="shared" si="18"/>
        <v>0</v>
      </c>
      <c r="DI47" s="8">
        <f t="shared" si="18"/>
        <v>2755478</v>
      </c>
      <c r="DJ47" s="8">
        <f t="shared" si="18"/>
        <v>1232100</v>
      </c>
      <c r="DK47" s="8">
        <f t="shared" si="18"/>
        <v>1049594</v>
      </c>
      <c r="DL47" s="8">
        <f t="shared" si="18"/>
        <v>1219329</v>
      </c>
      <c r="DM47" s="8">
        <f t="shared" si="18"/>
        <v>290400</v>
      </c>
      <c r="DN47" s="8">
        <f t="shared" si="18"/>
        <v>4767054</v>
      </c>
      <c r="DO47" s="8">
        <f t="shared" si="18"/>
        <v>1125120</v>
      </c>
      <c r="DP47" s="8">
        <f t="shared" si="18"/>
        <v>110100</v>
      </c>
      <c r="DQ47" s="8">
        <f t="shared" si="18"/>
        <v>753166</v>
      </c>
      <c r="DR47" s="8">
        <f t="shared" si="18"/>
        <v>1385456</v>
      </c>
      <c r="DS47" s="8">
        <f t="shared" si="18"/>
        <v>641561</v>
      </c>
      <c r="DT47" s="8">
        <f t="shared" si="18"/>
        <v>321725</v>
      </c>
      <c r="DU47" s="8">
        <f t="shared" si="18"/>
        <v>259400</v>
      </c>
      <c r="DV47" s="8">
        <f t="shared" si="18"/>
        <v>136100</v>
      </c>
      <c r="DW47" s="8">
        <f t="shared" si="18"/>
        <v>34426</v>
      </c>
      <c r="DX47" s="8">
        <f t="shared" si="18"/>
        <v>0</v>
      </c>
      <c r="DY47" s="8">
        <f t="shared" si="18"/>
        <v>0</v>
      </c>
    </row>
    <row r="48" spans="1:129" ht="15" customHeight="1">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row>
    <row r="49" spans="1:129" ht="15" customHeight="1">
      <c r="A49" s="4" t="s">
        <v>1958</v>
      </c>
      <c r="B49" s="7">
        <f>SUM(C49,BW49)</f>
        <v>3566700</v>
      </c>
      <c r="C49" s="7">
        <f>SUM(D49,AS49,BN49)</f>
        <v>1441690</v>
      </c>
      <c r="D49" s="7">
        <f>SUM(E49,Q49,AH49:AK49)</f>
        <v>926592</v>
      </c>
      <c r="E49" s="7">
        <f>SUM(F49:P49)</f>
        <v>589005</v>
      </c>
      <c r="F49" s="7">
        <v>196373</v>
      </c>
      <c r="G49" s="7">
        <v>53626</v>
      </c>
      <c r="H49" s="7">
        <v>0</v>
      </c>
      <c r="I49" s="7">
        <v>9300</v>
      </c>
      <c r="J49" s="7">
        <v>9610</v>
      </c>
      <c r="K49" s="7">
        <v>14260</v>
      </c>
      <c r="L49" s="7">
        <v>48551</v>
      </c>
      <c r="M49" s="7">
        <v>12865</v>
      </c>
      <c r="N49" s="7">
        <v>7130</v>
      </c>
      <c r="O49" s="7">
        <v>3875</v>
      </c>
      <c r="P49" s="7">
        <v>233415</v>
      </c>
      <c r="Q49" s="7">
        <f>SUM(R49:AG49)</f>
        <v>169406</v>
      </c>
      <c r="R49" s="7">
        <v>1128</v>
      </c>
      <c r="S49" s="7">
        <v>0</v>
      </c>
      <c r="T49" s="7">
        <v>15655</v>
      </c>
      <c r="U49" s="7">
        <v>19000</v>
      </c>
      <c r="V49" s="7">
        <v>42260</v>
      </c>
      <c r="W49" s="7">
        <v>13695</v>
      </c>
      <c r="X49" s="7">
        <v>750</v>
      </c>
      <c r="Y49" s="7">
        <v>0</v>
      </c>
      <c r="Z49" s="7">
        <v>0</v>
      </c>
      <c r="AA49" s="7">
        <v>600</v>
      </c>
      <c r="AB49" s="7">
        <v>24817</v>
      </c>
      <c r="AC49" s="7">
        <v>32116</v>
      </c>
      <c r="AD49" s="7">
        <v>0</v>
      </c>
      <c r="AE49" s="7">
        <v>5585</v>
      </c>
      <c r="AF49" s="7">
        <v>12400</v>
      </c>
      <c r="AG49" s="7">
        <v>1400</v>
      </c>
      <c r="AH49" s="7">
        <v>0</v>
      </c>
      <c r="AI49" s="7">
        <v>0</v>
      </c>
      <c r="AJ49" s="7">
        <v>168181</v>
      </c>
      <c r="AK49" s="7">
        <f>SUM(AL49:AR49)</f>
        <v>0</v>
      </c>
      <c r="AL49" s="7">
        <v>0</v>
      </c>
      <c r="AM49" s="7">
        <v>0</v>
      </c>
      <c r="AN49" s="7">
        <v>0</v>
      </c>
      <c r="AO49" s="7">
        <v>0</v>
      </c>
      <c r="AP49" s="7">
        <v>0</v>
      </c>
      <c r="AQ49" s="7">
        <v>0</v>
      </c>
      <c r="AR49" s="7">
        <v>0</v>
      </c>
      <c r="AS49" s="7">
        <f>SUM(AT49:BM49)</f>
        <v>515098</v>
      </c>
      <c r="AT49" s="7">
        <v>0</v>
      </c>
      <c r="AU49" s="7">
        <v>0</v>
      </c>
      <c r="AV49" s="7">
        <v>0</v>
      </c>
      <c r="AW49" s="7">
        <v>0</v>
      </c>
      <c r="AX49" s="7">
        <v>0</v>
      </c>
      <c r="AY49" s="7">
        <v>0</v>
      </c>
      <c r="AZ49" s="7">
        <v>48447</v>
      </c>
      <c r="BA49" s="7">
        <v>387301</v>
      </c>
      <c r="BB49" s="7">
        <v>24000</v>
      </c>
      <c r="BC49" s="7">
        <v>30000</v>
      </c>
      <c r="BD49" s="7">
        <v>0</v>
      </c>
      <c r="BE49" s="7">
        <v>5350</v>
      </c>
      <c r="BF49" s="7">
        <v>20000</v>
      </c>
      <c r="BG49" s="7">
        <v>0</v>
      </c>
      <c r="BH49" s="7">
        <v>0</v>
      </c>
      <c r="BI49" s="7">
        <v>0</v>
      </c>
      <c r="BJ49" s="7">
        <v>0</v>
      </c>
      <c r="BK49" s="7">
        <v>0</v>
      </c>
      <c r="BL49" s="7">
        <v>0</v>
      </c>
      <c r="BM49" s="7">
        <v>0</v>
      </c>
      <c r="BN49" s="7">
        <f>SUM(BO49:BV49)</f>
        <v>0</v>
      </c>
      <c r="BO49" s="7">
        <v>0</v>
      </c>
      <c r="BP49" s="7">
        <v>0</v>
      </c>
      <c r="BQ49" s="7">
        <v>0</v>
      </c>
      <c r="BR49" s="7">
        <v>0</v>
      </c>
      <c r="BS49" s="7">
        <v>0</v>
      </c>
      <c r="BT49" s="7">
        <v>0</v>
      </c>
      <c r="BU49" s="7">
        <v>0</v>
      </c>
      <c r="BV49" s="7">
        <v>0</v>
      </c>
      <c r="BW49" s="7">
        <f>SUM(BX49,CG49,CK49,CS49,DA49,DN49)</f>
        <v>2125010</v>
      </c>
      <c r="BX49" s="7">
        <f>SUM(BY49:CF49)</f>
        <v>0</v>
      </c>
      <c r="BY49" s="7">
        <v>0</v>
      </c>
      <c r="BZ49" s="7">
        <v>0</v>
      </c>
      <c r="CA49" s="7">
        <v>0</v>
      </c>
      <c r="CB49" s="7">
        <v>0</v>
      </c>
      <c r="CC49" s="7">
        <v>0</v>
      </c>
      <c r="CD49" s="7">
        <v>0</v>
      </c>
      <c r="CE49" s="7">
        <v>0</v>
      </c>
      <c r="CF49" s="7">
        <v>0</v>
      </c>
      <c r="CG49" s="7">
        <f>SUM(CI49:CJ49)</f>
        <v>2026853</v>
      </c>
      <c r="CH49" s="7">
        <v>2438154</v>
      </c>
      <c r="CI49" s="7">
        <f>CH49-BA49-BB49</f>
        <v>2026853</v>
      </c>
      <c r="CJ49" s="7">
        <v>0</v>
      </c>
      <c r="CK49" s="7">
        <f>SUM(CL49:CR49)</f>
        <v>33200</v>
      </c>
      <c r="CL49" s="7">
        <v>0</v>
      </c>
      <c r="CM49" s="7">
        <v>33200</v>
      </c>
      <c r="CN49" s="7">
        <v>0</v>
      </c>
      <c r="CO49" s="7">
        <v>0</v>
      </c>
      <c r="CP49" s="7">
        <v>0</v>
      </c>
      <c r="CQ49" s="7">
        <v>0</v>
      </c>
      <c r="CR49" s="7">
        <v>0</v>
      </c>
      <c r="CS49" s="7">
        <f>SUM(CT49:CZ49)</f>
        <v>0</v>
      </c>
      <c r="CT49" s="7">
        <v>0</v>
      </c>
      <c r="CU49" s="7">
        <v>0</v>
      </c>
      <c r="CV49" s="7">
        <v>0</v>
      </c>
      <c r="CW49" s="7">
        <v>0</v>
      </c>
      <c r="CX49" s="7">
        <v>0</v>
      </c>
      <c r="CY49" s="7">
        <v>0</v>
      </c>
      <c r="CZ49" s="7">
        <v>0</v>
      </c>
      <c r="DA49" s="7">
        <f>SUM(DB49:DM49)</f>
        <v>14957</v>
      </c>
      <c r="DB49" s="7">
        <v>0</v>
      </c>
      <c r="DC49" s="7">
        <v>14957</v>
      </c>
      <c r="DD49" s="7">
        <v>0</v>
      </c>
      <c r="DE49" s="7">
        <v>0</v>
      </c>
      <c r="DF49" s="7">
        <v>0</v>
      </c>
      <c r="DG49" s="7">
        <v>0</v>
      </c>
      <c r="DH49" s="7">
        <v>0</v>
      </c>
      <c r="DI49" s="7">
        <v>0</v>
      </c>
      <c r="DJ49" s="7">
        <v>0</v>
      </c>
      <c r="DK49" s="7">
        <v>0</v>
      </c>
      <c r="DL49" s="7">
        <v>0</v>
      </c>
      <c r="DM49" s="7">
        <v>0</v>
      </c>
      <c r="DN49" s="7">
        <f>SUM(DO49:DY49)</f>
        <v>50000</v>
      </c>
      <c r="DO49" s="7">
        <v>0</v>
      </c>
      <c r="DP49" s="7">
        <v>0</v>
      </c>
      <c r="DQ49" s="7">
        <v>15000</v>
      </c>
      <c r="DR49" s="7">
        <v>35000</v>
      </c>
      <c r="DS49" s="7">
        <v>0</v>
      </c>
      <c r="DT49" s="7">
        <v>0</v>
      </c>
      <c r="DU49" s="7">
        <v>0</v>
      </c>
      <c r="DV49" s="7">
        <v>0</v>
      </c>
      <c r="DW49" s="7">
        <v>0</v>
      </c>
      <c r="DX49" s="7">
        <v>0</v>
      </c>
      <c r="DY49" s="7">
        <v>0</v>
      </c>
    </row>
    <row r="50" spans="1:129" ht="15" customHeight="1">
      <c r="A50" s="4" t="s">
        <v>1959</v>
      </c>
      <c r="B50" s="7">
        <f>SUM(C50,BW50)</f>
        <v>31204955</v>
      </c>
      <c r="C50" s="7">
        <f>SUM(D50,AS50,BN50)</f>
        <v>10280813</v>
      </c>
      <c r="D50" s="7">
        <f>SUM(E50,Q50,AH50:AK50)</f>
        <v>0</v>
      </c>
      <c r="E50" s="7">
        <f>SUM(F50:P50)</f>
        <v>0</v>
      </c>
      <c r="F50" s="7">
        <v>0</v>
      </c>
      <c r="G50" s="7">
        <v>0</v>
      </c>
      <c r="H50" s="7">
        <v>0</v>
      </c>
      <c r="I50" s="7">
        <v>0</v>
      </c>
      <c r="J50" s="7">
        <v>0</v>
      </c>
      <c r="K50" s="7">
        <v>0</v>
      </c>
      <c r="L50" s="7">
        <v>0</v>
      </c>
      <c r="M50" s="7">
        <v>0</v>
      </c>
      <c r="N50" s="7">
        <v>0</v>
      </c>
      <c r="O50" s="7">
        <v>0</v>
      </c>
      <c r="P50" s="7">
        <v>0</v>
      </c>
      <c r="Q50" s="7">
        <f>SUM(R50:AG50)</f>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f>SUM(AL50:AR50)</f>
        <v>0</v>
      </c>
      <c r="AL50" s="7">
        <v>0</v>
      </c>
      <c r="AM50" s="7">
        <v>0</v>
      </c>
      <c r="AN50" s="7">
        <v>0</v>
      </c>
      <c r="AO50" s="7">
        <v>0</v>
      </c>
      <c r="AP50" s="7">
        <v>0</v>
      </c>
      <c r="AQ50" s="7">
        <v>0</v>
      </c>
      <c r="AR50" s="7">
        <v>0</v>
      </c>
      <c r="AS50" s="7">
        <f>SUM(AT50:BM50)</f>
        <v>7565208</v>
      </c>
      <c r="AT50" s="7">
        <v>0</v>
      </c>
      <c r="AU50" s="7">
        <v>0</v>
      </c>
      <c r="AV50" s="7">
        <v>0</v>
      </c>
      <c r="AW50" s="7">
        <v>427982</v>
      </c>
      <c r="AX50" s="7">
        <v>0</v>
      </c>
      <c r="AY50" s="7">
        <v>0</v>
      </c>
      <c r="AZ50" s="7">
        <v>155011</v>
      </c>
      <c r="BA50" s="7">
        <v>0</v>
      </c>
      <c r="BB50" s="7">
        <v>0</v>
      </c>
      <c r="BC50" s="7">
        <v>0</v>
      </c>
      <c r="BD50" s="7">
        <v>0</v>
      </c>
      <c r="BE50" s="7">
        <v>0</v>
      </c>
      <c r="BF50" s="7">
        <v>0</v>
      </c>
      <c r="BG50" s="7">
        <v>6828715</v>
      </c>
      <c r="BH50" s="7">
        <v>153500</v>
      </c>
      <c r="BI50" s="7">
        <v>0</v>
      </c>
      <c r="BJ50" s="7">
        <v>0</v>
      </c>
      <c r="BK50" s="7">
        <v>0</v>
      </c>
      <c r="BL50" s="7">
        <v>0</v>
      </c>
      <c r="BM50" s="7">
        <v>0</v>
      </c>
      <c r="BN50" s="7">
        <f>SUM(BO50:BV50)</f>
        <v>2715605</v>
      </c>
      <c r="BO50" s="7">
        <v>0</v>
      </c>
      <c r="BP50" s="7">
        <v>2715605</v>
      </c>
      <c r="BQ50" s="7">
        <v>0</v>
      </c>
      <c r="BR50" s="7">
        <v>0</v>
      </c>
      <c r="BS50" s="7">
        <v>0</v>
      </c>
      <c r="BT50" s="7">
        <v>0</v>
      </c>
      <c r="BU50" s="7">
        <v>0</v>
      </c>
      <c r="BV50" s="7">
        <v>0</v>
      </c>
      <c r="BW50" s="7">
        <f>SUM(BX50,CG50,CK50,CS50,DA50,DN50)</f>
        <v>20924142</v>
      </c>
      <c r="BX50" s="7">
        <f>SUM(BY50:CF50)</f>
        <v>2320000</v>
      </c>
      <c r="BY50" s="7">
        <v>0</v>
      </c>
      <c r="BZ50" s="7">
        <v>0</v>
      </c>
      <c r="CA50" s="7">
        <v>0</v>
      </c>
      <c r="CB50" s="7">
        <v>1900000</v>
      </c>
      <c r="CC50" s="7">
        <v>420000</v>
      </c>
      <c r="CD50" s="7">
        <v>0</v>
      </c>
      <c r="CE50" s="7">
        <v>0</v>
      </c>
      <c r="CF50" s="7">
        <v>0</v>
      </c>
      <c r="CG50" s="7">
        <f>SUM(CI50:CJ50)</f>
        <v>0</v>
      </c>
      <c r="CH50" s="7">
        <v>0</v>
      </c>
      <c r="CI50" s="7">
        <f>CH50-BA50-BB50</f>
        <v>0</v>
      </c>
      <c r="CJ50" s="7">
        <v>0</v>
      </c>
      <c r="CK50" s="7">
        <f>SUM(CL50:CR50)</f>
        <v>1967957</v>
      </c>
      <c r="CL50" s="7">
        <v>0</v>
      </c>
      <c r="CM50" s="7">
        <v>1687578</v>
      </c>
      <c r="CN50" s="7">
        <v>0</v>
      </c>
      <c r="CO50" s="7">
        <v>0</v>
      </c>
      <c r="CP50" s="7">
        <v>86989</v>
      </c>
      <c r="CQ50" s="7">
        <v>6390</v>
      </c>
      <c r="CR50" s="7">
        <v>187000</v>
      </c>
      <c r="CS50" s="7">
        <f>SUM(CT50:CZ50)</f>
        <v>0</v>
      </c>
      <c r="CT50" s="7">
        <v>0</v>
      </c>
      <c r="CU50" s="7">
        <v>0</v>
      </c>
      <c r="CV50" s="7">
        <v>0</v>
      </c>
      <c r="CW50" s="7">
        <v>0</v>
      </c>
      <c r="CX50" s="7">
        <v>0</v>
      </c>
      <c r="CY50" s="7">
        <v>0</v>
      </c>
      <c r="CZ50" s="7">
        <v>0</v>
      </c>
      <c r="DA50" s="7">
        <f>SUM(DB50:DM50)</f>
        <v>15408467</v>
      </c>
      <c r="DB50" s="7">
        <v>2212318</v>
      </c>
      <c r="DC50" s="7">
        <v>12719953</v>
      </c>
      <c r="DD50" s="7">
        <v>0</v>
      </c>
      <c r="DE50" s="7">
        <v>0</v>
      </c>
      <c r="DF50" s="7">
        <v>0</v>
      </c>
      <c r="DG50" s="7">
        <v>0</v>
      </c>
      <c r="DH50" s="7">
        <v>0</v>
      </c>
      <c r="DI50" s="7">
        <v>48605</v>
      </c>
      <c r="DJ50" s="7">
        <v>427591</v>
      </c>
      <c r="DK50" s="7">
        <v>0</v>
      </c>
      <c r="DL50" s="7">
        <v>0</v>
      </c>
      <c r="DM50" s="7">
        <v>0</v>
      </c>
      <c r="DN50" s="7">
        <f>SUM(DO50:DY50)</f>
        <v>1227718</v>
      </c>
      <c r="DO50" s="7">
        <v>120000</v>
      </c>
      <c r="DP50" s="7">
        <v>0</v>
      </c>
      <c r="DQ50" s="7">
        <v>436500</v>
      </c>
      <c r="DR50" s="7">
        <v>468968</v>
      </c>
      <c r="DS50" s="7">
        <v>202250</v>
      </c>
      <c r="DT50" s="7">
        <v>0</v>
      </c>
      <c r="DU50" s="7">
        <v>0</v>
      </c>
      <c r="DV50" s="7">
        <v>0</v>
      </c>
      <c r="DW50" s="7">
        <v>0</v>
      </c>
      <c r="DX50" s="7">
        <v>0</v>
      </c>
      <c r="DY50" s="7">
        <v>0</v>
      </c>
    </row>
  </sheetData>
  <mergeCells count="1">
    <mergeCell ref="AH4:AI4"/>
  </mergeCells>
  <pageMargins left="0.75" right="0.75" top="1" bottom="1" header="0.5" footer="0.5"/>
  <pageSetup orientation="portrait" r:id="rId1"/>
  <headerFooter alignWithMargins="0">
    <oddFooter>&amp;L&amp;"Times New Roman"&amp;8NCR#10118338 - v1</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3:AG45"/>
  <sheetViews>
    <sheetView topLeftCell="Q1" workbookViewId="0">
      <selection activeCell="U21" sqref="U21"/>
    </sheetView>
  </sheetViews>
  <sheetFormatPr baseColWidth="10" defaultColWidth="9" defaultRowHeight="14"/>
  <cols>
    <col min="1" max="1" width="21.19921875" customWidth="1"/>
    <col min="2" max="8" width="13.796875" customWidth="1"/>
    <col min="9" max="14" width="13.19921875" customWidth="1"/>
    <col min="15" max="19" width="13.796875" customWidth="1"/>
    <col min="20" max="29" width="16.19921875" customWidth="1"/>
    <col min="30" max="30" width="14.19921875" customWidth="1"/>
    <col min="31" max="31" width="13.3984375" customWidth="1"/>
    <col min="32" max="32" width="13.19921875" customWidth="1"/>
    <col min="33" max="33" width="15.3984375" customWidth="1"/>
  </cols>
  <sheetData>
    <row r="3" spans="1:33">
      <c r="A3" s="557"/>
      <c r="B3" s="1763" t="s">
        <v>1960</v>
      </c>
      <c r="C3" s="1764"/>
      <c r="D3" s="1764"/>
      <c r="E3" s="1764"/>
      <c r="F3" s="1764"/>
      <c r="G3" s="1764"/>
      <c r="H3" s="1765"/>
      <c r="I3" s="1760" t="s">
        <v>1960</v>
      </c>
      <c r="J3" s="1753"/>
      <c r="K3" s="1753"/>
      <c r="L3" s="1753"/>
      <c r="M3" s="1753"/>
      <c r="N3" s="1754"/>
      <c r="O3" s="1760" t="s">
        <v>1961</v>
      </c>
      <c r="P3" s="1753"/>
      <c r="Q3" s="1753"/>
      <c r="R3" s="1753"/>
      <c r="S3" s="1754"/>
      <c r="T3" s="1752" t="s">
        <v>1961</v>
      </c>
      <c r="U3" s="1753"/>
      <c r="V3" s="1753"/>
      <c r="W3" s="1753"/>
      <c r="X3" s="1754"/>
      <c r="AD3" t="s">
        <v>1962</v>
      </c>
      <c r="AE3" t="s">
        <v>1962</v>
      </c>
      <c r="AF3" t="s">
        <v>1963</v>
      </c>
      <c r="AG3" t="s">
        <v>1962</v>
      </c>
    </row>
    <row r="4" spans="1:33" ht="12.75" customHeight="1">
      <c r="A4" s="557"/>
      <c r="B4" s="1539"/>
      <c r="C4" s="1539"/>
      <c r="D4" s="1745" t="s">
        <v>1964</v>
      </c>
      <c r="E4" s="1540"/>
      <c r="F4" s="1540"/>
      <c r="G4" s="1540"/>
      <c r="H4" s="1540"/>
      <c r="I4" s="1539"/>
      <c r="J4" s="1540"/>
      <c r="K4" s="1540"/>
      <c r="L4" s="1540"/>
      <c r="M4" s="1540"/>
      <c r="N4" s="1745" t="s">
        <v>1965</v>
      </c>
      <c r="O4" s="1539"/>
      <c r="P4" s="1539"/>
      <c r="Q4" s="1745" t="s">
        <v>1966</v>
      </c>
      <c r="R4" s="1745" t="s">
        <v>1967</v>
      </c>
      <c r="S4" s="1745" t="s">
        <v>1968</v>
      </c>
      <c r="T4" s="1755" t="s">
        <v>1969</v>
      </c>
      <c r="U4" s="1757" t="s">
        <v>1970</v>
      </c>
      <c r="V4" s="1745" t="s">
        <v>1971</v>
      </c>
      <c r="W4" s="1540"/>
      <c r="X4" s="1745" t="s">
        <v>1972</v>
      </c>
      <c r="Y4" s="1539"/>
      <c r="Z4" s="1745" t="s">
        <v>1973</v>
      </c>
      <c r="AA4" s="1539"/>
      <c r="AB4" s="1745" t="s">
        <v>1974</v>
      </c>
      <c r="AC4" s="1745" t="s">
        <v>1975</v>
      </c>
      <c r="AE4" s="1740" t="s">
        <v>1976</v>
      </c>
      <c r="AF4" s="1743" t="s">
        <v>1977</v>
      </c>
      <c r="AG4" s="1740" t="s">
        <v>1978</v>
      </c>
    </row>
    <row r="5" spans="1:33" ht="12.75" customHeight="1">
      <c r="A5" s="1376"/>
      <c r="B5" s="1761" t="s">
        <v>1979</v>
      </c>
      <c r="C5" s="558" t="s">
        <v>1980</v>
      </c>
      <c r="D5" s="1746"/>
      <c r="E5" s="1746" t="s">
        <v>1981</v>
      </c>
      <c r="F5" s="1746" t="s">
        <v>1982</v>
      </c>
      <c r="G5" s="1746" t="s">
        <v>1983</v>
      </c>
      <c r="H5" s="1746" t="s">
        <v>1984</v>
      </c>
      <c r="I5" s="1761" t="s">
        <v>1985</v>
      </c>
      <c r="J5" s="1746" t="s">
        <v>1986</v>
      </c>
      <c r="K5" s="1746" t="s">
        <v>1987</v>
      </c>
      <c r="L5" s="1746" t="s">
        <v>1988</v>
      </c>
      <c r="M5" s="565"/>
      <c r="N5" s="1746"/>
      <c r="O5" s="1761" t="s">
        <v>1989</v>
      </c>
      <c r="P5" s="1746" t="s">
        <v>1990</v>
      </c>
      <c r="Q5" s="1746"/>
      <c r="R5" s="1746"/>
      <c r="S5" s="1746"/>
      <c r="T5" s="1740"/>
      <c r="U5" s="1758"/>
      <c r="V5" s="1746"/>
      <c r="W5" s="1746" t="s">
        <v>1991</v>
      </c>
      <c r="X5" s="1746"/>
      <c r="Y5" s="1746" t="s">
        <v>1992</v>
      </c>
      <c r="Z5" s="1746"/>
      <c r="AA5" s="1746" t="s">
        <v>1993</v>
      </c>
      <c r="AB5" s="1746"/>
      <c r="AC5" s="1748"/>
      <c r="AD5" s="1750" t="s">
        <v>1994</v>
      </c>
      <c r="AE5" s="1741"/>
      <c r="AF5" s="1744"/>
      <c r="AG5" s="1741" t="s">
        <v>1861</v>
      </c>
    </row>
    <row r="6" spans="1:33">
      <c r="A6" s="559" t="s">
        <v>1995</v>
      </c>
      <c r="B6" s="1762"/>
      <c r="C6" s="560" t="s">
        <v>1996</v>
      </c>
      <c r="D6" s="1747"/>
      <c r="E6" s="1747"/>
      <c r="F6" s="1747"/>
      <c r="G6" s="1747"/>
      <c r="H6" s="1747"/>
      <c r="I6" s="1762"/>
      <c r="J6" s="1747"/>
      <c r="K6" s="1747"/>
      <c r="L6" s="1747"/>
      <c r="M6" s="566" t="s">
        <v>1894</v>
      </c>
      <c r="N6" s="1747"/>
      <c r="O6" s="1762"/>
      <c r="P6" s="1747"/>
      <c r="Q6" s="1747"/>
      <c r="R6" s="1747"/>
      <c r="S6" s="1747"/>
      <c r="T6" s="1756"/>
      <c r="U6" s="1759"/>
      <c r="V6" s="1747"/>
      <c r="W6" s="1747"/>
      <c r="X6" s="1747"/>
      <c r="Y6" s="1747"/>
      <c r="Z6" s="1747"/>
      <c r="AA6" s="1747"/>
      <c r="AB6" s="1747"/>
      <c r="AC6" s="1749"/>
      <c r="AD6" s="1751"/>
      <c r="AE6" s="1742"/>
      <c r="AF6" s="1541" t="s">
        <v>1887</v>
      </c>
      <c r="AG6" s="1742" t="s">
        <v>1822</v>
      </c>
    </row>
    <row r="7" spans="1:33">
      <c r="A7" s="561"/>
      <c r="B7" s="557"/>
      <c r="C7" s="557"/>
      <c r="D7" s="557"/>
      <c r="E7" s="557"/>
      <c r="F7" s="562"/>
      <c r="G7" s="562"/>
      <c r="H7" s="562"/>
      <c r="I7" s="562"/>
      <c r="J7" s="557"/>
      <c r="K7" s="557"/>
      <c r="L7" s="557"/>
      <c r="M7" s="562"/>
      <c r="N7" s="562"/>
      <c r="O7" s="562"/>
      <c r="P7" s="562"/>
      <c r="Q7" s="562"/>
      <c r="R7" s="562"/>
      <c r="S7" s="557"/>
      <c r="T7" s="562"/>
      <c r="U7" s="562"/>
      <c r="V7" s="562"/>
      <c r="W7" s="562"/>
      <c r="X7" s="562"/>
      <c r="Y7" s="562"/>
      <c r="Z7" s="562"/>
      <c r="AA7" s="562"/>
      <c r="AB7" s="562"/>
      <c r="AC7" s="562"/>
      <c r="AD7" s="586"/>
      <c r="AE7" s="586"/>
      <c r="AF7" s="586"/>
      <c r="AG7" s="557"/>
    </row>
    <row r="8" spans="1:33">
      <c r="A8" s="563" t="s">
        <v>1997</v>
      </c>
      <c r="B8" s="554">
        <v>3436226</v>
      </c>
      <c r="C8" s="554">
        <f>B8/1927</f>
        <v>1783.1997924234561</v>
      </c>
      <c r="D8" s="554">
        <v>100456</v>
      </c>
      <c r="E8" s="554">
        <v>194773</v>
      </c>
      <c r="F8" s="554">
        <v>106992</v>
      </c>
      <c r="G8" s="554">
        <v>110558</v>
      </c>
      <c r="H8" s="554">
        <v>164054</v>
      </c>
      <c r="I8" s="554">
        <v>557824</v>
      </c>
      <c r="J8" s="554">
        <v>148006</v>
      </c>
      <c r="K8" s="554">
        <v>82027</v>
      </c>
      <c r="L8" s="554">
        <v>34000</v>
      </c>
      <c r="M8" s="554">
        <v>889200</v>
      </c>
      <c r="N8" s="554">
        <v>1711057</v>
      </c>
      <c r="O8" s="554">
        <v>667369</v>
      </c>
      <c r="P8" s="554">
        <v>677489</v>
      </c>
      <c r="Q8" s="554">
        <v>49390</v>
      </c>
      <c r="R8" s="554">
        <v>301125</v>
      </c>
      <c r="S8" s="554">
        <v>36000</v>
      </c>
      <c r="T8" s="554">
        <v>3700</v>
      </c>
      <c r="U8" s="554">
        <v>21590</v>
      </c>
      <c r="V8" s="554">
        <v>142656</v>
      </c>
      <c r="W8" s="554">
        <v>-167946</v>
      </c>
      <c r="X8" s="554">
        <v>0</v>
      </c>
      <c r="Y8" s="554">
        <v>2497709</v>
      </c>
      <c r="Z8" s="554">
        <v>0</v>
      </c>
      <c r="AA8" s="554">
        <v>0</v>
      </c>
      <c r="AB8" s="554">
        <v>95540</v>
      </c>
      <c r="AC8" s="554">
        <v>2593249</v>
      </c>
      <c r="AD8" s="554">
        <v>420276</v>
      </c>
      <c r="AE8" s="554">
        <v>1729166</v>
      </c>
      <c r="AF8" s="554">
        <v>7325102</v>
      </c>
      <c r="AG8" s="554">
        <v>2554464</v>
      </c>
    </row>
    <row r="9" spans="1:33">
      <c r="A9" s="564" t="s">
        <v>1998</v>
      </c>
      <c r="B9" s="555">
        <v>3807945</v>
      </c>
      <c r="C9" s="555">
        <f t="shared" ref="C9:C45" si="0">B9/1927</f>
        <v>1976.1001556824078</v>
      </c>
      <c r="D9" s="555">
        <v>0</v>
      </c>
      <c r="E9" s="555">
        <v>390856</v>
      </c>
      <c r="F9" s="555">
        <v>118566</v>
      </c>
      <c r="G9" s="555">
        <v>122518</v>
      </c>
      <c r="H9" s="555">
        <v>181801</v>
      </c>
      <c r="I9" s="555">
        <v>665449</v>
      </c>
      <c r="J9" s="555">
        <v>164016</v>
      </c>
      <c r="K9" s="555">
        <v>90901</v>
      </c>
      <c r="L9" s="555">
        <v>41750</v>
      </c>
      <c r="M9" s="555">
        <v>1220085</v>
      </c>
      <c r="N9" s="555">
        <v>2182201</v>
      </c>
      <c r="O9" s="555">
        <v>1276066</v>
      </c>
      <c r="P9" s="555">
        <v>1117018</v>
      </c>
      <c r="Q9" s="555">
        <v>145035</v>
      </c>
      <c r="R9" s="555">
        <v>138875</v>
      </c>
      <c r="S9" s="555">
        <v>54000</v>
      </c>
      <c r="T9" s="555">
        <v>31200</v>
      </c>
      <c r="U9" s="555">
        <v>31888</v>
      </c>
      <c r="V9" s="555">
        <v>158088</v>
      </c>
      <c r="W9" s="555">
        <v>-221176</v>
      </c>
      <c r="X9" s="555">
        <v>0</v>
      </c>
      <c r="Y9" s="555">
        <v>3510075</v>
      </c>
      <c r="Z9" s="555">
        <v>1575</v>
      </c>
      <c r="AA9" s="555">
        <v>1214478</v>
      </c>
      <c r="AB9" s="555">
        <v>204203</v>
      </c>
      <c r="AC9" s="555">
        <v>4930331</v>
      </c>
      <c r="AD9" s="555">
        <v>2682216</v>
      </c>
      <c r="AE9" s="555">
        <v>2447241</v>
      </c>
      <c r="AF9" s="555">
        <v>12115611</v>
      </c>
      <c r="AG9" s="555">
        <v>6584684</v>
      </c>
    </row>
    <row r="10" spans="1:33">
      <c r="A10" s="563" t="s">
        <v>1999</v>
      </c>
      <c r="B10" s="554">
        <v>16199900</v>
      </c>
      <c r="C10" s="554">
        <f t="shared" si="0"/>
        <v>8406.7981318111051</v>
      </c>
      <c r="D10" s="554">
        <v>0</v>
      </c>
      <c r="E10" s="554">
        <v>128600</v>
      </c>
      <c r="F10" s="554">
        <v>504400</v>
      </c>
      <c r="G10" s="554">
        <v>521200</v>
      </c>
      <c r="H10" s="554">
        <v>773400</v>
      </c>
      <c r="I10" s="554">
        <v>2865600</v>
      </c>
      <c r="J10" s="554">
        <v>697800</v>
      </c>
      <c r="K10" s="554">
        <v>386700</v>
      </c>
      <c r="L10" s="554">
        <v>186000</v>
      </c>
      <c r="M10" s="554">
        <v>3005300</v>
      </c>
      <c r="N10" s="554">
        <v>7141400</v>
      </c>
      <c r="O10" s="554">
        <v>1076200</v>
      </c>
      <c r="P10" s="554">
        <v>3130100</v>
      </c>
      <c r="Q10" s="554">
        <v>682400</v>
      </c>
      <c r="R10" s="554">
        <v>738300</v>
      </c>
      <c r="S10" s="554">
        <v>371000</v>
      </c>
      <c r="T10" s="554">
        <v>204300</v>
      </c>
      <c r="U10" s="554">
        <v>170900</v>
      </c>
      <c r="V10" s="554">
        <v>734000</v>
      </c>
      <c r="W10" s="554">
        <v>-1109200</v>
      </c>
      <c r="X10" s="554">
        <v>0</v>
      </c>
      <c r="Y10" s="554">
        <v>18410000</v>
      </c>
      <c r="Z10" s="554">
        <v>0</v>
      </c>
      <c r="AA10" s="554">
        <v>0</v>
      </c>
      <c r="AB10" s="554">
        <v>301400</v>
      </c>
      <c r="AC10" s="554">
        <v>18711400</v>
      </c>
      <c r="AD10" s="554">
        <v>1540011</v>
      </c>
      <c r="AE10" s="554">
        <v>7613910</v>
      </c>
      <c r="AF10" s="554">
        <v>39581273</v>
      </c>
      <c r="AG10" s="554">
        <v>11806627</v>
      </c>
    </row>
    <row r="11" spans="1:33">
      <c r="A11" s="564" t="s">
        <v>2000</v>
      </c>
      <c r="B11" s="555">
        <v>10253182</v>
      </c>
      <c r="C11" s="555">
        <f t="shared" si="0"/>
        <v>5320.8002075765435</v>
      </c>
      <c r="D11" s="555">
        <v>37867</v>
      </c>
      <c r="E11" s="555">
        <v>762331</v>
      </c>
      <c r="F11" s="555">
        <v>319248</v>
      </c>
      <c r="G11" s="555">
        <v>329890</v>
      </c>
      <c r="H11" s="555">
        <v>489514</v>
      </c>
      <c r="I11" s="555">
        <v>1691858</v>
      </c>
      <c r="J11" s="555">
        <v>441626</v>
      </c>
      <c r="K11" s="555">
        <v>207511</v>
      </c>
      <c r="L11" s="555">
        <v>88750</v>
      </c>
      <c r="M11" s="555">
        <v>2743695</v>
      </c>
      <c r="N11" s="555">
        <v>9450553</v>
      </c>
      <c r="O11" s="555">
        <v>3406654</v>
      </c>
      <c r="P11" s="555">
        <v>1183192</v>
      </c>
      <c r="Q11" s="555">
        <v>96745</v>
      </c>
      <c r="R11" s="555">
        <v>134475</v>
      </c>
      <c r="S11" s="555">
        <v>530000</v>
      </c>
      <c r="T11" s="555">
        <v>1525000</v>
      </c>
      <c r="U11" s="555">
        <v>96700</v>
      </c>
      <c r="V11" s="555">
        <v>425664</v>
      </c>
      <c r="W11" s="555">
        <v>-3778737</v>
      </c>
      <c r="X11" s="555">
        <v>0</v>
      </c>
      <c r="Y11" s="555">
        <v>10898867</v>
      </c>
      <c r="Z11" s="555">
        <v>0</v>
      </c>
      <c r="AA11" s="555">
        <v>0</v>
      </c>
      <c r="AB11" s="555">
        <v>243180</v>
      </c>
      <c r="AC11" s="555">
        <v>19038379</v>
      </c>
      <c r="AD11" s="555">
        <v>0</v>
      </c>
      <c r="AE11" s="555">
        <v>6497846</v>
      </c>
      <c r="AF11" s="555">
        <v>26386710.238351613</v>
      </c>
      <c r="AG11" s="555">
        <v>29079165.761648387</v>
      </c>
    </row>
    <row r="12" spans="1:33">
      <c r="A12" s="563" t="s">
        <v>2001</v>
      </c>
      <c r="B12" s="554">
        <v>2626116</v>
      </c>
      <c r="C12" s="554">
        <f t="shared" si="0"/>
        <v>1362.8002075765439</v>
      </c>
      <c r="D12" s="554">
        <v>0</v>
      </c>
      <c r="E12" s="554">
        <v>254236</v>
      </c>
      <c r="F12" s="554">
        <v>81768</v>
      </c>
      <c r="G12" s="554">
        <v>84494</v>
      </c>
      <c r="H12" s="554">
        <v>125378</v>
      </c>
      <c r="I12" s="554">
        <v>458287</v>
      </c>
      <c r="J12" s="554">
        <v>113112</v>
      </c>
      <c r="K12" s="554">
        <v>53149</v>
      </c>
      <c r="L12" s="554">
        <v>34125</v>
      </c>
      <c r="M12" s="554">
        <v>847305</v>
      </c>
      <c r="N12" s="554">
        <v>6309465</v>
      </c>
      <c r="O12" s="554">
        <v>873845</v>
      </c>
      <c r="P12" s="554">
        <v>831072</v>
      </c>
      <c r="Q12" s="554">
        <v>75158</v>
      </c>
      <c r="R12" s="554">
        <v>14950</v>
      </c>
      <c r="S12" s="554">
        <v>128000</v>
      </c>
      <c r="T12" s="554">
        <v>6500</v>
      </c>
      <c r="U12" s="554">
        <v>18840</v>
      </c>
      <c r="V12" s="554">
        <v>109024</v>
      </c>
      <c r="W12" s="554">
        <v>-2865358</v>
      </c>
      <c r="X12" s="554">
        <v>0</v>
      </c>
      <c r="Y12" s="554">
        <v>0</v>
      </c>
      <c r="Z12" s="554">
        <v>0</v>
      </c>
      <c r="AA12" s="554">
        <v>1042596</v>
      </c>
      <c r="AB12" s="554">
        <v>83900</v>
      </c>
      <c r="AC12" s="554">
        <v>11042366</v>
      </c>
      <c r="AD12" s="554">
        <v>1563410</v>
      </c>
      <c r="AE12" s="554">
        <v>2746075</v>
      </c>
      <c r="AF12" s="554">
        <v>8358780</v>
      </c>
      <c r="AG12" s="554">
        <v>4792454</v>
      </c>
    </row>
    <row r="13" spans="1:33">
      <c r="A13" s="564" t="s">
        <v>2002</v>
      </c>
      <c r="B13" s="555">
        <v>1716764</v>
      </c>
      <c r="C13" s="555">
        <f t="shared" si="0"/>
        <v>890.89984431759206</v>
      </c>
      <c r="D13" s="555">
        <v>50810</v>
      </c>
      <c r="E13" s="555">
        <v>0</v>
      </c>
      <c r="F13" s="555">
        <v>53454</v>
      </c>
      <c r="G13" s="555">
        <v>55236</v>
      </c>
      <c r="H13" s="555">
        <v>81963</v>
      </c>
      <c r="I13" s="555">
        <v>319296</v>
      </c>
      <c r="J13" s="555">
        <v>73945</v>
      </c>
      <c r="K13" s="555">
        <v>45436</v>
      </c>
      <c r="L13" s="555">
        <v>22875</v>
      </c>
      <c r="M13" s="555">
        <v>591660</v>
      </c>
      <c r="N13" s="555">
        <v>19954112</v>
      </c>
      <c r="O13" s="555">
        <v>105660</v>
      </c>
      <c r="P13" s="555">
        <v>469301</v>
      </c>
      <c r="Q13" s="555">
        <v>37758</v>
      </c>
      <c r="R13" s="555">
        <v>5950</v>
      </c>
      <c r="S13" s="555">
        <v>81500</v>
      </c>
      <c r="T13" s="555">
        <v>31300</v>
      </c>
      <c r="U13" s="555">
        <v>8840</v>
      </c>
      <c r="V13" s="555">
        <v>71272</v>
      </c>
      <c r="W13" s="555">
        <v>-6109412</v>
      </c>
      <c r="X13" s="555">
        <v>0</v>
      </c>
      <c r="Y13" s="555">
        <v>4162532</v>
      </c>
      <c r="Z13" s="555">
        <v>208582</v>
      </c>
      <c r="AA13" s="555">
        <v>0</v>
      </c>
      <c r="AB13" s="555">
        <v>60800</v>
      </c>
      <c r="AC13" s="555">
        <v>37005514</v>
      </c>
      <c r="AD13" s="555">
        <v>627261</v>
      </c>
      <c r="AE13" s="555">
        <v>931086</v>
      </c>
      <c r="AF13" s="555">
        <v>3508148</v>
      </c>
      <c r="AG13" s="555">
        <v>2059636</v>
      </c>
    </row>
    <row r="14" spans="1:33">
      <c r="A14" s="563" t="s">
        <v>2003</v>
      </c>
      <c r="B14" s="554">
        <v>2545182</v>
      </c>
      <c r="C14" s="554">
        <f t="shared" si="0"/>
        <v>1320.8002075765439</v>
      </c>
      <c r="D14" s="554">
        <v>54071</v>
      </c>
      <c r="E14" s="554">
        <v>276262</v>
      </c>
      <c r="F14" s="554">
        <v>79248</v>
      </c>
      <c r="G14" s="554">
        <v>81890</v>
      </c>
      <c r="H14" s="554">
        <v>121514</v>
      </c>
      <c r="I14" s="554">
        <v>420700</v>
      </c>
      <c r="J14" s="554">
        <v>109626</v>
      </c>
      <c r="K14" s="554">
        <v>60757</v>
      </c>
      <c r="L14" s="554">
        <v>25000</v>
      </c>
      <c r="M14" s="554">
        <v>846450</v>
      </c>
      <c r="N14" s="554">
        <v>14144079</v>
      </c>
      <c r="O14" s="554">
        <v>898194</v>
      </c>
      <c r="P14" s="554">
        <v>588822</v>
      </c>
      <c r="Q14" s="554">
        <v>50270</v>
      </c>
      <c r="R14" s="554">
        <v>18200</v>
      </c>
      <c r="S14" s="554">
        <v>18000</v>
      </c>
      <c r="T14" s="554">
        <v>2100</v>
      </c>
      <c r="U14" s="554">
        <v>19720</v>
      </c>
      <c r="V14" s="554">
        <v>105664</v>
      </c>
      <c r="W14" s="554">
        <v>-5478550</v>
      </c>
      <c r="X14" s="554">
        <v>0</v>
      </c>
      <c r="Y14" s="554">
        <v>0</v>
      </c>
      <c r="Z14" s="554">
        <v>0</v>
      </c>
      <c r="AA14" s="554">
        <v>630579</v>
      </c>
      <c r="AB14" s="554">
        <v>102860</v>
      </c>
      <c r="AC14" s="554">
        <v>26029053</v>
      </c>
      <c r="AD14" s="554">
        <v>478029</v>
      </c>
      <c r="AE14" s="554">
        <v>1478096</v>
      </c>
      <c r="AF14" s="554">
        <v>7923970</v>
      </c>
      <c r="AG14" s="554">
        <v>2765106</v>
      </c>
    </row>
    <row r="15" spans="1:33">
      <c r="A15" s="564" t="s">
        <v>2004</v>
      </c>
      <c r="B15" s="555">
        <v>4260404</v>
      </c>
      <c r="C15" s="555">
        <f t="shared" si="0"/>
        <v>2210.8998443175919</v>
      </c>
      <c r="D15" s="555">
        <v>0</v>
      </c>
      <c r="E15" s="555">
        <v>980677</v>
      </c>
      <c r="F15" s="555">
        <v>132654</v>
      </c>
      <c r="G15" s="555">
        <v>137076</v>
      </c>
      <c r="H15" s="555">
        <v>203403</v>
      </c>
      <c r="I15" s="555">
        <v>1337909</v>
      </c>
      <c r="J15" s="555">
        <v>183505</v>
      </c>
      <c r="K15" s="555">
        <v>86225</v>
      </c>
      <c r="L15" s="555">
        <v>27500</v>
      </c>
      <c r="M15" s="555">
        <v>4177530</v>
      </c>
      <c r="N15" s="555">
        <v>9110039</v>
      </c>
      <c r="O15" s="555">
        <v>1334876</v>
      </c>
      <c r="P15" s="555">
        <v>1836615</v>
      </c>
      <c r="Q15" s="555">
        <v>92180</v>
      </c>
      <c r="R15" s="555">
        <v>0</v>
      </c>
      <c r="S15" s="555">
        <v>851750</v>
      </c>
      <c r="T15" s="555">
        <v>200</v>
      </c>
      <c r="U15" s="555">
        <v>41236</v>
      </c>
      <c r="V15" s="555">
        <v>186872</v>
      </c>
      <c r="W15" s="555">
        <v>-2151333</v>
      </c>
      <c r="X15" s="555">
        <v>0</v>
      </c>
      <c r="Y15" s="555">
        <v>13823775</v>
      </c>
      <c r="Z15" s="555">
        <v>4758592</v>
      </c>
      <c r="AA15" s="555">
        <v>0</v>
      </c>
      <c r="AB15" s="555">
        <v>380720</v>
      </c>
      <c r="AC15" s="555">
        <v>25806634</v>
      </c>
      <c r="AD15" s="555">
        <v>265395</v>
      </c>
      <c r="AE15" s="555">
        <v>527321</v>
      </c>
      <c r="AF15" s="555">
        <v>3173702</v>
      </c>
      <c r="AG15" s="555">
        <v>12032981</v>
      </c>
    </row>
    <row r="16" spans="1:33">
      <c r="A16" s="563" t="s">
        <v>2005</v>
      </c>
      <c r="B16" s="554">
        <v>8452015</v>
      </c>
      <c r="C16" s="554">
        <f t="shared" si="0"/>
        <v>4386.1001556824076</v>
      </c>
      <c r="D16" s="554">
        <v>0</v>
      </c>
      <c r="E16" s="554">
        <v>201327</v>
      </c>
      <c r="F16" s="554">
        <v>263166</v>
      </c>
      <c r="G16" s="554">
        <v>271938</v>
      </c>
      <c r="H16" s="554">
        <v>403521</v>
      </c>
      <c r="I16" s="554">
        <v>1407564</v>
      </c>
      <c r="J16" s="554">
        <v>364046</v>
      </c>
      <c r="K16" s="554">
        <v>201761</v>
      </c>
      <c r="L16" s="554">
        <v>92000</v>
      </c>
      <c r="M16" s="554">
        <v>1686060</v>
      </c>
      <c r="N16" s="554">
        <v>5791621</v>
      </c>
      <c r="O16" s="554">
        <v>1534365</v>
      </c>
      <c r="P16" s="554">
        <v>1943198</v>
      </c>
      <c r="Q16" s="554">
        <v>311685</v>
      </c>
      <c r="R16" s="554">
        <v>584850</v>
      </c>
      <c r="S16" s="554">
        <v>27000</v>
      </c>
      <c r="T16" s="554">
        <v>4600</v>
      </c>
      <c r="U16" s="554">
        <v>65809</v>
      </c>
      <c r="V16" s="554">
        <v>350888</v>
      </c>
      <c r="W16" s="554">
        <v>-1121466</v>
      </c>
      <c r="X16" s="554">
        <v>0</v>
      </c>
      <c r="Y16" s="554">
        <v>10791635</v>
      </c>
      <c r="Z16" s="554">
        <v>0</v>
      </c>
      <c r="AA16" s="554">
        <v>0</v>
      </c>
      <c r="AB16" s="554">
        <v>124960</v>
      </c>
      <c r="AC16" s="554">
        <v>15352322</v>
      </c>
      <c r="AD16" s="554">
        <v>538478</v>
      </c>
      <c r="AE16" s="554">
        <v>3349562</v>
      </c>
      <c r="AF16" s="554">
        <v>16042828</v>
      </c>
      <c r="AG16" s="554">
        <v>5034325</v>
      </c>
    </row>
    <row r="17" spans="1:33">
      <c r="A17" s="564" t="s">
        <v>2006</v>
      </c>
      <c r="B17" s="555">
        <v>15016340</v>
      </c>
      <c r="C17" s="555">
        <f t="shared" si="0"/>
        <v>7792.5998962117283</v>
      </c>
      <c r="D17" s="555">
        <v>0</v>
      </c>
      <c r="E17" s="555">
        <v>241085</v>
      </c>
      <c r="F17" s="555">
        <v>467556</v>
      </c>
      <c r="G17" s="555">
        <v>483141</v>
      </c>
      <c r="H17" s="555">
        <v>716919</v>
      </c>
      <c r="I17" s="555">
        <v>2571393</v>
      </c>
      <c r="J17" s="555">
        <v>646786</v>
      </c>
      <c r="K17" s="555">
        <v>303911</v>
      </c>
      <c r="L17" s="555">
        <v>144875</v>
      </c>
      <c r="M17" s="555">
        <v>2791575</v>
      </c>
      <c r="N17" s="555">
        <v>9738221</v>
      </c>
      <c r="O17" s="555">
        <v>2619250</v>
      </c>
      <c r="P17" s="555">
        <v>3402696</v>
      </c>
      <c r="Q17" s="555">
        <v>498905</v>
      </c>
      <c r="R17" s="555">
        <v>609200</v>
      </c>
      <c r="S17" s="555">
        <v>171000</v>
      </c>
      <c r="T17" s="555">
        <v>22000</v>
      </c>
      <c r="U17" s="555">
        <v>106984</v>
      </c>
      <c r="V17" s="555">
        <v>623408</v>
      </c>
      <c r="W17" s="555">
        <v>-2325878</v>
      </c>
      <c r="X17" s="555">
        <v>0</v>
      </c>
      <c r="Y17" s="555">
        <v>20533464</v>
      </c>
      <c r="Z17" s="555">
        <v>0</v>
      </c>
      <c r="AA17" s="555">
        <v>0</v>
      </c>
      <c r="AB17" s="555">
        <v>270060</v>
      </c>
      <c r="AC17" s="555">
        <v>27234181</v>
      </c>
      <c r="AD17" s="555">
        <v>1256772</v>
      </c>
      <c r="AE17" s="555">
        <v>6428612</v>
      </c>
      <c r="AF17" s="555">
        <v>27044632</v>
      </c>
      <c r="AG17" s="555">
        <v>10051584</v>
      </c>
    </row>
    <row r="18" spans="1:33">
      <c r="A18" s="563" t="s">
        <v>2007</v>
      </c>
      <c r="B18" s="554">
        <v>5358602</v>
      </c>
      <c r="C18" s="554">
        <f t="shared" si="0"/>
        <v>2780.8002075765439</v>
      </c>
      <c r="D18" s="554">
        <v>31376</v>
      </c>
      <c r="E18" s="554">
        <v>468888</v>
      </c>
      <c r="F18" s="554">
        <v>166848</v>
      </c>
      <c r="G18" s="554">
        <v>172410</v>
      </c>
      <c r="H18" s="554">
        <v>255834</v>
      </c>
      <c r="I18" s="554">
        <v>893020</v>
      </c>
      <c r="J18" s="554">
        <v>230806</v>
      </c>
      <c r="K18" s="554">
        <v>108451</v>
      </c>
      <c r="L18" s="554">
        <v>53625</v>
      </c>
      <c r="M18" s="554">
        <v>1527030</v>
      </c>
      <c r="N18" s="554">
        <v>8730549</v>
      </c>
      <c r="O18" s="554">
        <v>1246536</v>
      </c>
      <c r="P18" s="554">
        <v>1350259</v>
      </c>
      <c r="Q18" s="554">
        <v>78760</v>
      </c>
      <c r="R18" s="554">
        <v>41450</v>
      </c>
      <c r="S18" s="554">
        <v>135000</v>
      </c>
      <c r="T18" s="554">
        <v>74600</v>
      </c>
      <c r="U18" s="554">
        <v>44193</v>
      </c>
      <c r="V18" s="554">
        <v>222464</v>
      </c>
      <c r="W18" s="554">
        <v>-4456678</v>
      </c>
      <c r="X18" s="554">
        <v>0</v>
      </c>
      <c r="Y18" s="554">
        <v>3851254</v>
      </c>
      <c r="Z18" s="554">
        <v>0</v>
      </c>
      <c r="AA18" s="554">
        <v>0</v>
      </c>
      <c r="AB18" s="554">
        <v>156280</v>
      </c>
      <c r="AC18" s="554">
        <v>22341808</v>
      </c>
      <c r="AD18" s="554">
        <v>1081667</v>
      </c>
      <c r="AE18" s="554">
        <v>3679982</v>
      </c>
      <c r="AF18" s="554">
        <v>15559811</v>
      </c>
      <c r="AG18" s="554">
        <v>5664257</v>
      </c>
    </row>
    <row r="19" spans="1:33">
      <c r="A19" s="564" t="s">
        <v>2008</v>
      </c>
      <c r="B19" s="555">
        <v>2819972</v>
      </c>
      <c r="C19" s="555">
        <f t="shared" si="0"/>
        <v>1463.400103788272</v>
      </c>
      <c r="D19" s="555">
        <v>0</v>
      </c>
      <c r="E19" s="555">
        <v>28043</v>
      </c>
      <c r="F19" s="555">
        <v>87804</v>
      </c>
      <c r="G19" s="555">
        <v>90731</v>
      </c>
      <c r="H19" s="555">
        <v>134633</v>
      </c>
      <c r="I19" s="555">
        <v>502402</v>
      </c>
      <c r="J19" s="555">
        <v>121462</v>
      </c>
      <c r="K19" s="555">
        <v>74633</v>
      </c>
      <c r="L19" s="555">
        <v>31250</v>
      </c>
      <c r="M19" s="555">
        <v>919980</v>
      </c>
      <c r="N19" s="555">
        <v>11645215</v>
      </c>
      <c r="O19" s="555">
        <v>291247</v>
      </c>
      <c r="P19" s="555">
        <v>965833</v>
      </c>
      <c r="Q19" s="555">
        <v>73480</v>
      </c>
      <c r="R19" s="555">
        <v>11750</v>
      </c>
      <c r="S19" s="555">
        <v>171000</v>
      </c>
      <c r="T19" s="555">
        <v>39400</v>
      </c>
      <c r="U19" s="555">
        <v>29213</v>
      </c>
      <c r="V19" s="555">
        <v>117072</v>
      </c>
      <c r="W19" s="555">
        <v>-4586783</v>
      </c>
      <c r="X19" s="555">
        <v>0</v>
      </c>
      <c r="Y19" s="555">
        <v>5798000</v>
      </c>
      <c r="Z19" s="555">
        <v>970692</v>
      </c>
      <c r="AA19" s="555">
        <v>0</v>
      </c>
      <c r="AB19" s="555">
        <v>78040</v>
      </c>
      <c r="AC19" s="555">
        <v>25061267</v>
      </c>
      <c r="AD19" s="555">
        <v>257839</v>
      </c>
      <c r="AE19" s="555">
        <v>1158220</v>
      </c>
      <c r="AF19" s="555">
        <v>3050673</v>
      </c>
      <c r="AG19" s="555">
        <v>2910619</v>
      </c>
    </row>
    <row r="20" spans="1:33">
      <c r="A20" s="563" t="s">
        <v>2009</v>
      </c>
      <c r="B20" s="554">
        <v>1840285</v>
      </c>
      <c r="C20" s="554">
        <f t="shared" si="0"/>
        <v>955</v>
      </c>
      <c r="D20" s="554">
        <v>10804</v>
      </c>
      <c r="E20" s="554">
        <v>358507</v>
      </c>
      <c r="F20" s="554">
        <v>57300</v>
      </c>
      <c r="G20" s="554">
        <v>59210</v>
      </c>
      <c r="H20" s="554">
        <v>87860</v>
      </c>
      <c r="I20" s="554">
        <v>341365</v>
      </c>
      <c r="J20" s="554">
        <v>79265</v>
      </c>
      <c r="K20" s="554">
        <v>43930</v>
      </c>
      <c r="L20" s="554">
        <v>17875</v>
      </c>
      <c r="M20" s="554">
        <v>796860</v>
      </c>
      <c r="N20" s="554">
        <v>18921255</v>
      </c>
      <c r="O20" s="554">
        <v>908949</v>
      </c>
      <c r="P20" s="554">
        <v>651090</v>
      </c>
      <c r="Q20" s="554">
        <v>33935</v>
      </c>
      <c r="R20" s="554">
        <v>11700</v>
      </c>
      <c r="S20" s="554">
        <v>99000</v>
      </c>
      <c r="T20" s="554">
        <v>2500</v>
      </c>
      <c r="U20" s="554">
        <v>12131</v>
      </c>
      <c r="V20" s="554">
        <v>76400</v>
      </c>
      <c r="W20" s="554">
        <v>-7392082</v>
      </c>
      <c r="X20" s="554">
        <v>0</v>
      </c>
      <c r="Y20" s="554">
        <v>2951443</v>
      </c>
      <c r="Z20" s="554">
        <v>419953</v>
      </c>
      <c r="AA20" s="554">
        <v>184675</v>
      </c>
      <c r="AB20" s="554">
        <v>100980</v>
      </c>
      <c r="AC20" s="554">
        <v>35332911</v>
      </c>
      <c r="AD20" s="554">
        <v>431272</v>
      </c>
      <c r="AE20" s="554">
        <v>1092483</v>
      </c>
      <c r="AF20" s="554">
        <v>3783961</v>
      </c>
      <c r="AG20" s="554">
        <v>2246720</v>
      </c>
    </row>
    <row r="21" spans="1:33">
      <c r="A21" s="564" t="s">
        <v>2010</v>
      </c>
      <c r="B21" s="555">
        <v>7350156</v>
      </c>
      <c r="C21" s="555">
        <f t="shared" si="0"/>
        <v>3814.2999481058641</v>
      </c>
      <c r="D21" s="555">
        <v>0</v>
      </c>
      <c r="E21" s="555">
        <v>353690</v>
      </c>
      <c r="F21" s="555">
        <v>228858</v>
      </c>
      <c r="G21" s="555">
        <v>236487</v>
      </c>
      <c r="H21" s="555">
        <v>350916</v>
      </c>
      <c r="I21" s="555">
        <v>1285645</v>
      </c>
      <c r="J21" s="555">
        <v>316587</v>
      </c>
      <c r="K21" s="555">
        <v>148758</v>
      </c>
      <c r="L21" s="555">
        <v>91625</v>
      </c>
      <c r="M21" s="555">
        <v>2008395</v>
      </c>
      <c r="N21" s="555">
        <v>10560802</v>
      </c>
      <c r="O21" s="555">
        <v>1626497</v>
      </c>
      <c r="P21" s="555">
        <v>2045084</v>
      </c>
      <c r="Q21" s="555">
        <v>317681</v>
      </c>
      <c r="R21" s="555">
        <v>51850</v>
      </c>
      <c r="S21" s="555">
        <v>356500</v>
      </c>
      <c r="T21" s="555">
        <v>102000</v>
      </c>
      <c r="U21" s="555">
        <v>51053</v>
      </c>
      <c r="V21" s="555">
        <v>364644</v>
      </c>
      <c r="W21" s="555">
        <v>-3369702</v>
      </c>
      <c r="X21" s="555">
        <v>0</v>
      </c>
      <c r="Y21" s="555">
        <v>4679398</v>
      </c>
      <c r="Z21" s="555">
        <v>0</v>
      </c>
      <c r="AA21" s="555">
        <v>700762</v>
      </c>
      <c r="AB21" s="555">
        <v>258660</v>
      </c>
      <c r="AC21" s="555">
        <v>18353024</v>
      </c>
      <c r="AD21" s="555">
        <v>2639045</v>
      </c>
      <c r="AE21" s="555">
        <v>5904150</v>
      </c>
      <c r="AF21" s="555">
        <v>24600986</v>
      </c>
      <c r="AG21" s="555">
        <v>10146798</v>
      </c>
    </row>
    <row r="22" spans="1:33">
      <c r="A22" s="563" t="s">
        <v>2011</v>
      </c>
      <c r="B22" s="554">
        <v>27620076</v>
      </c>
      <c r="C22" s="554">
        <f t="shared" si="0"/>
        <v>14333.199792423457</v>
      </c>
      <c r="D22" s="554">
        <v>37707</v>
      </c>
      <c r="E22" s="554">
        <v>0</v>
      </c>
      <c r="F22" s="554">
        <v>859992</v>
      </c>
      <c r="G22" s="554">
        <v>888658</v>
      </c>
      <c r="H22" s="554">
        <v>1318654</v>
      </c>
      <c r="I22" s="554">
        <v>4960769</v>
      </c>
      <c r="J22" s="554">
        <v>1189656</v>
      </c>
      <c r="K22" s="554">
        <v>558995</v>
      </c>
      <c r="L22" s="554">
        <v>309250</v>
      </c>
      <c r="M22" s="554">
        <v>6480045</v>
      </c>
      <c r="N22" s="554">
        <v>16794531</v>
      </c>
      <c r="O22" s="554">
        <v>1230237</v>
      </c>
      <c r="P22" s="554">
        <v>8920638</v>
      </c>
      <c r="Q22" s="554">
        <v>688793</v>
      </c>
      <c r="R22" s="554">
        <v>1266125</v>
      </c>
      <c r="S22" s="554">
        <v>803000</v>
      </c>
      <c r="T22" s="554">
        <v>1245500</v>
      </c>
      <c r="U22" s="554">
        <v>214746</v>
      </c>
      <c r="V22" s="554">
        <v>1146656</v>
      </c>
      <c r="W22" s="554">
        <v>-4120212</v>
      </c>
      <c r="X22" s="554">
        <v>0</v>
      </c>
      <c r="Y22" s="554">
        <v>18337907</v>
      </c>
      <c r="Z22" s="554">
        <v>0</v>
      </c>
      <c r="AA22" s="554">
        <v>0</v>
      </c>
      <c r="AB22" s="554">
        <v>573660</v>
      </c>
      <c r="AC22" s="554">
        <v>26581923</v>
      </c>
      <c r="AD22" s="554">
        <v>5450836</v>
      </c>
      <c r="AE22" s="554">
        <v>22294232</v>
      </c>
      <c r="AF22" s="554">
        <v>74374352</v>
      </c>
      <c r="AG22" s="554">
        <v>33051388</v>
      </c>
    </row>
    <row r="23" spans="1:33">
      <c r="A23" s="564" t="s">
        <v>2012</v>
      </c>
      <c r="B23" s="555">
        <v>5485591</v>
      </c>
      <c r="C23" s="555">
        <f t="shared" si="0"/>
        <v>2846.7000518941359</v>
      </c>
      <c r="D23" s="555">
        <v>3022</v>
      </c>
      <c r="E23" s="555">
        <v>540476</v>
      </c>
      <c r="F23" s="555">
        <v>170802</v>
      </c>
      <c r="G23" s="555">
        <v>176495</v>
      </c>
      <c r="H23" s="555">
        <v>261896</v>
      </c>
      <c r="I23" s="555">
        <v>992822</v>
      </c>
      <c r="J23" s="555">
        <v>236276</v>
      </c>
      <c r="K23" s="555">
        <v>130948</v>
      </c>
      <c r="L23" s="555">
        <v>59013</v>
      </c>
      <c r="M23" s="555">
        <v>2259765</v>
      </c>
      <c r="N23" s="555">
        <v>6180650</v>
      </c>
      <c r="O23" s="555">
        <v>1567340</v>
      </c>
      <c r="P23" s="555">
        <v>1165880</v>
      </c>
      <c r="Q23" s="555">
        <v>218020</v>
      </c>
      <c r="R23" s="555">
        <v>24450</v>
      </c>
      <c r="S23" s="555">
        <v>245000</v>
      </c>
      <c r="T23" s="555">
        <v>64600</v>
      </c>
      <c r="U23" s="555">
        <v>35359</v>
      </c>
      <c r="V23" s="555">
        <v>290736</v>
      </c>
      <c r="W23" s="555">
        <v>-2095369</v>
      </c>
      <c r="X23" s="555">
        <v>0</v>
      </c>
      <c r="Y23" s="555">
        <v>6454401</v>
      </c>
      <c r="Z23" s="555">
        <v>719357</v>
      </c>
      <c r="AA23" s="555">
        <v>0</v>
      </c>
      <c r="AB23" s="555">
        <v>293840</v>
      </c>
      <c r="AC23" s="555">
        <v>13177521</v>
      </c>
      <c r="AD23" s="555">
        <v>575300</v>
      </c>
      <c r="AE23" s="555">
        <v>3576989</v>
      </c>
      <c r="AF23" s="555">
        <v>13162109</v>
      </c>
      <c r="AG23" s="555">
        <v>5108278</v>
      </c>
    </row>
    <row r="24" spans="1:33">
      <c r="A24" s="563" t="s">
        <v>2013</v>
      </c>
      <c r="B24" s="554">
        <v>5749975</v>
      </c>
      <c r="C24" s="554">
        <f t="shared" si="0"/>
        <v>2983.8998443175919</v>
      </c>
      <c r="D24" s="554">
        <v>0</v>
      </c>
      <c r="E24" s="554">
        <v>0</v>
      </c>
      <c r="F24" s="554">
        <v>179034</v>
      </c>
      <c r="G24" s="554">
        <v>185002</v>
      </c>
      <c r="H24" s="554">
        <v>274519</v>
      </c>
      <c r="I24" s="554">
        <v>1103975</v>
      </c>
      <c r="J24" s="554">
        <v>247664</v>
      </c>
      <c r="K24" s="554">
        <v>152179</v>
      </c>
      <c r="L24" s="554">
        <v>63750</v>
      </c>
      <c r="M24" s="554">
        <v>1286775</v>
      </c>
      <c r="N24" s="554">
        <v>11725366</v>
      </c>
      <c r="O24" s="554">
        <v>68775</v>
      </c>
      <c r="P24" s="554">
        <v>1974108</v>
      </c>
      <c r="Q24" s="554">
        <v>212355</v>
      </c>
      <c r="R24" s="554">
        <v>99150</v>
      </c>
      <c r="S24" s="554">
        <v>280500</v>
      </c>
      <c r="T24" s="554">
        <v>77600</v>
      </c>
      <c r="U24" s="554">
        <v>57508</v>
      </c>
      <c r="V24" s="554">
        <v>238712</v>
      </c>
      <c r="W24" s="554">
        <v>-4771432</v>
      </c>
      <c r="X24" s="554">
        <v>0</v>
      </c>
      <c r="Y24" s="554">
        <v>13250189</v>
      </c>
      <c r="Z24" s="554">
        <v>3841201</v>
      </c>
      <c r="AA24" s="554">
        <v>0</v>
      </c>
      <c r="AB24" s="554">
        <v>120160</v>
      </c>
      <c r="AC24" s="554">
        <v>34714310</v>
      </c>
      <c r="AD24" s="554">
        <v>905042</v>
      </c>
      <c r="AE24" s="554">
        <v>1658279</v>
      </c>
      <c r="AF24" s="554">
        <v>6497954</v>
      </c>
      <c r="AG24" s="554">
        <v>3621857</v>
      </c>
    </row>
    <row r="25" spans="1:33">
      <c r="A25" s="564" t="s">
        <v>2014</v>
      </c>
      <c r="B25" s="555">
        <v>2818238</v>
      </c>
      <c r="C25" s="555">
        <f t="shared" si="0"/>
        <v>1462.5002594706798</v>
      </c>
      <c r="D25" s="555">
        <v>60273</v>
      </c>
      <c r="E25" s="555">
        <v>509437</v>
      </c>
      <c r="F25" s="555">
        <v>87750</v>
      </c>
      <c r="G25" s="555">
        <v>90675</v>
      </c>
      <c r="H25" s="555">
        <v>134550</v>
      </c>
      <c r="I25" s="555">
        <v>475434</v>
      </c>
      <c r="J25" s="555">
        <v>121388</v>
      </c>
      <c r="K25" s="555">
        <v>67275</v>
      </c>
      <c r="L25" s="555">
        <v>31375</v>
      </c>
      <c r="M25" s="555">
        <v>1276515</v>
      </c>
      <c r="N25" s="555">
        <v>34015728</v>
      </c>
      <c r="O25" s="555">
        <v>1210580</v>
      </c>
      <c r="P25" s="555">
        <v>592864</v>
      </c>
      <c r="Q25" s="555">
        <v>80685</v>
      </c>
      <c r="R25" s="555">
        <v>48000</v>
      </c>
      <c r="S25" s="555">
        <v>90500</v>
      </c>
      <c r="T25" s="555">
        <v>6600</v>
      </c>
      <c r="U25" s="555">
        <v>20464</v>
      </c>
      <c r="V25" s="555">
        <v>117000</v>
      </c>
      <c r="W25" s="555">
        <v>-13052857</v>
      </c>
      <c r="X25" s="555">
        <v>0</v>
      </c>
      <c r="Y25" s="555">
        <v>431382</v>
      </c>
      <c r="Z25" s="555">
        <v>0</v>
      </c>
      <c r="AA25" s="555">
        <v>1674399</v>
      </c>
      <c r="AB25" s="555">
        <v>137680</v>
      </c>
      <c r="AC25" s="555">
        <v>62711169</v>
      </c>
      <c r="AD25" s="555">
        <v>801006</v>
      </c>
      <c r="AE25" s="555">
        <v>1728725</v>
      </c>
      <c r="AF25" s="555">
        <v>7991411</v>
      </c>
      <c r="AG25" s="555">
        <v>3170103</v>
      </c>
    </row>
    <row r="26" spans="1:33">
      <c r="A26" s="563" t="s">
        <v>2015</v>
      </c>
      <c r="B26" s="554">
        <v>25410771</v>
      </c>
      <c r="C26" s="554">
        <f t="shared" si="0"/>
        <v>13186.700051894137</v>
      </c>
      <c r="D26" s="554">
        <v>44644</v>
      </c>
      <c r="E26" s="554">
        <v>0</v>
      </c>
      <c r="F26" s="554">
        <v>791202</v>
      </c>
      <c r="G26" s="554">
        <v>817575</v>
      </c>
      <c r="H26" s="554">
        <v>1213176</v>
      </c>
      <c r="I26" s="554">
        <v>4273412</v>
      </c>
      <c r="J26" s="554">
        <v>1094496</v>
      </c>
      <c r="K26" s="554">
        <v>514281</v>
      </c>
      <c r="L26" s="554">
        <v>294938</v>
      </c>
      <c r="M26" s="554">
        <v>5126580</v>
      </c>
      <c r="N26" s="554">
        <v>18203885</v>
      </c>
      <c r="O26" s="554">
        <v>1080601</v>
      </c>
      <c r="P26" s="554">
        <v>6821971</v>
      </c>
      <c r="Q26" s="554">
        <v>270875</v>
      </c>
      <c r="R26" s="554">
        <v>1960450</v>
      </c>
      <c r="S26" s="554">
        <v>333000</v>
      </c>
      <c r="T26" s="554">
        <v>686400</v>
      </c>
      <c r="U26" s="554">
        <v>177481</v>
      </c>
      <c r="V26" s="554">
        <v>1054936</v>
      </c>
      <c r="W26" s="554">
        <v>-5139507</v>
      </c>
      <c r="X26" s="554">
        <v>0</v>
      </c>
      <c r="Y26" s="554">
        <v>2542812</v>
      </c>
      <c r="Z26" s="554">
        <v>0</v>
      </c>
      <c r="AA26" s="554">
        <v>0</v>
      </c>
      <c r="AB26" s="554">
        <v>423500</v>
      </c>
      <c r="AC26" s="554">
        <v>17201948</v>
      </c>
      <c r="AD26" s="554">
        <v>4049741</v>
      </c>
      <c r="AE26" s="554">
        <v>21576185</v>
      </c>
      <c r="AF26" s="554">
        <v>83674340</v>
      </c>
      <c r="AG26" s="554">
        <v>29782683</v>
      </c>
    </row>
    <row r="27" spans="1:33">
      <c r="A27" s="564" t="s">
        <v>2016</v>
      </c>
      <c r="B27" s="555">
        <v>1940874</v>
      </c>
      <c r="C27" s="555">
        <f t="shared" si="0"/>
        <v>1007.1997924234562</v>
      </c>
      <c r="D27" s="555">
        <v>55782</v>
      </c>
      <c r="E27" s="555">
        <v>326744</v>
      </c>
      <c r="F27" s="555">
        <v>60432</v>
      </c>
      <c r="G27" s="555">
        <v>62446</v>
      </c>
      <c r="H27" s="555">
        <v>92662</v>
      </c>
      <c r="I27" s="555">
        <v>332115</v>
      </c>
      <c r="J27" s="555">
        <v>83598</v>
      </c>
      <c r="K27" s="555">
        <v>46331</v>
      </c>
      <c r="L27" s="555">
        <v>19750</v>
      </c>
      <c r="M27" s="555">
        <v>789165</v>
      </c>
      <c r="N27" s="555">
        <v>7934008</v>
      </c>
      <c r="O27" s="555">
        <v>682204</v>
      </c>
      <c r="P27" s="555">
        <v>572230</v>
      </c>
      <c r="Q27" s="555">
        <v>20405</v>
      </c>
      <c r="R27" s="555">
        <v>70400</v>
      </c>
      <c r="S27" s="555">
        <v>47000</v>
      </c>
      <c r="T27" s="555">
        <v>2500</v>
      </c>
      <c r="U27" s="555">
        <v>15300</v>
      </c>
      <c r="V27" s="555">
        <v>80576</v>
      </c>
      <c r="W27" s="555">
        <v>-2733264</v>
      </c>
      <c r="X27" s="555">
        <v>0</v>
      </c>
      <c r="Y27" s="555">
        <v>1012492</v>
      </c>
      <c r="Z27" s="555">
        <v>0</v>
      </c>
      <c r="AA27" s="555">
        <v>718188</v>
      </c>
      <c r="AB27" s="555">
        <v>94000</v>
      </c>
      <c r="AC27" s="555">
        <v>16229762</v>
      </c>
      <c r="AD27" s="555">
        <v>325570</v>
      </c>
      <c r="AE27" s="555">
        <v>1065717</v>
      </c>
      <c r="AF27" s="555">
        <v>6440472</v>
      </c>
      <c r="AG27" s="555">
        <v>1705400</v>
      </c>
    </row>
    <row r="28" spans="1:33">
      <c r="A28" s="563" t="s">
        <v>2017</v>
      </c>
      <c r="B28" s="554">
        <v>5993741</v>
      </c>
      <c r="C28" s="554">
        <f t="shared" si="0"/>
        <v>3110.4001037882717</v>
      </c>
      <c r="D28" s="554">
        <v>0</v>
      </c>
      <c r="E28" s="554">
        <v>199924</v>
      </c>
      <c r="F28" s="554">
        <v>186624</v>
      </c>
      <c r="G28" s="554">
        <v>192845</v>
      </c>
      <c r="H28" s="554">
        <v>286157</v>
      </c>
      <c r="I28" s="554">
        <v>1087064</v>
      </c>
      <c r="J28" s="554">
        <v>258163</v>
      </c>
      <c r="K28" s="554">
        <v>121306</v>
      </c>
      <c r="L28" s="554">
        <v>71625</v>
      </c>
      <c r="M28" s="554">
        <v>1792935</v>
      </c>
      <c r="N28" s="554">
        <v>7166566</v>
      </c>
      <c r="O28" s="554">
        <v>828055</v>
      </c>
      <c r="P28" s="554">
        <v>1850064</v>
      </c>
      <c r="Q28" s="554">
        <v>187550</v>
      </c>
      <c r="R28" s="554">
        <v>132050</v>
      </c>
      <c r="S28" s="554">
        <v>256400</v>
      </c>
      <c r="T28" s="554">
        <v>84100</v>
      </c>
      <c r="U28" s="554">
        <v>58194</v>
      </c>
      <c r="V28" s="554">
        <v>248832</v>
      </c>
      <c r="W28" s="554">
        <v>-2413755</v>
      </c>
      <c r="X28" s="554">
        <v>0</v>
      </c>
      <c r="Y28" s="554">
        <v>5207078</v>
      </c>
      <c r="Z28" s="554">
        <v>0</v>
      </c>
      <c r="AA28" s="554">
        <v>0</v>
      </c>
      <c r="AB28" s="554">
        <v>174460</v>
      </c>
      <c r="AC28" s="554">
        <v>13463318</v>
      </c>
      <c r="AD28" s="554">
        <v>435863</v>
      </c>
      <c r="AE28" s="554">
        <v>3306443</v>
      </c>
      <c r="AF28" s="554">
        <v>15191684</v>
      </c>
      <c r="AG28" s="554">
        <v>4515280</v>
      </c>
    </row>
    <row r="29" spans="1:33">
      <c r="A29" s="564" t="s">
        <v>2018</v>
      </c>
      <c r="B29" s="555">
        <v>4209146</v>
      </c>
      <c r="C29" s="555">
        <f t="shared" si="0"/>
        <v>2184.2999481058641</v>
      </c>
      <c r="D29" s="555">
        <v>0</v>
      </c>
      <c r="E29" s="555">
        <v>624364</v>
      </c>
      <c r="F29" s="555">
        <v>131058</v>
      </c>
      <c r="G29" s="555">
        <v>135427</v>
      </c>
      <c r="H29" s="555">
        <v>200956</v>
      </c>
      <c r="I29" s="555">
        <v>700125</v>
      </c>
      <c r="J29" s="555">
        <v>181297</v>
      </c>
      <c r="K29" s="555">
        <v>85188</v>
      </c>
      <c r="L29" s="555">
        <v>35875</v>
      </c>
      <c r="M29" s="555">
        <v>1404765</v>
      </c>
      <c r="N29" s="555">
        <v>31897794</v>
      </c>
      <c r="O29" s="555">
        <v>1350544</v>
      </c>
      <c r="P29" s="555">
        <v>858382</v>
      </c>
      <c r="Q29" s="555">
        <v>55083</v>
      </c>
      <c r="R29" s="555">
        <v>150300</v>
      </c>
      <c r="S29" s="555">
        <v>99000</v>
      </c>
      <c r="T29" s="555">
        <v>49200</v>
      </c>
      <c r="U29" s="555">
        <v>34543</v>
      </c>
      <c r="V29" s="555">
        <v>174744</v>
      </c>
      <c r="W29" s="555">
        <v>-10725384</v>
      </c>
      <c r="X29" s="555">
        <v>0</v>
      </c>
      <c r="Y29" s="555">
        <v>111953</v>
      </c>
      <c r="Z29" s="555">
        <v>0</v>
      </c>
      <c r="AA29" s="555">
        <v>1313234</v>
      </c>
      <c r="AB29" s="555">
        <v>159340</v>
      </c>
      <c r="AC29" s="555">
        <v>54581854</v>
      </c>
      <c r="AD29" s="555">
        <v>1130047</v>
      </c>
      <c r="AE29" s="555">
        <v>2474480</v>
      </c>
      <c r="AF29" s="555">
        <v>14208483</v>
      </c>
      <c r="AG29" s="555">
        <v>4526949</v>
      </c>
    </row>
    <row r="30" spans="1:33">
      <c r="A30" s="563" t="s">
        <v>2019</v>
      </c>
      <c r="B30" s="554">
        <v>3965381</v>
      </c>
      <c r="C30" s="554">
        <f t="shared" si="0"/>
        <v>2057.8002075765439</v>
      </c>
      <c r="D30" s="554">
        <v>32630</v>
      </c>
      <c r="E30" s="554">
        <v>816779</v>
      </c>
      <c r="F30" s="554">
        <v>123468</v>
      </c>
      <c r="G30" s="554">
        <v>127584</v>
      </c>
      <c r="H30" s="554">
        <v>189318</v>
      </c>
      <c r="I30" s="554">
        <v>639146</v>
      </c>
      <c r="J30" s="554">
        <v>170797</v>
      </c>
      <c r="K30" s="554">
        <v>94659</v>
      </c>
      <c r="L30" s="554">
        <v>41750</v>
      </c>
      <c r="M30" s="554">
        <v>1739925</v>
      </c>
      <c r="N30" s="554">
        <v>5317879</v>
      </c>
      <c r="O30" s="554">
        <v>1410405</v>
      </c>
      <c r="P30" s="554">
        <v>864322</v>
      </c>
      <c r="Q30" s="554">
        <v>49006</v>
      </c>
      <c r="R30" s="554">
        <v>133800</v>
      </c>
      <c r="S30" s="554">
        <v>36000</v>
      </c>
      <c r="T30" s="554">
        <v>29700</v>
      </c>
      <c r="U30" s="554">
        <v>28394</v>
      </c>
      <c r="V30" s="554">
        <v>164624</v>
      </c>
      <c r="W30" s="554">
        <v>-1614957</v>
      </c>
      <c r="X30" s="554">
        <v>0</v>
      </c>
      <c r="Y30" s="554">
        <v>0</v>
      </c>
      <c r="Z30" s="554">
        <v>0</v>
      </c>
      <c r="AA30" s="554">
        <v>2400036</v>
      </c>
      <c r="AB30" s="554">
        <v>194880</v>
      </c>
      <c r="AC30" s="554">
        <v>8048218</v>
      </c>
      <c r="AD30" s="554">
        <v>876105</v>
      </c>
      <c r="AE30" s="554">
        <v>1928003</v>
      </c>
      <c r="AF30" s="554">
        <v>11410158</v>
      </c>
      <c r="AG30" s="554">
        <v>3438986</v>
      </c>
    </row>
    <row r="31" spans="1:33">
      <c r="A31" s="564" t="s">
        <v>2020</v>
      </c>
      <c r="B31" s="555">
        <v>4048242</v>
      </c>
      <c r="C31" s="555">
        <f t="shared" si="0"/>
        <v>2100.8002075765439</v>
      </c>
      <c r="D31" s="555">
        <v>85720</v>
      </c>
      <c r="E31" s="555">
        <v>601017</v>
      </c>
      <c r="F31" s="555">
        <v>126048</v>
      </c>
      <c r="G31" s="555">
        <v>130250</v>
      </c>
      <c r="H31" s="555">
        <v>193274</v>
      </c>
      <c r="I31" s="555">
        <v>669176</v>
      </c>
      <c r="J31" s="555">
        <v>174366</v>
      </c>
      <c r="K31" s="555">
        <v>81931</v>
      </c>
      <c r="L31" s="555">
        <v>42500</v>
      </c>
      <c r="M31" s="555">
        <v>1179900</v>
      </c>
      <c r="N31" s="555">
        <v>9293321</v>
      </c>
      <c r="O31" s="555">
        <v>1501555</v>
      </c>
      <c r="P31" s="555">
        <v>1264449</v>
      </c>
      <c r="Q31" s="555">
        <v>77798</v>
      </c>
      <c r="R31" s="555">
        <v>80025</v>
      </c>
      <c r="S31" s="555">
        <v>108000</v>
      </c>
      <c r="T31" s="555">
        <v>97700</v>
      </c>
      <c r="U31" s="555">
        <v>30589</v>
      </c>
      <c r="V31" s="555">
        <v>168064</v>
      </c>
      <c r="W31" s="555">
        <v>-3550472</v>
      </c>
      <c r="X31" s="555">
        <v>0</v>
      </c>
      <c r="Y31" s="555">
        <v>0</v>
      </c>
      <c r="Z31" s="555">
        <v>0</v>
      </c>
      <c r="AA31" s="555">
        <v>1061352</v>
      </c>
      <c r="AB31" s="555">
        <v>120620</v>
      </c>
      <c r="AC31" s="555">
        <v>15147683</v>
      </c>
      <c r="AD31" s="555">
        <v>852479</v>
      </c>
      <c r="AE31" s="555">
        <v>2246066</v>
      </c>
      <c r="AF31" s="555">
        <v>14743760</v>
      </c>
      <c r="AG31" s="555">
        <v>3734643</v>
      </c>
    </row>
    <row r="32" spans="1:33">
      <c r="A32" s="563" t="s">
        <v>2021</v>
      </c>
      <c r="B32" s="554">
        <v>30279915</v>
      </c>
      <c r="C32" s="554">
        <f t="shared" si="0"/>
        <v>15713.50025947068</v>
      </c>
      <c r="D32" s="554">
        <v>0</v>
      </c>
      <c r="E32" s="554">
        <v>0</v>
      </c>
      <c r="F32" s="554">
        <v>942810</v>
      </c>
      <c r="G32" s="554">
        <v>974237</v>
      </c>
      <c r="H32" s="554">
        <v>1445642</v>
      </c>
      <c r="I32" s="554">
        <v>5289718</v>
      </c>
      <c r="J32" s="554">
        <v>1304221</v>
      </c>
      <c r="K32" s="554">
        <v>612827</v>
      </c>
      <c r="L32" s="554">
        <v>344525</v>
      </c>
      <c r="M32" s="554">
        <v>6907545</v>
      </c>
      <c r="N32" s="554">
        <v>19960743</v>
      </c>
      <c r="O32" s="554">
        <v>1844470</v>
      </c>
      <c r="P32" s="554">
        <v>9481504</v>
      </c>
      <c r="Q32" s="554">
        <v>908435</v>
      </c>
      <c r="R32" s="554">
        <v>786050</v>
      </c>
      <c r="S32" s="554">
        <v>864000</v>
      </c>
      <c r="T32" s="554">
        <v>737000</v>
      </c>
      <c r="U32" s="554">
        <v>236241</v>
      </c>
      <c r="V32" s="554">
        <v>1380080</v>
      </c>
      <c r="W32" s="554">
        <v>-4866630</v>
      </c>
      <c r="X32" s="554">
        <v>0</v>
      </c>
      <c r="Y32" s="554">
        <v>26498365</v>
      </c>
      <c r="Z32" s="554">
        <v>3036165</v>
      </c>
      <c r="AA32" s="554">
        <v>0</v>
      </c>
      <c r="AB32" s="554">
        <v>698640</v>
      </c>
      <c r="AC32" s="554">
        <v>41057360</v>
      </c>
      <c r="AD32" s="554">
        <v>1242103</v>
      </c>
      <c r="AE32" s="554">
        <v>23781911</v>
      </c>
      <c r="AF32" s="554">
        <v>66879058</v>
      </c>
      <c r="AG32" s="554">
        <v>30475673</v>
      </c>
    </row>
    <row r="33" spans="1:33">
      <c r="A33" s="564" t="s">
        <v>2022</v>
      </c>
      <c r="B33" s="555">
        <v>3038108</v>
      </c>
      <c r="C33" s="555">
        <f t="shared" si="0"/>
        <v>1576.599896211728</v>
      </c>
      <c r="D33" s="555">
        <v>66450</v>
      </c>
      <c r="E33" s="555">
        <v>468252</v>
      </c>
      <c r="F33" s="555">
        <v>94596</v>
      </c>
      <c r="G33" s="555">
        <v>97749</v>
      </c>
      <c r="H33" s="555">
        <v>145047</v>
      </c>
      <c r="I33" s="555">
        <v>506668</v>
      </c>
      <c r="J33" s="555">
        <v>130858</v>
      </c>
      <c r="K33" s="555">
        <v>72524</v>
      </c>
      <c r="L33" s="555">
        <v>27000</v>
      </c>
      <c r="M33" s="555">
        <v>1158525</v>
      </c>
      <c r="N33" s="555">
        <v>7340053</v>
      </c>
      <c r="O33" s="555">
        <v>885462</v>
      </c>
      <c r="P33" s="555">
        <v>589976</v>
      </c>
      <c r="Q33" s="555">
        <v>19195</v>
      </c>
      <c r="R33" s="555">
        <v>35650</v>
      </c>
      <c r="S33" s="555">
        <v>74000</v>
      </c>
      <c r="T33" s="555">
        <v>4600</v>
      </c>
      <c r="U33" s="555">
        <v>22514</v>
      </c>
      <c r="V33" s="555">
        <v>126128</v>
      </c>
      <c r="W33" s="555">
        <v>-2646775</v>
      </c>
      <c r="X33" s="555">
        <v>0</v>
      </c>
      <c r="Y33" s="555">
        <v>137141</v>
      </c>
      <c r="Z33" s="555">
        <v>0</v>
      </c>
      <c r="AA33" s="555">
        <v>1721426</v>
      </c>
      <c r="AB33" s="555">
        <v>132780</v>
      </c>
      <c r="AC33" s="555">
        <v>12990361</v>
      </c>
      <c r="AD33" s="555">
        <v>748613</v>
      </c>
      <c r="AE33" s="555">
        <v>2221271</v>
      </c>
      <c r="AF33" s="555">
        <v>9803407</v>
      </c>
      <c r="AG33" s="555">
        <v>3618056</v>
      </c>
    </row>
    <row r="34" spans="1:33">
      <c r="A34" s="563" t="s">
        <v>2023</v>
      </c>
      <c r="B34" s="554">
        <v>8070469</v>
      </c>
      <c r="C34" s="554">
        <f t="shared" si="0"/>
        <v>4188.1001556824076</v>
      </c>
      <c r="D34" s="554">
        <v>0</v>
      </c>
      <c r="E34" s="554">
        <v>454001</v>
      </c>
      <c r="F34" s="554">
        <v>251286</v>
      </c>
      <c r="G34" s="554">
        <v>259662</v>
      </c>
      <c r="H34" s="554">
        <v>385305</v>
      </c>
      <c r="I34" s="554">
        <v>1378763</v>
      </c>
      <c r="J34" s="554">
        <v>347612</v>
      </c>
      <c r="K34" s="554">
        <v>163336</v>
      </c>
      <c r="L34" s="554">
        <v>76500</v>
      </c>
      <c r="M34" s="554">
        <v>1706580</v>
      </c>
      <c r="N34" s="554">
        <v>9050616</v>
      </c>
      <c r="O34" s="554">
        <v>1820319</v>
      </c>
      <c r="P34" s="554">
        <v>2390811</v>
      </c>
      <c r="Q34" s="554">
        <v>138931</v>
      </c>
      <c r="R34" s="554">
        <v>167125</v>
      </c>
      <c r="S34" s="554">
        <v>396000</v>
      </c>
      <c r="T34" s="554">
        <v>347200</v>
      </c>
      <c r="U34" s="554">
        <v>71176</v>
      </c>
      <c r="V34" s="554">
        <v>335048</v>
      </c>
      <c r="W34" s="554">
        <v>-3785251</v>
      </c>
      <c r="X34" s="554">
        <v>0</v>
      </c>
      <c r="Y34" s="554">
        <v>10063496</v>
      </c>
      <c r="Z34" s="554">
        <v>0</v>
      </c>
      <c r="AA34" s="554">
        <v>0</v>
      </c>
      <c r="AB34" s="554">
        <v>148780</v>
      </c>
      <c r="AC34" s="554">
        <v>21128419</v>
      </c>
      <c r="AD34" s="554">
        <v>2149245</v>
      </c>
      <c r="AE34" s="554">
        <v>4966284</v>
      </c>
      <c r="AF34" s="554">
        <v>16819967</v>
      </c>
      <c r="AG34" s="554">
        <v>7962630</v>
      </c>
    </row>
    <row r="35" spans="1:33">
      <c r="A35" s="564" t="s">
        <v>2024</v>
      </c>
      <c r="B35" s="555">
        <v>21136685</v>
      </c>
      <c r="C35" s="555">
        <f t="shared" si="0"/>
        <v>10968.700051894137</v>
      </c>
      <c r="D35" s="555">
        <v>0</v>
      </c>
      <c r="E35" s="555">
        <v>0</v>
      </c>
      <c r="F35" s="555">
        <v>658122</v>
      </c>
      <c r="G35" s="555">
        <v>680059</v>
      </c>
      <c r="H35" s="555">
        <v>1009120</v>
      </c>
      <c r="I35" s="555">
        <v>3764603</v>
      </c>
      <c r="J35" s="555">
        <v>910402</v>
      </c>
      <c r="K35" s="555">
        <v>427779</v>
      </c>
      <c r="L35" s="555">
        <v>263875</v>
      </c>
      <c r="M35" s="555">
        <v>3738060</v>
      </c>
      <c r="N35" s="555">
        <v>44192965</v>
      </c>
      <c r="O35" s="555">
        <v>1048861</v>
      </c>
      <c r="P35" s="555">
        <v>6363553</v>
      </c>
      <c r="Q35" s="555">
        <v>433813</v>
      </c>
      <c r="R35" s="555">
        <v>751900</v>
      </c>
      <c r="S35" s="555">
        <v>359500</v>
      </c>
      <c r="T35" s="555">
        <v>446000</v>
      </c>
      <c r="U35" s="555">
        <v>152683</v>
      </c>
      <c r="V35" s="555">
        <v>877496</v>
      </c>
      <c r="W35" s="555">
        <v>-15360638</v>
      </c>
      <c r="X35" s="555">
        <v>0</v>
      </c>
      <c r="Y35" s="555">
        <v>29402661</v>
      </c>
      <c r="Z35" s="555">
        <v>4111702</v>
      </c>
      <c r="AA35" s="555">
        <v>0</v>
      </c>
      <c r="AB35" s="555">
        <v>339460</v>
      </c>
      <c r="AC35" s="555">
        <v>98713602</v>
      </c>
      <c r="AD35" s="555">
        <v>4469862</v>
      </c>
      <c r="AE35" s="555">
        <v>12708763</v>
      </c>
      <c r="AF35" s="555">
        <v>44845316</v>
      </c>
      <c r="AG35" s="555">
        <v>22165995</v>
      </c>
    </row>
    <row r="36" spans="1:33">
      <c r="A36" s="563" t="s">
        <v>2025</v>
      </c>
      <c r="B36" s="554">
        <v>2915551</v>
      </c>
      <c r="C36" s="554">
        <f t="shared" si="0"/>
        <v>1513</v>
      </c>
      <c r="D36" s="554">
        <v>0</v>
      </c>
      <c r="E36" s="554">
        <v>535875</v>
      </c>
      <c r="F36" s="554">
        <v>90780</v>
      </c>
      <c r="G36" s="554">
        <v>93806</v>
      </c>
      <c r="H36" s="554">
        <v>139196</v>
      </c>
      <c r="I36" s="554">
        <v>472954</v>
      </c>
      <c r="J36" s="554">
        <v>125579</v>
      </c>
      <c r="K36" s="554">
        <v>69598</v>
      </c>
      <c r="L36" s="554">
        <v>27125</v>
      </c>
      <c r="M36" s="554">
        <v>1028565</v>
      </c>
      <c r="N36" s="554">
        <v>5779070</v>
      </c>
      <c r="O36" s="554">
        <v>1086994</v>
      </c>
      <c r="P36" s="554">
        <v>592254</v>
      </c>
      <c r="Q36" s="554">
        <v>62205</v>
      </c>
      <c r="R36" s="554">
        <v>53250</v>
      </c>
      <c r="S36" s="554">
        <v>36000</v>
      </c>
      <c r="T36" s="554">
        <v>3100</v>
      </c>
      <c r="U36" s="554">
        <v>24480</v>
      </c>
      <c r="V36" s="554">
        <v>121040</v>
      </c>
      <c r="W36" s="554">
        <v>-1752903</v>
      </c>
      <c r="X36" s="554">
        <v>0</v>
      </c>
      <c r="Y36" s="554">
        <v>0</v>
      </c>
      <c r="Z36" s="554">
        <v>0</v>
      </c>
      <c r="AA36" s="554">
        <v>1056503</v>
      </c>
      <c r="AB36" s="554">
        <v>109560</v>
      </c>
      <c r="AC36" s="554">
        <v>8974783</v>
      </c>
      <c r="AD36" s="554">
        <v>743287</v>
      </c>
      <c r="AE36" s="554">
        <v>1778996</v>
      </c>
      <c r="AF36" s="554">
        <v>11427562</v>
      </c>
      <c r="AG36" s="554">
        <v>3164057</v>
      </c>
    </row>
    <row r="37" spans="1:33">
      <c r="A37" s="564" t="s">
        <v>2026</v>
      </c>
      <c r="B37" s="555">
        <v>15364549</v>
      </c>
      <c r="C37" s="555">
        <f t="shared" si="0"/>
        <v>7973.2999481058641</v>
      </c>
      <c r="D37" s="555">
        <v>0</v>
      </c>
      <c r="E37" s="555">
        <v>0</v>
      </c>
      <c r="F37" s="555">
        <v>478398</v>
      </c>
      <c r="G37" s="555">
        <v>494345</v>
      </c>
      <c r="H37" s="555">
        <v>733544</v>
      </c>
      <c r="I37" s="555">
        <v>2712745</v>
      </c>
      <c r="J37" s="555">
        <v>661784</v>
      </c>
      <c r="K37" s="555">
        <v>310959</v>
      </c>
      <c r="L37" s="555">
        <v>179750</v>
      </c>
      <c r="M37" s="555">
        <v>4111695</v>
      </c>
      <c r="N37" s="555">
        <v>17782961</v>
      </c>
      <c r="O37" s="555">
        <v>755094</v>
      </c>
      <c r="P37" s="555">
        <v>4847668</v>
      </c>
      <c r="Q37" s="555">
        <v>616935</v>
      </c>
      <c r="R37" s="555">
        <v>485850</v>
      </c>
      <c r="S37" s="555">
        <v>371200</v>
      </c>
      <c r="T37" s="555">
        <v>385200</v>
      </c>
      <c r="U37" s="555">
        <v>111795</v>
      </c>
      <c r="V37" s="555">
        <v>753864</v>
      </c>
      <c r="W37" s="555">
        <v>-6164045</v>
      </c>
      <c r="X37" s="555">
        <v>0</v>
      </c>
      <c r="Y37" s="555">
        <v>2993627</v>
      </c>
      <c r="Z37" s="555">
        <v>0</v>
      </c>
      <c r="AA37" s="555">
        <v>538036</v>
      </c>
      <c r="AB37" s="555">
        <v>486300</v>
      </c>
      <c r="AC37" s="555">
        <v>22860090</v>
      </c>
      <c r="AD37" s="555">
        <v>3410913</v>
      </c>
      <c r="AE37" s="555">
        <v>12897194</v>
      </c>
      <c r="AF37" s="555">
        <v>49225406</v>
      </c>
      <c r="AG37" s="555">
        <v>19403360</v>
      </c>
    </row>
    <row r="38" spans="1:33">
      <c r="A38" s="563" t="s">
        <v>2027</v>
      </c>
      <c r="B38" s="554">
        <v>8480218</v>
      </c>
      <c r="C38" s="554">
        <f t="shared" si="0"/>
        <v>4400.7358588479501</v>
      </c>
      <c r="D38" s="554">
        <v>0</v>
      </c>
      <c r="E38" s="554">
        <v>477741</v>
      </c>
      <c r="F38" s="554">
        <v>264120</v>
      </c>
      <c r="G38" s="554">
        <v>272924</v>
      </c>
      <c r="H38" s="554">
        <v>404984</v>
      </c>
      <c r="I38" s="554">
        <v>1428546</v>
      </c>
      <c r="J38" s="554">
        <v>365366</v>
      </c>
      <c r="K38" s="554">
        <v>171678</v>
      </c>
      <c r="L38" s="554">
        <v>85000</v>
      </c>
      <c r="M38" s="554">
        <v>2074230</v>
      </c>
      <c r="N38" s="554">
        <v>28617926</v>
      </c>
      <c r="O38" s="554">
        <v>2910577</v>
      </c>
      <c r="P38" s="554">
        <v>2610883</v>
      </c>
      <c r="Q38" s="554">
        <v>165165</v>
      </c>
      <c r="R38" s="554">
        <v>102600</v>
      </c>
      <c r="S38" s="554">
        <v>255000</v>
      </c>
      <c r="T38" s="554">
        <v>167700</v>
      </c>
      <c r="U38" s="554">
        <v>59914</v>
      </c>
      <c r="V38" s="554">
        <v>352160</v>
      </c>
      <c r="W38" s="554">
        <v>-9537401</v>
      </c>
      <c r="X38" s="554">
        <v>0</v>
      </c>
      <c r="Y38" s="554">
        <v>4009445</v>
      </c>
      <c r="Z38" s="554">
        <v>0</v>
      </c>
      <c r="AA38" s="554">
        <v>0</v>
      </c>
      <c r="AB38" s="554">
        <v>213360</v>
      </c>
      <c r="AC38" s="554">
        <v>47514001</v>
      </c>
      <c r="AD38" s="554">
        <v>2593995</v>
      </c>
      <c r="AE38" s="554">
        <v>7140415</v>
      </c>
      <c r="AF38" s="554">
        <v>28736106</v>
      </c>
      <c r="AG38" s="554">
        <v>12645459</v>
      </c>
    </row>
    <row r="39" spans="1:33">
      <c r="A39" s="564" t="s">
        <v>2028</v>
      </c>
      <c r="B39" s="555">
        <v>2639027</v>
      </c>
      <c r="C39" s="555">
        <f t="shared" si="0"/>
        <v>1369.5002594706798</v>
      </c>
      <c r="D39" s="555">
        <v>14660</v>
      </c>
      <c r="E39" s="555">
        <v>267110</v>
      </c>
      <c r="F39" s="555">
        <v>82170</v>
      </c>
      <c r="G39" s="555">
        <v>84909</v>
      </c>
      <c r="H39" s="555">
        <v>125994</v>
      </c>
      <c r="I39" s="555">
        <v>461820</v>
      </c>
      <c r="J39" s="555">
        <v>113669</v>
      </c>
      <c r="K39" s="555">
        <v>69845</v>
      </c>
      <c r="L39" s="555">
        <v>27300</v>
      </c>
      <c r="M39" s="555">
        <v>1058490</v>
      </c>
      <c r="N39" s="555">
        <v>5645528</v>
      </c>
      <c r="O39" s="555">
        <v>1029688</v>
      </c>
      <c r="P39" s="555">
        <v>724652</v>
      </c>
      <c r="Q39" s="555">
        <v>179658</v>
      </c>
      <c r="R39" s="555">
        <v>4350</v>
      </c>
      <c r="S39" s="555">
        <v>146000</v>
      </c>
      <c r="T39" s="555">
        <v>27000</v>
      </c>
      <c r="U39" s="555">
        <v>20527</v>
      </c>
      <c r="V39" s="555">
        <v>109560</v>
      </c>
      <c r="W39" s="555">
        <v>-1987790</v>
      </c>
      <c r="X39" s="555">
        <v>0</v>
      </c>
      <c r="Y39" s="555">
        <v>2905538</v>
      </c>
      <c r="Z39" s="555">
        <v>557431</v>
      </c>
      <c r="AA39" s="555">
        <v>466672</v>
      </c>
      <c r="AB39" s="555">
        <v>145500</v>
      </c>
      <c r="AC39" s="555">
        <v>11722311</v>
      </c>
      <c r="AD39" s="555">
        <v>1035367</v>
      </c>
      <c r="AE39" s="555">
        <v>1608001</v>
      </c>
      <c r="AF39" s="555">
        <v>6233632</v>
      </c>
      <c r="AG39" s="555">
        <v>3203601</v>
      </c>
    </row>
    <row r="40" spans="1:33">
      <c r="A40" s="563" t="s">
        <v>2029</v>
      </c>
      <c r="B40" s="554">
        <v>1867263</v>
      </c>
      <c r="C40" s="554">
        <f t="shared" si="0"/>
        <v>969</v>
      </c>
      <c r="D40" s="554">
        <v>39806</v>
      </c>
      <c r="E40" s="554">
        <v>245669</v>
      </c>
      <c r="F40" s="554">
        <v>58140</v>
      </c>
      <c r="G40" s="554">
        <v>60078</v>
      </c>
      <c r="H40" s="554">
        <v>89148</v>
      </c>
      <c r="I40" s="554">
        <v>306152</v>
      </c>
      <c r="J40" s="554">
        <v>80427</v>
      </c>
      <c r="K40" s="554">
        <v>44574</v>
      </c>
      <c r="L40" s="554">
        <v>18250</v>
      </c>
      <c r="M40" s="554">
        <v>585675</v>
      </c>
      <c r="N40" s="554">
        <v>18839458</v>
      </c>
      <c r="O40" s="554">
        <v>571635</v>
      </c>
      <c r="P40" s="554">
        <v>378942</v>
      </c>
      <c r="Q40" s="554">
        <v>33110</v>
      </c>
      <c r="R40" s="554">
        <v>75500</v>
      </c>
      <c r="S40" s="554">
        <v>27000</v>
      </c>
      <c r="T40" s="554">
        <v>600</v>
      </c>
      <c r="U40" s="554">
        <v>12592</v>
      </c>
      <c r="V40" s="554">
        <v>77520</v>
      </c>
      <c r="W40" s="554">
        <v>-7167459</v>
      </c>
      <c r="X40" s="554">
        <v>0</v>
      </c>
      <c r="Y40" s="554">
        <v>67847</v>
      </c>
      <c r="Z40" s="554">
        <v>0</v>
      </c>
      <c r="AA40" s="554">
        <v>1004333</v>
      </c>
      <c r="AB40" s="554">
        <v>61080</v>
      </c>
      <c r="AC40" s="554">
        <v>34565398</v>
      </c>
      <c r="AD40" s="554">
        <v>0</v>
      </c>
      <c r="AE40" s="554">
        <v>1285625</v>
      </c>
      <c r="AF40" s="554">
        <v>6039183</v>
      </c>
      <c r="AG40" s="554">
        <v>1839811</v>
      </c>
    </row>
    <row r="41" spans="1:33">
      <c r="A41" s="564" t="s">
        <v>2030</v>
      </c>
      <c r="B41" s="555">
        <v>1336953</v>
      </c>
      <c r="C41" s="555">
        <f t="shared" si="0"/>
        <v>693.80020757654381</v>
      </c>
      <c r="D41" s="555">
        <v>50592</v>
      </c>
      <c r="E41" s="555">
        <v>295992</v>
      </c>
      <c r="F41" s="555">
        <v>41628</v>
      </c>
      <c r="G41" s="555">
        <v>43016</v>
      </c>
      <c r="H41" s="555">
        <v>63830</v>
      </c>
      <c r="I41" s="555">
        <v>286278</v>
      </c>
      <c r="J41" s="555">
        <v>57585</v>
      </c>
      <c r="K41" s="555">
        <v>31915</v>
      </c>
      <c r="L41" s="555">
        <v>12750</v>
      </c>
      <c r="M41" s="555">
        <v>601065</v>
      </c>
      <c r="N41" s="555">
        <v>11294564</v>
      </c>
      <c r="O41" s="555">
        <v>771682</v>
      </c>
      <c r="P41" s="555">
        <v>422344</v>
      </c>
      <c r="Q41" s="555">
        <v>29315</v>
      </c>
      <c r="R41" s="555">
        <v>18150</v>
      </c>
      <c r="S41" s="555">
        <v>99000</v>
      </c>
      <c r="T41" s="555">
        <v>9700</v>
      </c>
      <c r="U41" s="555">
        <v>10384</v>
      </c>
      <c r="V41" s="555">
        <v>55504</v>
      </c>
      <c r="W41" s="555">
        <v>-6119813</v>
      </c>
      <c r="X41" s="555">
        <v>0</v>
      </c>
      <c r="Y41" s="555">
        <v>2346581</v>
      </c>
      <c r="Z41" s="555">
        <v>434059</v>
      </c>
      <c r="AA41" s="555">
        <v>0</v>
      </c>
      <c r="AB41" s="555">
        <v>67660</v>
      </c>
      <c r="AC41" s="555">
        <v>23632558</v>
      </c>
      <c r="AD41" s="555">
        <v>390766</v>
      </c>
      <c r="AE41" s="555">
        <v>720734</v>
      </c>
      <c r="AF41" s="555">
        <v>2710354</v>
      </c>
      <c r="AG41" s="555">
        <v>1491119</v>
      </c>
    </row>
    <row r="42" spans="1:33">
      <c r="A42" s="563" t="s">
        <v>2031</v>
      </c>
      <c r="B42" s="554">
        <v>3278598</v>
      </c>
      <c r="C42" s="554">
        <f t="shared" si="0"/>
        <v>1701.400103788272</v>
      </c>
      <c r="D42" s="554">
        <v>0</v>
      </c>
      <c r="E42" s="554">
        <v>0</v>
      </c>
      <c r="F42" s="554">
        <v>102084</v>
      </c>
      <c r="G42" s="554">
        <v>105487</v>
      </c>
      <c r="H42" s="554">
        <v>156529</v>
      </c>
      <c r="I42" s="554">
        <v>541603</v>
      </c>
      <c r="J42" s="554">
        <v>141216</v>
      </c>
      <c r="K42" s="554">
        <v>78264</v>
      </c>
      <c r="L42" s="554">
        <v>32875</v>
      </c>
      <c r="M42" s="554">
        <v>600210</v>
      </c>
      <c r="N42" s="554">
        <v>4734032</v>
      </c>
      <c r="O42" s="554">
        <v>517572</v>
      </c>
      <c r="P42" s="554">
        <v>619715</v>
      </c>
      <c r="Q42" s="554">
        <v>65010</v>
      </c>
      <c r="R42" s="554">
        <v>168025</v>
      </c>
      <c r="S42" s="554">
        <v>27000</v>
      </c>
      <c r="T42" s="554">
        <v>62300</v>
      </c>
      <c r="U42" s="554">
        <v>27200</v>
      </c>
      <c r="V42" s="554">
        <v>136112</v>
      </c>
      <c r="W42" s="554">
        <v>-2309960</v>
      </c>
      <c r="X42" s="554">
        <v>0</v>
      </c>
      <c r="Y42" s="554">
        <v>3860969</v>
      </c>
      <c r="Z42" s="554">
        <v>0</v>
      </c>
      <c r="AA42" s="554">
        <v>0</v>
      </c>
      <c r="AB42" s="554">
        <v>46460</v>
      </c>
      <c r="AC42" s="554">
        <v>11145857</v>
      </c>
      <c r="AD42" s="554">
        <v>0</v>
      </c>
      <c r="AE42" s="554">
        <v>2036176</v>
      </c>
      <c r="AF42" s="554">
        <v>7230920</v>
      </c>
      <c r="AG42" s="554">
        <v>2966044</v>
      </c>
    </row>
    <row r="43" spans="1:33">
      <c r="A43" s="564" t="s">
        <v>2032</v>
      </c>
      <c r="B43" s="555">
        <v>57021833</v>
      </c>
      <c r="C43" s="555">
        <f t="shared" si="0"/>
        <v>29590.98754540737</v>
      </c>
      <c r="D43" s="555">
        <v>25759</v>
      </c>
      <c r="E43" s="555">
        <v>0</v>
      </c>
      <c r="F43" s="555">
        <v>1775460</v>
      </c>
      <c r="G43" s="555">
        <v>1834642</v>
      </c>
      <c r="H43" s="555">
        <v>2722372</v>
      </c>
      <c r="I43" s="555">
        <v>16424331</v>
      </c>
      <c r="J43" s="555">
        <v>2456053</v>
      </c>
      <c r="K43" s="555">
        <v>1154049</v>
      </c>
      <c r="L43" s="555">
        <v>736625</v>
      </c>
      <c r="M43" s="555">
        <v>14310135</v>
      </c>
      <c r="N43" s="555">
        <v>37530445</v>
      </c>
      <c r="O43" s="555">
        <v>1333129</v>
      </c>
      <c r="P43" s="555">
        <v>16617753</v>
      </c>
      <c r="Q43" s="555">
        <v>1597741</v>
      </c>
      <c r="R43" s="555">
        <v>2809720</v>
      </c>
      <c r="S43" s="555">
        <v>2379400</v>
      </c>
      <c r="T43" s="555">
        <v>959200</v>
      </c>
      <c r="U43" s="555">
        <v>522392</v>
      </c>
      <c r="V43" s="555">
        <v>2484280</v>
      </c>
      <c r="W43" s="555">
        <v>-5052059</v>
      </c>
      <c r="X43" s="555">
        <v>0</v>
      </c>
      <c r="Y43" s="555">
        <v>52487014</v>
      </c>
      <c r="Z43" s="555">
        <v>4863665</v>
      </c>
      <c r="AA43" s="555">
        <v>0</v>
      </c>
      <c r="AB43" s="555">
        <v>1356060</v>
      </c>
      <c r="AC43" s="555">
        <v>63399334</v>
      </c>
      <c r="AD43" s="555">
        <v>7983663</v>
      </c>
      <c r="AE43" s="555">
        <v>30449113</v>
      </c>
      <c r="AF43" s="555">
        <v>155750429</v>
      </c>
      <c r="AG43" s="555">
        <v>58437971</v>
      </c>
    </row>
    <row r="44" spans="1:33">
      <c r="C44">
        <f t="shared" si="0"/>
        <v>0</v>
      </c>
      <c r="AG44">
        <v>0</v>
      </c>
    </row>
    <row r="45" spans="1:33">
      <c r="A45" s="1377" t="s">
        <v>452</v>
      </c>
      <c r="B45" s="1378">
        <f t="shared" ref="B45:H45" si="1">SUM(B8:B43)</f>
        <v>328354293</v>
      </c>
      <c r="C45" s="1378">
        <f t="shared" si="0"/>
        <v>170396.6232485729</v>
      </c>
      <c r="D45" s="1378">
        <f t="shared" si="1"/>
        <v>802429</v>
      </c>
      <c r="E45" s="1378">
        <f t="shared" si="1"/>
        <v>11002656</v>
      </c>
      <c r="F45" s="1378">
        <f t="shared" si="1"/>
        <v>10223866</v>
      </c>
      <c r="G45" s="1378">
        <f t="shared" si="1"/>
        <v>10564650</v>
      </c>
      <c r="H45" s="1378">
        <f t="shared" si="1"/>
        <v>15676583</v>
      </c>
      <c r="I45" s="1378">
        <f t="shared" ref="I45:N45" si="2">SUM(I8:I43)</f>
        <v>64126531</v>
      </c>
      <c r="J45" s="1378">
        <f t="shared" si="2"/>
        <v>14143061</v>
      </c>
      <c r="K45" s="1378">
        <f t="shared" si="2"/>
        <v>6954591</v>
      </c>
      <c r="L45" s="1378">
        <f t="shared" si="2"/>
        <v>3692651</v>
      </c>
      <c r="M45" s="1378">
        <f t="shared" si="2"/>
        <v>85268270</v>
      </c>
      <c r="N45" s="1378">
        <f t="shared" si="2"/>
        <v>494688658</v>
      </c>
      <c r="O45" s="1378">
        <f t="shared" ref="O45:AC45" si="3">SUM(O8:O43)</f>
        <v>43371487</v>
      </c>
      <c r="P45" s="1378">
        <f t="shared" si="3"/>
        <v>90716732</v>
      </c>
      <c r="Q45" s="1378">
        <f t="shared" si="3"/>
        <v>8653465</v>
      </c>
      <c r="R45" s="1378">
        <f t="shared" si="3"/>
        <v>12085595</v>
      </c>
      <c r="S45" s="1378">
        <f t="shared" si="3"/>
        <v>10362250</v>
      </c>
      <c r="T45" s="1378">
        <f t="shared" si="3"/>
        <v>7542900</v>
      </c>
      <c r="U45" s="1378">
        <f t="shared" si="3"/>
        <v>2663573</v>
      </c>
      <c r="V45" s="1378">
        <f t="shared" si="3"/>
        <v>14181788</v>
      </c>
      <c r="W45" s="1378">
        <f t="shared" si="3"/>
        <v>-162102234</v>
      </c>
      <c r="X45" s="1378">
        <f t="shared" si="3"/>
        <v>0</v>
      </c>
      <c r="Y45" s="1378">
        <f t="shared" si="3"/>
        <v>284029050</v>
      </c>
      <c r="Z45" s="1378">
        <f t="shared" si="3"/>
        <v>23922974</v>
      </c>
      <c r="AA45" s="1378">
        <f t="shared" si="3"/>
        <v>15727269</v>
      </c>
      <c r="AB45" s="1378">
        <f t="shared" si="3"/>
        <v>8559363</v>
      </c>
      <c r="AC45" s="1378">
        <f t="shared" si="3"/>
        <v>948394219</v>
      </c>
      <c r="AD45" s="1378">
        <f>SUM(AD8:AD44)</f>
        <v>53951474</v>
      </c>
      <c r="AE45" s="1378">
        <f>SUM(AE8:AE43)</f>
        <v>209033352</v>
      </c>
      <c r="AF45" s="1378">
        <f>SUM(AF8:AF43)</f>
        <v>851852250.23835158</v>
      </c>
      <c r="AG45" s="1378">
        <v>367758763.76164842</v>
      </c>
    </row>
  </sheetData>
  <mergeCells count="34">
    <mergeCell ref="B3:H3"/>
    <mergeCell ref="D4:D6"/>
    <mergeCell ref="B5:B6"/>
    <mergeCell ref="E5:E6"/>
    <mergeCell ref="F5:F6"/>
    <mergeCell ref="G5:G6"/>
    <mergeCell ref="H5:H6"/>
    <mergeCell ref="I3:N3"/>
    <mergeCell ref="N4:N6"/>
    <mergeCell ref="I5:I6"/>
    <mergeCell ref="J5:J6"/>
    <mergeCell ref="K5:K6"/>
    <mergeCell ref="L5:L6"/>
    <mergeCell ref="O3:S3"/>
    <mergeCell ref="Q4:Q6"/>
    <mergeCell ref="R4:R6"/>
    <mergeCell ref="S4:S6"/>
    <mergeCell ref="O5:O6"/>
    <mergeCell ref="P5:P6"/>
    <mergeCell ref="Y5:Y6"/>
    <mergeCell ref="AA5:AA6"/>
    <mergeCell ref="AD5:AD6"/>
    <mergeCell ref="T3:X3"/>
    <mergeCell ref="T4:T6"/>
    <mergeCell ref="U4:U6"/>
    <mergeCell ref="V4:V6"/>
    <mergeCell ref="X4:X6"/>
    <mergeCell ref="W5:W6"/>
    <mergeCell ref="AE4:AE6"/>
    <mergeCell ref="AF4:AF5"/>
    <mergeCell ref="AG4:AG6"/>
    <mergeCell ref="Z4:Z6"/>
    <mergeCell ref="AB4:AB6"/>
    <mergeCell ref="AC4:AC6"/>
  </mergeCell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6">
    <pageSetUpPr autoPageBreaks="0" fitToPage="1"/>
  </sheetPr>
  <dimension ref="A1:DL52"/>
  <sheetViews>
    <sheetView topLeftCell="D1" workbookViewId="0">
      <selection activeCell="M49" sqref="M49"/>
    </sheetView>
  </sheetViews>
  <sheetFormatPr baseColWidth="10" defaultColWidth="18.796875" defaultRowHeight="15"/>
  <cols>
    <col min="1" max="1" width="28.796875" style="4" customWidth="1"/>
    <col min="2" max="3" width="18.796875" style="4"/>
    <col min="4" max="4" width="19.796875" style="4" customWidth="1"/>
    <col min="5" max="5" width="18.796875" style="4"/>
    <col min="6" max="6" width="6.19921875" style="4" customWidth="1"/>
    <col min="7" max="7" width="16.3984375" style="4" customWidth="1"/>
    <col min="8" max="8" width="18.796875" customWidth="1"/>
    <col min="9" max="9" width="6.19921875" customWidth="1"/>
    <col min="10" max="10" width="23.3984375" style="4" customWidth="1"/>
    <col min="11" max="11" width="19.19921875" style="4" customWidth="1"/>
    <col min="12" max="12" width="18.796875" style="4"/>
    <col min="13" max="13" width="21.796875" style="4" customWidth="1"/>
    <col min="14" max="23" width="18.796875" style="4"/>
    <col min="24" max="27" width="18.796875" style="4" customWidth="1"/>
    <col min="28" max="44" width="18.796875" style="4"/>
    <col min="45" max="45" width="19" style="4" customWidth="1"/>
    <col min="46" max="16384" width="18.796875" style="4"/>
  </cols>
  <sheetData>
    <row r="1" spans="1:116" ht="15" customHeight="1">
      <c r="D1" s="3"/>
      <c r="E1" s="3"/>
      <c r="F1" s="3"/>
      <c r="G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row>
    <row r="2" spans="1:116" ht="20.25" customHeight="1">
      <c r="A2" s="402" t="s">
        <v>2033</v>
      </c>
      <c r="B2" s="402"/>
      <c r="C2" s="402"/>
      <c r="D2" s="402"/>
      <c r="E2" s="402"/>
      <c r="F2" s="53"/>
      <c r="G2" s="3"/>
      <c r="J2" s="402" t="s">
        <v>2034</v>
      </c>
      <c r="K2" s="3"/>
      <c r="L2" s="3"/>
      <c r="M2" s="3"/>
      <c r="N2" s="1364" t="s">
        <v>433</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row>
    <row r="3" spans="1:116" ht="15" customHeight="1">
      <c r="A3" s="3"/>
      <c r="B3" s="3"/>
      <c r="C3" s="3"/>
      <c r="D3" s="3"/>
      <c r="E3" s="3"/>
      <c r="F3" s="3"/>
      <c r="G3" s="3"/>
      <c r="J3" s="3"/>
      <c r="K3" s="3"/>
      <c r="L3" s="3"/>
      <c r="M3" s="3"/>
      <c r="N3" s="204" t="s">
        <v>439</v>
      </c>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row>
    <row r="4" spans="1:116" ht="15" customHeight="1">
      <c r="A4" s="3"/>
      <c r="B4" s="1766" t="s">
        <v>2035</v>
      </c>
      <c r="C4" s="1767"/>
      <c r="D4" s="1767"/>
      <c r="E4" s="1768"/>
      <c r="F4" s="54"/>
      <c r="G4" s="3"/>
      <c r="J4" s="3"/>
      <c r="K4" s="3"/>
      <c r="M4" s="203"/>
      <c r="N4" s="205">
        <v>10.7639</v>
      </c>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row>
    <row r="5" spans="1:116" ht="15" customHeight="1" thickBot="1">
      <c r="A5" s="5"/>
      <c r="B5" s="1766" t="s">
        <v>2036</v>
      </c>
      <c r="C5" s="1767"/>
      <c r="D5" s="1767"/>
      <c r="E5" s="1768"/>
      <c r="F5" s="54"/>
      <c r="G5"/>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row>
    <row r="6" spans="1:116" ht="15" customHeight="1" thickBot="1">
      <c r="A6" s="5"/>
      <c r="C6" s="6" t="s">
        <v>2037</v>
      </c>
      <c r="D6" s="6" t="s">
        <v>2037</v>
      </c>
      <c r="G6" s="1769" t="s">
        <v>1890</v>
      </c>
      <c r="H6" s="1770"/>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row>
    <row r="7" spans="1:116" ht="15" customHeight="1">
      <c r="A7" s="5"/>
      <c r="B7" s="6" t="s">
        <v>2038</v>
      </c>
      <c r="C7" s="6" t="s">
        <v>2039</v>
      </c>
      <c r="D7" s="6" t="s">
        <v>1463</v>
      </c>
      <c r="E7" s="3"/>
      <c r="F7" s="3"/>
      <c r="G7" s="63" t="s">
        <v>2040</v>
      </c>
      <c r="H7" s="64" t="s">
        <v>2041</v>
      </c>
      <c r="J7" s="11" t="s">
        <v>2042</v>
      </c>
      <c r="K7" s="11" t="s">
        <v>2043</v>
      </c>
      <c r="L7" s="60" t="s">
        <v>2044</v>
      </c>
      <c r="M7" s="3"/>
      <c r="N7" s="57" t="s">
        <v>72</v>
      </c>
      <c r="O7" s="57" t="s">
        <v>2038</v>
      </c>
      <c r="P7"/>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row>
    <row r="8" spans="1:116" ht="15" customHeight="1">
      <c r="A8" s="5" t="s">
        <v>429</v>
      </c>
      <c r="B8" s="6" t="s">
        <v>2045</v>
      </c>
      <c r="C8" s="6" t="s">
        <v>2046</v>
      </c>
      <c r="D8" s="6" t="s">
        <v>2047</v>
      </c>
      <c r="E8" s="6" t="s">
        <v>2048</v>
      </c>
      <c r="F8" s="6"/>
      <c r="G8" s="63" t="s">
        <v>2049</v>
      </c>
      <c r="H8" s="64" t="s">
        <v>2050</v>
      </c>
      <c r="J8" s="5" t="s">
        <v>5</v>
      </c>
      <c r="K8" s="5" t="s">
        <v>2051</v>
      </c>
      <c r="L8" s="60" t="s">
        <v>2051</v>
      </c>
      <c r="M8" s="3"/>
      <c r="N8" s="57" t="s">
        <v>2052</v>
      </c>
      <c r="O8" s="57" t="s">
        <v>2053</v>
      </c>
      <c r="P8"/>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row>
    <row r="9" spans="1:116" ht="12.75" customHeight="1">
      <c r="A9" s="178"/>
      <c r="B9" s="179"/>
      <c r="C9" s="179"/>
      <c r="D9" s="179"/>
      <c r="E9" s="179"/>
      <c r="F9" s="179"/>
      <c r="G9" s="180" t="s">
        <v>2054</v>
      </c>
      <c r="H9" s="181" t="s">
        <v>2055</v>
      </c>
      <c r="I9" s="73"/>
      <c r="J9" s="182"/>
      <c r="K9" s="182"/>
      <c r="L9" s="183"/>
      <c r="M9" s="182"/>
      <c r="N9" s="184"/>
      <c r="O9" s="182"/>
      <c r="P9"/>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1:116" ht="15" customHeight="1">
      <c r="A10" s="4" t="s">
        <v>2056</v>
      </c>
      <c r="B10" s="7">
        <v>272659</v>
      </c>
      <c r="C10" s="7">
        <v>0</v>
      </c>
      <c r="D10" s="7"/>
      <c r="E10" s="7">
        <f>SUM(B10:D10)</f>
        <v>272659</v>
      </c>
      <c r="F10" s="7"/>
      <c r="G10" s="65">
        <v>2796.67</v>
      </c>
      <c r="H10" s="64" t="s">
        <v>682</v>
      </c>
      <c r="J10" s="48">
        <f>'E. 17-18 FRAME Budget'!P10</f>
        <v>885780</v>
      </c>
      <c r="K10" s="59">
        <f>J10/E10</f>
        <v>3.2486732512038845</v>
      </c>
      <c r="L10" s="61">
        <f>(J10/E10)*$N$4</f>
        <v>34.968394008633489</v>
      </c>
      <c r="M10" s="3"/>
      <c r="N10" s="58">
        <f>E10/$N$4</f>
        <v>25330.874497161811</v>
      </c>
      <c r="O10" s="58">
        <f>B10/$N$4</f>
        <v>25330.874497161811</v>
      </c>
      <c r="P10"/>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ht="15" customHeight="1">
      <c r="A11" s="4" t="s">
        <v>844</v>
      </c>
      <c r="B11" s="7">
        <v>390464</v>
      </c>
      <c r="C11" s="7">
        <v>0</v>
      </c>
      <c r="D11" s="7"/>
      <c r="E11" s="7">
        <f t="shared" ref="E11:E45" si="0">SUM(B11:D11)</f>
        <v>390464</v>
      </c>
      <c r="F11" s="7"/>
      <c r="G11" s="65">
        <v>4875.6499999999996</v>
      </c>
      <c r="H11" s="64" t="s">
        <v>2057</v>
      </c>
      <c r="J11" s="48">
        <f>'E. 17-18 FRAME Budget'!P11</f>
        <v>1225215</v>
      </c>
      <c r="K11" s="59">
        <f t="shared" ref="K11:K47" si="1">J11/E11</f>
        <v>3.1378436936567775</v>
      </c>
      <c r="L11" s="61">
        <f t="shared" ref="L11:L45" si="2">(J11/E11)*$N$4</f>
        <v>33.77543573415219</v>
      </c>
      <c r="M11" s="3"/>
      <c r="N11" s="58">
        <f t="shared" ref="N11:N45" si="3">E11/$N$4</f>
        <v>36275.327715790743</v>
      </c>
      <c r="O11" s="58">
        <f t="shared" ref="O11:O45" si="4">B11/$N$4</f>
        <v>36275.327715790743</v>
      </c>
      <c r="P11"/>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row>
    <row r="12" spans="1:116" ht="15" customHeight="1">
      <c r="A12" s="4" t="s">
        <v>845</v>
      </c>
      <c r="B12" s="7">
        <v>1009049</v>
      </c>
      <c r="C12" s="7">
        <v>37624</v>
      </c>
      <c r="D12" s="7"/>
      <c r="E12" s="7">
        <f t="shared" si="0"/>
        <v>1046673</v>
      </c>
      <c r="F12" s="7"/>
      <c r="G12" s="65">
        <v>1345.84</v>
      </c>
      <c r="H12" s="64" t="s">
        <v>682</v>
      </c>
      <c r="J12" s="48">
        <f>'E. 17-18 FRAME Budget'!P12</f>
        <v>3032700</v>
      </c>
      <c r="K12" s="59">
        <f t="shared" si="1"/>
        <v>2.8974665439922496</v>
      </c>
      <c r="L12" s="61">
        <f t="shared" si="2"/>
        <v>31.188040132878175</v>
      </c>
      <c r="M12" s="3"/>
      <c r="N12" s="58">
        <f t="shared" si="3"/>
        <v>97239.19768857013</v>
      </c>
      <c r="O12" s="58">
        <f t="shared" si="4"/>
        <v>93743.810328969994</v>
      </c>
      <c r="P12"/>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row>
    <row r="13" spans="1:116" ht="15" customHeight="1">
      <c r="A13" s="4" t="s">
        <v>1936</v>
      </c>
      <c r="B13" s="7">
        <v>953390</v>
      </c>
      <c r="C13" s="7">
        <v>0</v>
      </c>
      <c r="D13" s="7"/>
      <c r="E13" s="7">
        <f t="shared" si="0"/>
        <v>953390</v>
      </c>
      <c r="F13" s="7"/>
      <c r="G13" s="65">
        <v>15921.72</v>
      </c>
      <c r="H13" s="64" t="s">
        <v>2057</v>
      </c>
      <c r="J13" s="48">
        <f>'E. 17-18 FRAME Budget'!P13</f>
        <v>2745405</v>
      </c>
      <c r="K13" s="59">
        <f t="shared" si="1"/>
        <v>2.8796242880667933</v>
      </c>
      <c r="L13" s="61">
        <f t="shared" si="2"/>
        <v>30.995987874322154</v>
      </c>
      <c r="M13" s="3"/>
      <c r="N13" s="58">
        <f t="shared" si="3"/>
        <v>88572.915021507084</v>
      </c>
      <c r="O13" s="58">
        <f t="shared" si="4"/>
        <v>88572.915021507084</v>
      </c>
      <c r="P1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row>
    <row r="14" spans="1:116" ht="15" customHeight="1">
      <c r="A14" s="4" t="s">
        <v>846</v>
      </c>
      <c r="B14" s="7">
        <v>291254</v>
      </c>
      <c r="C14" s="7">
        <v>0</v>
      </c>
      <c r="D14" s="7"/>
      <c r="E14" s="7">
        <f t="shared" si="0"/>
        <v>291254</v>
      </c>
      <c r="F14" s="7"/>
      <c r="G14" s="65">
        <v>2424.23</v>
      </c>
      <c r="H14" s="64" t="s">
        <v>682</v>
      </c>
      <c r="J14" s="48">
        <f>'E. 17-18 FRAME Budget'!P14</f>
        <v>853290</v>
      </c>
      <c r="K14" s="59">
        <f t="shared" si="1"/>
        <v>2.9297108365893689</v>
      </c>
      <c r="L14" s="61">
        <f t="shared" si="2"/>
        <v>31.535114473964306</v>
      </c>
      <c r="M14" s="3"/>
      <c r="N14" s="58">
        <f t="shared" si="3"/>
        <v>27058.408197772183</v>
      </c>
      <c r="O14" s="58">
        <f t="shared" si="4"/>
        <v>27058.408197772183</v>
      </c>
      <c r="P14"/>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row>
    <row r="15" spans="1:116" ht="15" customHeight="1">
      <c r="A15" s="4" t="s">
        <v>1704</v>
      </c>
      <c r="B15" s="7">
        <v>209745</v>
      </c>
      <c r="C15" s="7">
        <v>0</v>
      </c>
      <c r="D15" s="7"/>
      <c r="E15" s="7">
        <f t="shared" si="0"/>
        <v>209745</v>
      </c>
      <c r="F15" s="7"/>
      <c r="G15" s="65">
        <v>14.89</v>
      </c>
      <c r="H15" s="64" t="s">
        <v>682</v>
      </c>
      <c r="J15" s="48">
        <f>'E. 17-18 FRAME Budget'!P15</f>
        <v>595935</v>
      </c>
      <c r="K15" s="59">
        <f t="shared" si="1"/>
        <v>2.8412357863119504</v>
      </c>
      <c r="L15" s="61">
        <f t="shared" si="2"/>
        <v>30.582777880283203</v>
      </c>
      <c r="M15" s="3"/>
      <c r="N15" s="58">
        <f t="shared" si="3"/>
        <v>19485.966982227634</v>
      </c>
      <c r="O15" s="58">
        <f t="shared" si="4"/>
        <v>19485.966982227634</v>
      </c>
      <c r="P15"/>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row>
    <row r="16" spans="1:116" ht="15" customHeight="1">
      <c r="A16" s="4" t="s">
        <v>847</v>
      </c>
      <c r="B16" s="7">
        <v>262183</v>
      </c>
      <c r="C16" s="7">
        <v>0</v>
      </c>
      <c r="D16" s="7"/>
      <c r="E16" s="7">
        <f t="shared" si="0"/>
        <v>262183</v>
      </c>
      <c r="F16" s="7"/>
      <c r="G16" s="65">
        <v>4384.8500000000004</v>
      </c>
      <c r="H16" s="64" t="s">
        <v>2057</v>
      </c>
      <c r="J16" s="48">
        <f>'E. 17-18 FRAME Budget'!P16</f>
        <v>850725</v>
      </c>
      <c r="K16" s="59">
        <f t="shared" si="1"/>
        <v>3.2447755956717255</v>
      </c>
      <c r="L16" s="61">
        <f t="shared" si="2"/>
        <v>34.926440034250888</v>
      </c>
      <c r="M16" s="3"/>
      <c r="N16" s="58">
        <f t="shared" si="3"/>
        <v>24357.621308261878</v>
      </c>
      <c r="O16" s="58">
        <f t="shared" si="4"/>
        <v>24357.621308261878</v>
      </c>
      <c r="P16"/>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row>
    <row r="17" spans="1:116" ht="15" customHeight="1">
      <c r="A17" s="4" t="s">
        <v>1463</v>
      </c>
      <c r="B17" s="7">
        <v>1141288</v>
      </c>
      <c r="C17" s="7">
        <v>41496</v>
      </c>
      <c r="D17" s="7">
        <v>252609</v>
      </c>
      <c r="E17" s="7">
        <f>SUM(B17:D17)</f>
        <v>1435393</v>
      </c>
      <c r="F17" s="7"/>
      <c r="G17" s="65">
        <v>520650.09</v>
      </c>
      <c r="H17" s="64" t="s">
        <v>2057</v>
      </c>
      <c r="J17" s="48">
        <f>'E. 17-18 FRAME Budget'!P17</f>
        <v>4170690</v>
      </c>
      <c r="K17" s="59">
        <f t="shared" si="1"/>
        <v>2.9056084291897757</v>
      </c>
      <c r="L17" s="61">
        <f t="shared" si="2"/>
        <v>31.275678570955826</v>
      </c>
      <c r="M17" s="3"/>
      <c r="N17" s="58">
        <f t="shared" si="3"/>
        <v>133352.50234580404</v>
      </c>
      <c r="O17" s="58">
        <f t="shared" si="4"/>
        <v>106029.22732466857</v>
      </c>
      <c r="P17"/>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row>
    <row r="18" spans="1:116" ht="15" customHeight="1">
      <c r="A18" s="4" t="s">
        <v>2058</v>
      </c>
      <c r="B18" s="7">
        <v>637542</v>
      </c>
      <c r="C18" s="7">
        <v>2400</v>
      </c>
      <c r="D18" s="7"/>
      <c r="E18" s="7">
        <f t="shared" si="0"/>
        <v>639942</v>
      </c>
      <c r="F18" s="7"/>
      <c r="G18" s="65">
        <v>706.42</v>
      </c>
      <c r="H18" s="64" t="s">
        <v>682</v>
      </c>
      <c r="J18" s="48">
        <f>'E. 17-18 FRAME Budget'!P18</f>
        <v>1715130</v>
      </c>
      <c r="K18" s="59">
        <f t="shared" si="1"/>
        <v>2.680133512099534</v>
      </c>
      <c r="L18" s="61">
        <f t="shared" si="2"/>
        <v>28.848689110888174</v>
      </c>
      <c r="M18" s="3"/>
      <c r="N18" s="58">
        <f t="shared" si="3"/>
        <v>59452.614758591219</v>
      </c>
      <c r="O18" s="58">
        <f t="shared" si="4"/>
        <v>59229.647246815744</v>
      </c>
      <c r="P18"/>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ht="15" customHeight="1">
      <c r="A19" s="4" t="s">
        <v>848</v>
      </c>
      <c r="B19" s="7">
        <v>1045967</v>
      </c>
      <c r="C19" s="7">
        <v>1900</v>
      </c>
      <c r="D19" s="7"/>
      <c r="E19" s="7">
        <f t="shared" si="0"/>
        <v>1047867</v>
      </c>
      <c r="F19" s="7"/>
      <c r="G19" s="65">
        <v>1175</v>
      </c>
      <c r="H19" s="64" t="s">
        <v>682</v>
      </c>
      <c r="J19" s="48">
        <f>'E. 17-18 FRAME Budget'!P19</f>
        <v>2795850</v>
      </c>
      <c r="K19" s="59">
        <f t="shared" si="1"/>
        <v>2.6681344101875526</v>
      </c>
      <c r="L19" s="61">
        <f t="shared" si="2"/>
        <v>28.719531977817795</v>
      </c>
      <c r="M19" s="3"/>
      <c r="N19" s="58">
        <f t="shared" si="3"/>
        <v>97350.124025678422</v>
      </c>
      <c r="O19" s="58">
        <f t="shared" si="4"/>
        <v>97173.608078856181</v>
      </c>
      <c r="P19"/>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ht="15" customHeight="1">
      <c r="A20" s="4" t="s">
        <v>849</v>
      </c>
      <c r="B20" s="7">
        <v>454761</v>
      </c>
      <c r="C20" s="7">
        <v>2340</v>
      </c>
      <c r="D20" s="7"/>
      <c r="E20" s="7">
        <f t="shared" si="0"/>
        <v>457101</v>
      </c>
      <c r="F20" s="7"/>
      <c r="G20" s="65">
        <v>2657.33</v>
      </c>
      <c r="H20" s="64" t="s">
        <v>682</v>
      </c>
      <c r="J20" s="48">
        <f>'E. 17-18 FRAME Budget'!P20</f>
        <v>1532160</v>
      </c>
      <c r="K20" s="59">
        <f t="shared" si="1"/>
        <v>3.3519069089763533</v>
      </c>
      <c r="L20" s="61">
        <f t="shared" si="2"/>
        <v>36.079590777530569</v>
      </c>
      <c r="M20" s="3"/>
      <c r="N20" s="58">
        <f t="shared" si="3"/>
        <v>42466.113583366627</v>
      </c>
      <c r="O20" s="58">
        <f t="shared" si="4"/>
        <v>42248.72025938554</v>
      </c>
      <c r="P20"/>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ht="15" customHeight="1">
      <c r="A21" s="4" t="s">
        <v>850</v>
      </c>
      <c r="B21" s="7">
        <v>318923</v>
      </c>
      <c r="C21" s="7">
        <v>0</v>
      </c>
      <c r="D21" s="7"/>
      <c r="E21" s="7">
        <f t="shared" si="0"/>
        <v>318923</v>
      </c>
      <c r="F21" s="7"/>
      <c r="G21" s="65">
        <v>529.91</v>
      </c>
      <c r="H21" s="64" t="s">
        <v>682</v>
      </c>
      <c r="J21" s="48">
        <f>'E. 17-18 FRAME Budget'!P21</f>
        <v>889200</v>
      </c>
      <c r="K21" s="59">
        <f t="shared" si="1"/>
        <v>2.7881338128639199</v>
      </c>
      <c r="L21" s="61">
        <f t="shared" si="2"/>
        <v>30.011193548285945</v>
      </c>
      <c r="M21" s="3"/>
      <c r="N21" s="58">
        <f t="shared" si="3"/>
        <v>29628.944899153652</v>
      </c>
      <c r="O21" s="58">
        <f t="shared" si="4"/>
        <v>29628.944899153652</v>
      </c>
      <c r="P21"/>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ht="15" customHeight="1">
      <c r="A22" s="4" t="s">
        <v>851</v>
      </c>
      <c r="B22" s="7">
        <v>233256</v>
      </c>
      <c r="C22" s="7">
        <v>0</v>
      </c>
      <c r="D22" s="7"/>
      <c r="E22" s="7">
        <f t="shared" si="0"/>
        <v>233256</v>
      </c>
      <c r="F22" s="7"/>
      <c r="G22" s="65">
        <v>6876.42</v>
      </c>
      <c r="H22" s="64" t="s">
        <v>2057</v>
      </c>
      <c r="J22" s="48">
        <f>'E. 17-18 FRAME Budget'!P22</f>
        <v>800280</v>
      </c>
      <c r="K22" s="59">
        <f t="shared" si="1"/>
        <v>3.4309085296841237</v>
      </c>
      <c r="L22" s="61">
        <f t="shared" si="2"/>
        <v>36.929956322666939</v>
      </c>
      <c r="M22" s="3"/>
      <c r="N22" s="58">
        <f t="shared" si="3"/>
        <v>21670.212469458096</v>
      </c>
      <c r="O22" s="58">
        <f t="shared" si="4"/>
        <v>21670.212469458096</v>
      </c>
      <c r="P22"/>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ht="15" customHeight="1">
      <c r="A23" s="4" t="s">
        <v>1384</v>
      </c>
      <c r="B23" s="7">
        <v>711729</v>
      </c>
      <c r="C23" s="7">
        <v>0</v>
      </c>
      <c r="D23" s="7"/>
      <c r="E23" s="7">
        <f t="shared" si="0"/>
        <v>711729</v>
      </c>
      <c r="F23" s="7"/>
      <c r="G23" s="65">
        <v>1491.83</v>
      </c>
      <c r="H23" s="64" t="s">
        <v>2057</v>
      </c>
      <c r="J23" s="48">
        <f>'E. 17-18 FRAME Budget'!P23</f>
        <v>2022930</v>
      </c>
      <c r="K23" s="59">
        <f t="shared" si="1"/>
        <v>2.842275641430938</v>
      </c>
      <c r="L23" s="61">
        <f t="shared" si="2"/>
        <v>30.593970776798471</v>
      </c>
      <c r="M23" s="3"/>
      <c r="N23" s="58">
        <f t="shared" si="3"/>
        <v>66121.851745185297</v>
      </c>
      <c r="O23" s="58">
        <f t="shared" si="4"/>
        <v>66121.851745185297</v>
      </c>
      <c r="P2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ht="15" customHeight="1">
      <c r="A24" s="4" t="s">
        <v>852</v>
      </c>
      <c r="B24" s="7">
        <v>2239215</v>
      </c>
      <c r="C24" s="7">
        <v>2868</v>
      </c>
      <c r="D24" s="7"/>
      <c r="E24" s="7">
        <f t="shared" si="0"/>
        <v>2242083</v>
      </c>
      <c r="F24" s="7"/>
      <c r="G24" s="65">
        <v>113.42</v>
      </c>
      <c r="H24" s="64" t="s">
        <v>682</v>
      </c>
      <c r="J24" s="48">
        <f>'E. 17-18 FRAME Budget'!P24</f>
        <v>6365475</v>
      </c>
      <c r="K24" s="59">
        <f t="shared" si="1"/>
        <v>2.8390898106805147</v>
      </c>
      <c r="L24" s="61">
        <f t="shared" si="2"/>
        <v>30.559678813183989</v>
      </c>
      <c r="M24" s="3"/>
      <c r="N24" s="58">
        <f t="shared" si="3"/>
        <v>208296.52821003541</v>
      </c>
      <c r="O24" s="58">
        <f t="shared" si="4"/>
        <v>208030.08203346372</v>
      </c>
      <c r="P24"/>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r="25" spans="1:116" ht="15" customHeight="1">
      <c r="A25" s="4" t="s">
        <v>853</v>
      </c>
      <c r="B25" s="7">
        <v>769803</v>
      </c>
      <c r="C25" s="7">
        <v>0</v>
      </c>
      <c r="D25" s="7"/>
      <c r="E25" s="7">
        <f t="shared" si="0"/>
        <v>769803</v>
      </c>
      <c r="F25" s="7"/>
      <c r="G25" s="65">
        <v>7999.8</v>
      </c>
      <c r="H25" s="64" t="s">
        <v>2057</v>
      </c>
      <c r="J25" s="48">
        <f>'E. 17-18 FRAME Budget'!P25</f>
        <v>2276865</v>
      </c>
      <c r="K25" s="59">
        <f t="shared" si="1"/>
        <v>2.9577242489312199</v>
      </c>
      <c r="L25" s="61">
        <f t="shared" si="2"/>
        <v>31.836648043070756</v>
      </c>
      <c r="M25" s="3"/>
      <c r="N25" s="58">
        <f t="shared" si="3"/>
        <v>71517.108111372276</v>
      </c>
      <c r="O25" s="58">
        <f t="shared" si="4"/>
        <v>71517.108111372276</v>
      </c>
      <c r="P25"/>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row>
    <row r="26" spans="1:116" ht="15" customHeight="1">
      <c r="A26" s="4" t="s">
        <v>854</v>
      </c>
      <c r="B26" s="7">
        <v>463501</v>
      </c>
      <c r="C26" s="7">
        <v>1610</v>
      </c>
      <c r="D26" s="7"/>
      <c r="E26" s="7">
        <f t="shared" si="0"/>
        <v>465111</v>
      </c>
      <c r="F26" s="7"/>
      <c r="G26" s="65">
        <v>15.8</v>
      </c>
      <c r="H26" s="64" t="s">
        <v>682</v>
      </c>
      <c r="J26" s="48">
        <f>'E. 17-18 FRAME Budget'!P26</f>
        <v>1292760</v>
      </c>
      <c r="K26" s="59">
        <f t="shared" si="1"/>
        <v>2.7794655469339578</v>
      </c>
      <c r="L26" s="61">
        <f t="shared" si="2"/>
        <v>29.917889200642428</v>
      </c>
      <c r="M26" s="3"/>
      <c r="N26" s="58">
        <f t="shared" si="3"/>
        <v>43210.267653917261</v>
      </c>
      <c r="O26" s="58">
        <f t="shared" si="4"/>
        <v>43060.693614767886</v>
      </c>
      <c r="P26"/>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row>
    <row r="27" spans="1:116" ht="15" customHeight="1">
      <c r="A27" s="4" t="s">
        <v>1454</v>
      </c>
      <c r="B27" s="7">
        <v>390571</v>
      </c>
      <c r="C27" s="7">
        <v>0</v>
      </c>
      <c r="D27" s="7"/>
      <c r="E27" s="7">
        <f t="shared" si="0"/>
        <v>390571</v>
      </c>
      <c r="F27" s="7"/>
      <c r="G27" s="65">
        <v>7047.36</v>
      </c>
      <c r="H27" s="64" t="s">
        <v>682</v>
      </c>
      <c r="J27" s="48">
        <f>'E. 17-18 FRAME Budget'!P27</f>
        <v>1277370</v>
      </c>
      <c r="K27" s="59">
        <f t="shared" si="1"/>
        <v>3.2705193165903252</v>
      </c>
      <c r="L27" s="61">
        <f t="shared" si="2"/>
        <v>35.203542871846601</v>
      </c>
      <c r="M27" s="3"/>
      <c r="N27" s="58">
        <f t="shared" si="3"/>
        <v>36285.268350690734</v>
      </c>
      <c r="O27" s="58">
        <f t="shared" si="4"/>
        <v>36285.268350690734</v>
      </c>
      <c r="P27"/>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row>
    <row r="28" spans="1:116" ht="15" customHeight="1">
      <c r="A28" s="4" t="s">
        <v>868</v>
      </c>
      <c r="B28" s="7">
        <v>1755029</v>
      </c>
      <c r="C28" s="7">
        <v>0</v>
      </c>
      <c r="D28" s="7"/>
      <c r="E28" s="7">
        <f t="shared" si="0"/>
        <v>1755029</v>
      </c>
      <c r="F28" s="7"/>
      <c r="G28" s="65">
        <v>66.849999999999994</v>
      </c>
      <c r="H28" s="64" t="s">
        <v>682</v>
      </c>
      <c r="J28" s="48">
        <f>'E. 17-18 FRAME Budget'!P28</f>
        <v>4920525</v>
      </c>
      <c r="K28" s="59">
        <f t="shared" si="1"/>
        <v>2.8036716202410332</v>
      </c>
      <c r="L28" s="61">
        <f t="shared" si="2"/>
        <v>30.178440953112457</v>
      </c>
      <c r="M28" s="3"/>
      <c r="N28" s="58">
        <f t="shared" si="3"/>
        <v>163047.68717658098</v>
      </c>
      <c r="O28" s="58">
        <f t="shared" si="4"/>
        <v>163047.68717658098</v>
      </c>
      <c r="P28"/>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row>
    <row r="29" spans="1:116" ht="15" customHeight="1">
      <c r="A29" s="4" t="s">
        <v>1645</v>
      </c>
      <c r="B29" s="7">
        <v>209725</v>
      </c>
      <c r="C29" s="7">
        <v>0</v>
      </c>
      <c r="D29" s="7"/>
      <c r="E29" s="7">
        <f t="shared" si="0"/>
        <v>209725</v>
      </c>
      <c r="F29" s="7"/>
      <c r="G29" s="65">
        <v>2797.19</v>
      </c>
      <c r="H29" s="64" t="s">
        <v>682</v>
      </c>
      <c r="J29" s="48">
        <f>'E. 17-18 FRAME Budget'!P29</f>
        <v>790875</v>
      </c>
      <c r="K29" s="59">
        <f t="shared" si="1"/>
        <v>3.7710096555012518</v>
      </c>
      <c r="L29" s="61">
        <f t="shared" si="2"/>
        <v>40.59077083084992</v>
      </c>
      <c r="M29" s="3"/>
      <c r="N29" s="58">
        <f t="shared" si="3"/>
        <v>19484.108919629503</v>
      </c>
      <c r="O29" s="58">
        <f t="shared" si="4"/>
        <v>19484.108919629503</v>
      </c>
      <c r="P29"/>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row>
    <row r="30" spans="1:116" ht="15" customHeight="1">
      <c r="A30" s="4" t="s">
        <v>856</v>
      </c>
      <c r="B30" s="7">
        <v>606504</v>
      </c>
      <c r="C30" s="7">
        <v>0</v>
      </c>
      <c r="D30" s="7"/>
      <c r="E30" s="7">
        <f t="shared" si="0"/>
        <v>606504</v>
      </c>
      <c r="F30" s="7"/>
      <c r="G30" s="65">
        <v>1958.03</v>
      </c>
      <c r="H30" s="64" t="s">
        <v>682</v>
      </c>
      <c r="J30" s="48">
        <f>'E. 17-18 FRAME Budget'!P30</f>
        <v>1803195</v>
      </c>
      <c r="K30" s="59">
        <f t="shared" si="1"/>
        <v>2.9730966325036605</v>
      </c>
      <c r="L30" s="61">
        <f t="shared" si="2"/>
        <v>32.002114842606147</v>
      </c>
      <c r="M30" s="3"/>
      <c r="N30" s="58">
        <f t="shared" si="3"/>
        <v>56346.119900779457</v>
      </c>
      <c r="O30" s="58">
        <f t="shared" si="4"/>
        <v>56346.119900779457</v>
      </c>
      <c r="P30"/>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row>
    <row r="31" spans="1:116" ht="15" customHeight="1">
      <c r="A31" s="4" t="s">
        <v>1594</v>
      </c>
      <c r="B31" s="7">
        <v>383214</v>
      </c>
      <c r="C31" s="7">
        <v>672</v>
      </c>
      <c r="D31" s="7"/>
      <c r="E31" s="7">
        <f t="shared" si="0"/>
        <v>383886</v>
      </c>
      <c r="F31" s="7"/>
      <c r="G31" s="65">
        <v>3729.58</v>
      </c>
      <c r="H31" s="64" t="s">
        <v>682</v>
      </c>
      <c r="J31" s="48">
        <f>'E. 17-18 FRAME Budget'!P31</f>
        <v>1403055</v>
      </c>
      <c r="K31" s="59">
        <f t="shared" si="1"/>
        <v>3.6548741032494023</v>
      </c>
      <c r="L31" s="61">
        <f t="shared" si="2"/>
        <v>39.340699359966237</v>
      </c>
      <c r="M31" s="3"/>
      <c r="N31" s="58">
        <f t="shared" si="3"/>
        <v>35664.21092726614</v>
      </c>
      <c r="O31" s="58">
        <f t="shared" si="4"/>
        <v>35601.780023969011</v>
      </c>
      <c r="P31"/>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15" customHeight="1">
      <c r="A32" s="4" t="s">
        <v>1573</v>
      </c>
      <c r="B32" s="7">
        <v>484035</v>
      </c>
      <c r="C32" s="7">
        <v>7920</v>
      </c>
      <c r="D32" s="7"/>
      <c r="E32" s="7">
        <f t="shared" si="0"/>
        <v>491955</v>
      </c>
      <c r="F32" s="7"/>
      <c r="G32" s="65">
        <v>5935.25</v>
      </c>
      <c r="H32" s="64" t="s">
        <v>2057</v>
      </c>
      <c r="J32" s="48">
        <f>'E. 17-18 FRAME Budget'!P32</f>
        <v>1745055</v>
      </c>
      <c r="K32" s="59">
        <f t="shared" si="1"/>
        <v>3.5471841936762507</v>
      </c>
      <c r="L32" s="61">
        <f t="shared" si="2"/>
        <v>38.181535942311797</v>
      </c>
      <c r="M32" s="3"/>
      <c r="N32" s="58">
        <f t="shared" si="3"/>
        <v>45704.159273125915</v>
      </c>
      <c r="O32" s="58">
        <f t="shared" si="4"/>
        <v>44968.366484266859</v>
      </c>
      <c r="P32"/>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row>
    <row r="33" spans="1:116" ht="15" customHeight="1">
      <c r="A33" s="4" t="s">
        <v>857</v>
      </c>
      <c r="B33" s="7">
        <v>355579</v>
      </c>
      <c r="C33" s="7">
        <v>3469</v>
      </c>
      <c r="D33" s="7"/>
      <c r="E33" s="7">
        <f t="shared" si="0"/>
        <v>359048</v>
      </c>
      <c r="F33" s="7"/>
      <c r="G33" s="65">
        <v>2395.7399999999998</v>
      </c>
      <c r="H33" s="64" t="s">
        <v>682</v>
      </c>
      <c r="J33" s="48">
        <f>'E. 17-18 FRAME Budget'!P33</f>
        <v>1185885</v>
      </c>
      <c r="K33" s="59">
        <f t="shared" si="1"/>
        <v>3.3028592277355675</v>
      </c>
      <c r="L33" s="61">
        <f t="shared" si="2"/>
        <v>35.551646441422875</v>
      </c>
      <c r="M33" s="3"/>
      <c r="N33" s="58">
        <f t="shared" si="3"/>
        <v>33356.682986649823</v>
      </c>
      <c r="O33" s="58">
        <f t="shared" si="4"/>
        <v>33034.402029004355</v>
      </c>
      <c r="P3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row>
    <row r="34" spans="1:116" ht="15" customHeight="1">
      <c r="A34" s="4" t="s">
        <v>1388</v>
      </c>
      <c r="B34" s="7">
        <v>2440701</v>
      </c>
      <c r="C34" s="7">
        <v>1400</v>
      </c>
      <c r="D34" s="7"/>
      <c r="E34" s="7">
        <f t="shared" si="0"/>
        <v>2442101</v>
      </c>
      <c r="F34" s="7"/>
      <c r="G34" s="65">
        <v>100.42</v>
      </c>
      <c r="H34" s="64" t="s">
        <v>682</v>
      </c>
      <c r="J34" s="48">
        <f>'E. 17-18 FRAME Budget'!P34</f>
        <v>6940035</v>
      </c>
      <c r="K34" s="59">
        <f t="shared" si="1"/>
        <v>2.8418296376767382</v>
      </c>
      <c r="L34" s="61">
        <f t="shared" si="2"/>
        <v>30.589170036988641</v>
      </c>
      <c r="M34" s="3"/>
      <c r="N34" s="58">
        <f t="shared" si="3"/>
        <v>226878.82644766304</v>
      </c>
      <c r="O34" s="58">
        <f t="shared" si="4"/>
        <v>226748.762065794</v>
      </c>
      <c r="P34"/>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row>
    <row r="35" spans="1:116" ht="15" customHeight="1">
      <c r="A35" s="4" t="s">
        <v>1666</v>
      </c>
      <c r="B35" s="7">
        <v>321899</v>
      </c>
      <c r="C35" s="7">
        <v>0</v>
      </c>
      <c r="D35" s="7"/>
      <c r="E35" s="7">
        <f t="shared" si="0"/>
        <v>321899</v>
      </c>
      <c r="F35" s="7"/>
      <c r="G35" s="65">
        <v>3799.51</v>
      </c>
      <c r="H35" s="64" t="s">
        <v>2057</v>
      </c>
      <c r="J35" s="48">
        <f>'E. 17-18 FRAME Budget'!P35</f>
        <v>1162800</v>
      </c>
      <c r="K35" s="59">
        <f t="shared" si="1"/>
        <v>3.6123131789784995</v>
      </c>
      <c r="L35" s="61">
        <f t="shared" si="2"/>
        <v>38.882577827206667</v>
      </c>
      <c r="M35" s="3"/>
      <c r="N35" s="58">
        <f t="shared" si="3"/>
        <v>29905.42461375524</v>
      </c>
      <c r="O35" s="58">
        <f t="shared" si="4"/>
        <v>29905.42461375524</v>
      </c>
      <c r="P35"/>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row>
    <row r="36" spans="1:116" ht="15" customHeight="1">
      <c r="A36" s="4" t="s">
        <v>1484</v>
      </c>
      <c r="B36" s="7">
        <v>580725</v>
      </c>
      <c r="C36" s="7">
        <v>2500</v>
      </c>
      <c r="D36" s="7"/>
      <c r="E36" s="7">
        <f t="shared" si="0"/>
        <v>583225</v>
      </c>
      <c r="F36" s="7"/>
      <c r="G36" s="65">
        <v>2160.0500000000002</v>
      </c>
      <c r="H36" s="64" t="s">
        <v>682</v>
      </c>
      <c r="J36" s="48">
        <f>'E. 17-18 FRAME Budget'!P36</f>
        <v>1710000</v>
      </c>
      <c r="K36" s="59">
        <f t="shared" si="1"/>
        <v>2.93197308071499</v>
      </c>
      <c r="L36" s="61">
        <f t="shared" si="2"/>
        <v>31.55946504350808</v>
      </c>
      <c r="M36" s="3"/>
      <c r="N36" s="58">
        <f t="shared" si="3"/>
        <v>54183.427939687288</v>
      </c>
      <c r="O36" s="58">
        <f t="shared" si="4"/>
        <v>53951.170114921173</v>
      </c>
      <c r="P36"/>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row>
    <row r="37" spans="1:116" ht="15" customHeight="1">
      <c r="A37" s="4" t="s">
        <v>862</v>
      </c>
      <c r="B37" s="7">
        <v>1324634</v>
      </c>
      <c r="C37" s="7">
        <v>0</v>
      </c>
      <c r="D37" s="7"/>
      <c r="E37" s="7">
        <f t="shared" si="0"/>
        <v>1324634</v>
      </c>
      <c r="F37" s="7"/>
      <c r="G37" s="65">
        <v>90.26</v>
      </c>
      <c r="H37" s="64" t="s">
        <v>682</v>
      </c>
      <c r="J37" s="48">
        <f>'E. 17-18 FRAME Budget'!P37</f>
        <v>3760290</v>
      </c>
      <c r="K37" s="59">
        <f t="shared" si="1"/>
        <v>2.8387388516375087</v>
      </c>
      <c r="L37" s="61">
        <f t="shared" si="2"/>
        <v>30.555901125140981</v>
      </c>
      <c r="M37" s="3"/>
      <c r="N37" s="58">
        <f t="shared" si="3"/>
        <v>123062.64458049592</v>
      </c>
      <c r="O37" s="58">
        <f t="shared" si="4"/>
        <v>123062.64458049592</v>
      </c>
      <c r="P37"/>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row>
    <row r="38" spans="1:116" ht="15" customHeight="1">
      <c r="A38" s="4" t="s">
        <v>2059</v>
      </c>
      <c r="B38" s="7">
        <v>314353</v>
      </c>
      <c r="C38" s="7">
        <v>0</v>
      </c>
      <c r="D38" s="7"/>
      <c r="E38" s="7">
        <f t="shared" si="0"/>
        <v>314353</v>
      </c>
      <c r="F38" s="7"/>
      <c r="G38" s="65">
        <v>6232.8</v>
      </c>
      <c r="H38" s="64" t="s">
        <v>682</v>
      </c>
      <c r="J38" s="48">
        <f>'E. 17-18 FRAME Budget'!P38</f>
        <v>1030275</v>
      </c>
      <c r="K38" s="59">
        <f t="shared" si="1"/>
        <v>3.2774460558671303</v>
      </c>
      <c r="L38" s="61">
        <f t="shared" si="2"/>
        <v>35.278101600748201</v>
      </c>
      <c r="M38" s="3"/>
      <c r="N38" s="58">
        <f t="shared" si="3"/>
        <v>29204.377595481194</v>
      </c>
      <c r="O38" s="58">
        <f t="shared" si="4"/>
        <v>29204.377595481194</v>
      </c>
      <c r="P38"/>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row>
    <row r="39" spans="1:116" ht="15" customHeight="1">
      <c r="A39" s="4" t="s">
        <v>1405</v>
      </c>
      <c r="B39" s="7">
        <v>1422905</v>
      </c>
      <c r="C39" s="7">
        <v>0</v>
      </c>
      <c r="D39" s="7"/>
      <c r="E39" s="7">
        <f t="shared" si="0"/>
        <v>1422905</v>
      </c>
      <c r="F39" s="7"/>
      <c r="G39" s="65">
        <v>135.4</v>
      </c>
      <c r="H39" s="64" t="s">
        <v>682</v>
      </c>
      <c r="J39" s="48">
        <f>'E. 17-18 FRAME Budget'!P39</f>
        <v>4145040</v>
      </c>
      <c r="K39" s="59">
        <f t="shared" si="1"/>
        <v>2.9130827426989154</v>
      </c>
      <c r="L39" s="61">
        <f t="shared" si="2"/>
        <v>31.356131334136855</v>
      </c>
      <c r="M39" s="3"/>
      <c r="N39" s="58">
        <f t="shared" si="3"/>
        <v>132192.32805953233</v>
      </c>
      <c r="O39" s="58">
        <f t="shared" si="4"/>
        <v>132192.32805953233</v>
      </c>
      <c r="P39"/>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row>
    <row r="40" spans="1:116" ht="15" customHeight="1">
      <c r="A40" s="4" t="s">
        <v>864</v>
      </c>
      <c r="B40" s="7">
        <v>723072</v>
      </c>
      <c r="C40" s="7">
        <v>3710</v>
      </c>
      <c r="D40" s="7"/>
      <c r="E40" s="7">
        <f t="shared" si="0"/>
        <v>726782</v>
      </c>
      <c r="F40" s="7"/>
      <c r="G40" s="65">
        <v>7180.36</v>
      </c>
      <c r="H40" s="64" t="s">
        <v>2057</v>
      </c>
      <c r="J40" s="48">
        <f>'E. 17-18 FRAME Budget'!P40</f>
        <v>2087055</v>
      </c>
      <c r="K40" s="59">
        <f t="shared" si="1"/>
        <v>2.8716382629179038</v>
      </c>
      <c r="L40" s="61">
        <f t="shared" si="2"/>
        <v>30.910027098222024</v>
      </c>
      <c r="M40" s="3"/>
      <c r="N40" s="58">
        <f t="shared" si="3"/>
        <v>67520.322559667038</v>
      </c>
      <c r="O40" s="58">
        <f t="shared" si="4"/>
        <v>67175.651947714126</v>
      </c>
      <c r="P40"/>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row>
    <row r="41" spans="1:116" ht="15" customHeight="1">
      <c r="A41" s="4" t="s">
        <v>865</v>
      </c>
      <c r="B41" s="7">
        <v>329747</v>
      </c>
      <c r="C41" s="7">
        <v>0</v>
      </c>
      <c r="D41" s="7"/>
      <c r="E41" s="7">
        <f t="shared" si="0"/>
        <v>329747</v>
      </c>
      <c r="F41" s="7"/>
      <c r="G41" s="65">
        <v>3636.34</v>
      </c>
      <c r="H41" s="64" t="s">
        <v>682</v>
      </c>
      <c r="J41" s="48">
        <f>'E. 17-18 FRAME Budget'!P41</f>
        <v>1047375</v>
      </c>
      <c r="K41" s="59">
        <f t="shared" si="1"/>
        <v>3.1762987987760312</v>
      </c>
      <c r="L41" s="61">
        <f t="shared" si="2"/>
        <v>34.189362640145319</v>
      </c>
      <c r="M41" s="3"/>
      <c r="N41" s="58">
        <f t="shared" si="3"/>
        <v>30634.528377261031</v>
      </c>
      <c r="O41" s="58">
        <f t="shared" si="4"/>
        <v>30634.528377261031</v>
      </c>
      <c r="P41"/>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row>
    <row r="42" spans="1:116" ht="15" customHeight="1">
      <c r="A42" s="4" t="s">
        <v>866</v>
      </c>
      <c r="B42" s="7">
        <v>182598</v>
      </c>
      <c r="C42" s="7">
        <v>0</v>
      </c>
      <c r="D42" s="7"/>
      <c r="E42" s="7">
        <f t="shared" si="0"/>
        <v>182598</v>
      </c>
      <c r="F42" s="7"/>
      <c r="G42" s="65">
        <v>3223.68</v>
      </c>
      <c r="H42" s="64" t="s">
        <v>682</v>
      </c>
      <c r="J42" s="48">
        <f>'E. 17-18 FRAME Budget'!P42</f>
        <v>589950</v>
      </c>
      <c r="K42" s="59">
        <f t="shared" si="1"/>
        <v>3.2308678079716096</v>
      </c>
      <c r="L42" s="61">
        <f t="shared" si="2"/>
        <v>34.776737998225606</v>
      </c>
      <c r="M42" s="3"/>
      <c r="N42" s="58">
        <f t="shared" si="3"/>
        <v>16963.925714657329</v>
      </c>
      <c r="O42" s="58">
        <f t="shared" si="4"/>
        <v>16963.925714657329</v>
      </c>
      <c r="P42"/>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row>
    <row r="43" spans="1:116" ht="15" customHeight="1">
      <c r="A43" s="4" t="s">
        <v>2060</v>
      </c>
      <c r="B43" s="7">
        <v>180707</v>
      </c>
      <c r="C43" s="7">
        <v>0</v>
      </c>
      <c r="D43" s="7"/>
      <c r="E43" s="7">
        <f t="shared" si="0"/>
        <v>180707</v>
      </c>
      <c r="F43" s="7"/>
      <c r="G43" s="65">
        <v>4195.78</v>
      </c>
      <c r="H43" s="64" t="s">
        <v>2057</v>
      </c>
      <c r="J43" s="48">
        <f>'E. 17-18 FRAME Budget'!P43</f>
        <v>604485</v>
      </c>
      <c r="K43" s="59">
        <f t="shared" si="1"/>
        <v>3.3451111467735064</v>
      </c>
      <c r="L43" s="61">
        <f t="shared" si="2"/>
        <v>36.006441872755346</v>
      </c>
      <c r="M43" s="3"/>
      <c r="N43" s="58">
        <f t="shared" si="3"/>
        <v>16788.245896004239</v>
      </c>
      <c r="O43" s="58">
        <f t="shared" si="4"/>
        <v>16788.245896004239</v>
      </c>
      <c r="P4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row>
    <row r="44" spans="1:116" ht="15" customHeight="1">
      <c r="A44" s="4" t="s">
        <v>2061</v>
      </c>
      <c r="B44" s="7">
        <v>213061</v>
      </c>
      <c r="C44" s="7">
        <v>0</v>
      </c>
      <c r="D44" s="7"/>
      <c r="E44" s="7">
        <f t="shared" si="0"/>
        <v>213061</v>
      </c>
      <c r="F44" s="7"/>
      <c r="G44" s="65">
        <v>559.44000000000005</v>
      </c>
      <c r="H44" s="64" t="s">
        <v>682</v>
      </c>
      <c r="J44" s="48">
        <f>'E. 17-18 FRAME Budget'!P44</f>
        <v>595080</v>
      </c>
      <c r="K44" s="59">
        <f t="shared" si="1"/>
        <v>2.7930029428191925</v>
      </c>
      <c r="L44" s="61">
        <f t="shared" si="2"/>
        <v>30.063604376211504</v>
      </c>
      <c r="M44" s="3"/>
      <c r="N44" s="58">
        <f t="shared" si="3"/>
        <v>19794.033760997409</v>
      </c>
      <c r="O44" s="58">
        <f t="shared" si="4"/>
        <v>19794.033760997409</v>
      </c>
      <c r="P44"/>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row>
    <row r="45" spans="1:116" ht="15" customHeight="1">
      <c r="A45" s="4" t="s">
        <v>1233</v>
      </c>
      <c r="B45" s="7">
        <v>4979730</v>
      </c>
      <c r="C45" s="7">
        <v>26057</v>
      </c>
      <c r="D45" s="7"/>
      <c r="E45" s="7">
        <f t="shared" si="0"/>
        <v>5005787</v>
      </c>
      <c r="F45" s="7"/>
      <c r="G45" s="65">
        <v>90.26</v>
      </c>
      <c r="H45" s="64" t="s">
        <v>682</v>
      </c>
      <c r="J45" s="48">
        <f>'E. 17-18 FRAME Budget'!P45</f>
        <v>14417865</v>
      </c>
      <c r="K45" s="59">
        <f t="shared" si="1"/>
        <v>2.8802394109058178</v>
      </c>
      <c r="L45" s="61">
        <f t="shared" si="2"/>
        <v>31.00260899504913</v>
      </c>
      <c r="M45" s="3"/>
      <c r="N45" s="58">
        <f t="shared" si="3"/>
        <v>465053.27994500136</v>
      </c>
      <c r="O45" s="58">
        <f t="shared" si="4"/>
        <v>462632.50308902911</v>
      </c>
      <c r="P45"/>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row>
    <row r="46" spans="1:116" ht="6" customHeight="1">
      <c r="G46" s="66"/>
      <c r="H46" s="24"/>
      <c r="J46" s="3"/>
      <c r="K46" s="3"/>
      <c r="L46" s="59"/>
      <c r="M46" s="3"/>
      <c r="N46" s="7"/>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row>
    <row r="47" spans="1:116" ht="15" customHeight="1">
      <c r="A47" s="5" t="s">
        <v>2062</v>
      </c>
      <c r="B47" s="8">
        <f t="shared" ref="B47:G47" si="5">SUM(B10:B45)</f>
        <v>28603518</v>
      </c>
      <c r="C47" s="8">
        <f t="shared" si="5"/>
        <v>135966</v>
      </c>
      <c r="D47" s="8">
        <f t="shared" si="5"/>
        <v>252609</v>
      </c>
      <c r="E47" s="8">
        <f t="shared" si="5"/>
        <v>28992093</v>
      </c>
      <c r="F47" s="8"/>
      <c r="G47" s="67">
        <f t="shared" si="5"/>
        <v>629314.17000000027</v>
      </c>
      <c r="H47" s="68">
        <f>SUMIF(H10:H45,"Yes",G10:G45)</f>
        <v>583311.26000000013</v>
      </c>
      <c r="J47" s="56">
        <f>SUM(J10:J45)</f>
        <v>85266600</v>
      </c>
      <c r="K47" s="59">
        <f t="shared" si="1"/>
        <v>2.94102947310496</v>
      </c>
      <c r="L47" s="62">
        <f>(J47/E47)*$N$4</f>
        <v>31.656947145554479</v>
      </c>
      <c r="M47" s="3"/>
      <c r="N47" s="8">
        <f>SUM(N10:N45)</f>
        <v>2693456.18223878</v>
      </c>
      <c r="O47" s="8">
        <f>SUM(O10:O45)</f>
        <v>2657356.3485353822</v>
      </c>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row>
    <row r="48" spans="1:116" ht="6" customHeight="1">
      <c r="B48" s="8"/>
      <c r="C48" s="8"/>
      <c r="D48" s="8"/>
      <c r="E48" s="8"/>
      <c r="F48" s="8"/>
      <c r="G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row>
    <row r="49" spans="1:116" ht="18" customHeight="1">
      <c r="A49" s="197" t="s">
        <v>2063</v>
      </c>
      <c r="B49" s="198"/>
      <c r="C49" s="198"/>
      <c r="D49" s="198"/>
      <c r="E49" s="198"/>
      <c r="F49" s="198"/>
      <c r="G49" s="199"/>
      <c r="H49" s="200"/>
      <c r="I49" s="200"/>
      <c r="J49" s="201">
        <v>85500000</v>
      </c>
      <c r="K49" s="199"/>
      <c r="L49" s="202">
        <f>(J49/E47)*$N$4</f>
        <v>31.743601608893847</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row>
    <row r="50" spans="1:116" customFormat="1" ht="15" customHeight="1"/>
    <row r="51" spans="1:116" ht="15" customHeight="1">
      <c r="A51" s="4" t="s">
        <v>2064</v>
      </c>
      <c r="B51" s="7">
        <v>69906</v>
      </c>
      <c r="C51" s="7">
        <v>3150</v>
      </c>
      <c r="D51" s="7"/>
      <c r="E51" s="7">
        <f>SUM(B51:D51)</f>
        <v>73056</v>
      </c>
      <c r="F51" s="7"/>
      <c r="G51" s="3"/>
      <c r="J51" s="3"/>
      <c r="K51" s="3"/>
      <c r="L51" s="70"/>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row>
    <row r="52" spans="1:116">
      <c r="B52" s="3"/>
      <c r="C52" s="3"/>
      <c r="D52" s="3"/>
      <c r="E52" s="3"/>
      <c r="F52" s="3"/>
      <c r="G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row>
  </sheetData>
  <sortState xmlns:xlrd2="http://schemas.microsoft.com/office/spreadsheetml/2017/richdata2" ref="P10:P41">
    <sortCondition ref="P10"/>
  </sortState>
  <mergeCells count="3">
    <mergeCell ref="B4:E4"/>
    <mergeCell ref="B5:E5"/>
    <mergeCell ref="G6:H6"/>
  </mergeCells>
  <pageMargins left="0.74803149606299213" right="0.74803149606299213" top="0.59055118110236227" bottom="0.59055118110236227" header="0.51181102362204722" footer="0.51181102362204722"/>
  <pageSetup scale="87" orientation="portrait" r:id="rId1"/>
  <headerFooter alignWithMargins="0"/>
  <legacy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theme="0" tint="-0.499984740745262"/>
  </sheetPr>
  <dimension ref="A1:DJ56"/>
  <sheetViews>
    <sheetView topLeftCell="C1" workbookViewId="0"/>
  </sheetViews>
  <sheetFormatPr baseColWidth="10" defaultColWidth="9.19921875" defaultRowHeight="15"/>
  <cols>
    <col min="1" max="1" width="22.3984375" style="786" customWidth="1"/>
    <col min="2" max="2" width="15" style="786" customWidth="1"/>
    <col min="3" max="3" width="12.796875" style="786" customWidth="1"/>
    <col min="4" max="6" width="11.59765625" style="786" customWidth="1"/>
    <col min="7" max="11" width="13.796875" style="786" customWidth="1"/>
    <col min="12" max="13" width="11.59765625" style="786" customWidth="1"/>
    <col min="14" max="14" width="13.3984375" style="786" customWidth="1"/>
    <col min="15" max="15" width="11.59765625" style="786" customWidth="1"/>
    <col min="16" max="16" width="14.19921875" style="786" customWidth="1"/>
    <col min="17" max="21" width="11.59765625" style="786" customWidth="1"/>
    <col min="22" max="22" width="14.796875" style="786" customWidth="1"/>
    <col min="23" max="23" width="14" style="786" customWidth="1"/>
    <col min="24" max="24" width="13.3984375" style="786" customWidth="1"/>
    <col min="25" max="31" width="11.59765625" style="786" customWidth="1"/>
    <col min="32" max="32" width="10.796875" style="786" bestFit="1" customWidth="1"/>
    <col min="33" max="36" width="14.3984375" style="786" customWidth="1"/>
    <col min="37" max="37" width="9.19921875" style="786"/>
    <col min="38" max="41" width="11.796875" style="786" customWidth="1"/>
    <col min="42" max="45" width="9.19921875" style="786"/>
    <col min="46" max="46" width="14.19921875" style="786" bestFit="1" customWidth="1"/>
    <col min="47" max="47" width="9.19921875" style="786"/>
    <col min="48" max="48" width="14.19921875" style="786" bestFit="1" customWidth="1"/>
    <col min="49" max="49" width="14.19921875" style="786" customWidth="1"/>
    <col min="50" max="53" width="9.19921875" style="786"/>
    <col min="54" max="54" width="30.796875" style="786" customWidth="1"/>
    <col min="55" max="74" width="9.19921875" style="786"/>
    <col min="75" max="75" width="17.19921875" style="786" customWidth="1"/>
    <col min="76" max="16384" width="9.19921875" style="786"/>
  </cols>
  <sheetData>
    <row r="1" spans="1:114" ht="19">
      <c r="A1" s="785" t="s">
        <v>2065</v>
      </c>
    </row>
    <row r="2" spans="1:114" ht="19">
      <c r="A2" s="785"/>
    </row>
    <row r="6" spans="1:114">
      <c r="B6" s="1341" t="s">
        <v>2066</v>
      </c>
      <c r="C6" s="1341" t="s">
        <v>2066</v>
      </c>
      <c r="D6" s="1341" t="s">
        <v>2066</v>
      </c>
      <c r="E6" s="1341"/>
      <c r="F6" s="1341" t="s">
        <v>2066</v>
      </c>
      <c r="G6" s="1341" t="s">
        <v>2066</v>
      </c>
      <c r="H6" s="1341"/>
      <c r="I6" s="1341"/>
      <c r="J6" s="1341"/>
      <c r="K6" s="1341"/>
      <c r="L6" s="1341" t="s">
        <v>2066</v>
      </c>
      <c r="M6" s="1341"/>
      <c r="N6" s="1341"/>
      <c r="O6" s="1341"/>
      <c r="P6" s="1341" t="s">
        <v>2066</v>
      </c>
      <c r="Q6" s="1341" t="s">
        <v>2066</v>
      </c>
      <c r="R6" s="1341" t="s">
        <v>2066</v>
      </c>
      <c r="S6" s="1341" t="s">
        <v>2066</v>
      </c>
      <c r="T6" s="1341" t="s">
        <v>2066</v>
      </c>
      <c r="U6" s="1341"/>
      <c r="V6" s="1341" t="s">
        <v>2066</v>
      </c>
      <c r="W6" s="1341" t="s">
        <v>2066</v>
      </c>
      <c r="X6" s="1341" t="s">
        <v>2066</v>
      </c>
      <c r="Y6" s="1341" t="s">
        <v>2066</v>
      </c>
      <c r="Z6" s="1341" t="s">
        <v>2066</v>
      </c>
      <c r="AA6" s="1341" t="s">
        <v>2066</v>
      </c>
      <c r="AB6" s="1341" t="s">
        <v>2066</v>
      </c>
      <c r="AC6" s="1341" t="s">
        <v>2066</v>
      </c>
      <c r="AD6" s="1341" t="s">
        <v>2066</v>
      </c>
      <c r="AE6" s="1341" t="s">
        <v>2066</v>
      </c>
    </row>
    <row r="7" spans="1:114" ht="16" thickBot="1">
      <c r="B7" s="1342" t="s">
        <v>2067</v>
      </c>
      <c r="C7" s="1342" t="s">
        <v>2067</v>
      </c>
      <c r="D7" s="1342" t="s">
        <v>2067</v>
      </c>
      <c r="E7" s="1342"/>
      <c r="F7" s="1343" t="s">
        <v>2068</v>
      </c>
      <c r="G7" s="1342" t="s">
        <v>2067</v>
      </c>
      <c r="H7" s="1342"/>
      <c r="I7" s="1342"/>
      <c r="J7" s="1342"/>
      <c r="K7" s="1342"/>
      <c r="L7" s="1342" t="s">
        <v>2067</v>
      </c>
      <c r="M7" s="1342"/>
      <c r="N7" s="1342"/>
      <c r="O7" s="1342"/>
      <c r="P7" s="1342" t="s">
        <v>2067</v>
      </c>
      <c r="Q7" s="1342" t="s">
        <v>2067</v>
      </c>
      <c r="R7" s="1343" t="s">
        <v>2068</v>
      </c>
      <c r="S7" s="1343" t="s">
        <v>2068</v>
      </c>
      <c r="T7" s="1343" t="s">
        <v>2068</v>
      </c>
      <c r="U7" s="1343"/>
      <c r="V7" s="1342" t="s">
        <v>2067</v>
      </c>
      <c r="W7" s="1342" t="s">
        <v>2067</v>
      </c>
      <c r="X7" s="1342" t="s">
        <v>2067</v>
      </c>
      <c r="Y7" s="1342" t="s">
        <v>2067</v>
      </c>
      <c r="Z7" s="1342" t="s">
        <v>2067</v>
      </c>
      <c r="AA7" s="1342" t="s">
        <v>2067</v>
      </c>
      <c r="AB7" s="1342" t="s">
        <v>2067</v>
      </c>
      <c r="AC7" s="1343" t="s">
        <v>2068</v>
      </c>
      <c r="AD7" s="1342" t="s">
        <v>2067</v>
      </c>
      <c r="AE7" s="1343" t="s">
        <v>2069</v>
      </c>
      <c r="AL7" s="786" t="s">
        <v>2070</v>
      </c>
      <c r="AO7" s="786" t="s">
        <v>2071</v>
      </c>
    </row>
    <row r="8" spans="1:114">
      <c r="B8" s="1344" t="s">
        <v>2072</v>
      </c>
      <c r="C8" s="1344" t="s">
        <v>2073</v>
      </c>
      <c r="D8" s="1344" t="s">
        <v>2073</v>
      </c>
      <c r="E8" s="1344"/>
      <c r="F8" s="1344"/>
      <c r="G8" s="1344" t="s">
        <v>2072</v>
      </c>
      <c r="H8" s="1344"/>
      <c r="I8" s="1344"/>
      <c r="J8" s="1344"/>
      <c r="K8" s="1344"/>
      <c r="L8" s="1344" t="s">
        <v>2072</v>
      </c>
      <c r="M8" s="1344"/>
      <c r="N8" s="1344"/>
      <c r="O8" s="1344"/>
      <c r="P8" s="1344" t="s">
        <v>2074</v>
      </c>
      <c r="Q8" s="1344" t="s">
        <v>2075</v>
      </c>
      <c r="R8" s="1344"/>
      <c r="S8" s="1344"/>
      <c r="T8" s="1344"/>
      <c r="U8" s="1344"/>
      <c r="V8" s="1344" t="s">
        <v>2076</v>
      </c>
      <c r="W8" s="1344" t="s">
        <v>2077</v>
      </c>
      <c r="X8" s="1344" t="s">
        <v>2072</v>
      </c>
      <c r="Y8" s="1344" t="s">
        <v>2078</v>
      </c>
      <c r="Z8" s="1344" t="s">
        <v>2075</v>
      </c>
      <c r="AA8" s="1344" t="s">
        <v>2075</v>
      </c>
      <c r="AB8" s="1344" t="s">
        <v>2075</v>
      </c>
      <c r="AC8" s="1344"/>
      <c r="AD8" s="1344" t="s">
        <v>2077</v>
      </c>
      <c r="AE8" s="1345" t="s">
        <v>2079</v>
      </c>
      <c r="AG8" s="1785" t="s">
        <v>2080</v>
      </c>
      <c r="AH8" s="1786"/>
      <c r="AI8" s="1786"/>
      <c r="AJ8" s="1786"/>
      <c r="AL8" s="1785" t="s">
        <v>2081</v>
      </c>
      <c r="AM8" s="1786"/>
      <c r="AN8" s="1786"/>
      <c r="AO8" s="1786"/>
      <c r="AQ8" s="841"/>
      <c r="AR8" s="842"/>
      <c r="AS8" s="842"/>
      <c r="AT8" s="842"/>
      <c r="AU8" s="843"/>
      <c r="AV8" s="842"/>
      <c r="AW8" s="843"/>
      <c r="AY8" s="831" t="s">
        <v>2082</v>
      </c>
      <c r="AZ8" s="832"/>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row>
    <row r="9" spans="1:114" ht="60" customHeight="1">
      <c r="B9" s="787">
        <v>1</v>
      </c>
      <c r="C9" s="787">
        <v>2</v>
      </c>
      <c r="D9" s="787">
        <v>3</v>
      </c>
      <c r="E9" s="787"/>
      <c r="F9" s="787">
        <v>4</v>
      </c>
      <c r="G9" s="787">
        <v>5</v>
      </c>
      <c r="H9" s="787"/>
      <c r="I9" s="787"/>
      <c r="J9" s="787"/>
      <c r="K9" s="787"/>
      <c r="L9" s="787">
        <v>6</v>
      </c>
      <c r="M9" s="787"/>
      <c r="N9" s="787"/>
      <c r="O9" s="787"/>
      <c r="P9" s="787">
        <v>7</v>
      </c>
      <c r="Q9" s="787">
        <v>8</v>
      </c>
      <c r="R9" s="787">
        <v>9</v>
      </c>
      <c r="S9" s="787">
        <v>10</v>
      </c>
      <c r="T9" s="787">
        <v>11</v>
      </c>
      <c r="U9" s="787"/>
      <c r="V9" s="787">
        <v>12</v>
      </c>
      <c r="W9" s="787">
        <v>13</v>
      </c>
      <c r="X9" s="787">
        <v>14</v>
      </c>
      <c r="Y9" s="787">
        <v>15</v>
      </c>
      <c r="Z9" s="787">
        <v>16</v>
      </c>
      <c r="AA9" s="787">
        <v>17</v>
      </c>
      <c r="AB9" s="787">
        <v>18</v>
      </c>
      <c r="AC9" s="787">
        <v>19</v>
      </c>
      <c r="AD9" s="787">
        <v>20</v>
      </c>
      <c r="AE9" s="787">
        <v>21</v>
      </c>
      <c r="AG9" s="786" t="s">
        <v>2067</v>
      </c>
      <c r="AH9" s="786" t="s">
        <v>2067</v>
      </c>
      <c r="AI9" s="786" t="s">
        <v>2067</v>
      </c>
      <c r="AJ9" s="786" t="s">
        <v>2067</v>
      </c>
      <c r="AL9" s="786" t="s">
        <v>2083</v>
      </c>
      <c r="AM9" s="786" t="s">
        <v>2083</v>
      </c>
      <c r="AN9" s="786" t="s">
        <v>2083</v>
      </c>
      <c r="AY9" s="1781" t="s">
        <v>2084</v>
      </c>
      <c r="AZ9" s="1782"/>
      <c r="BA9"/>
      <c r="BB9" s="1783" t="s">
        <v>2085</v>
      </c>
      <c r="BC9" s="1773"/>
      <c r="BD9" s="1773"/>
      <c r="BE9" s="1773"/>
      <c r="BF9" s="1773"/>
      <c r="BG9" s="1773"/>
      <c r="BH9" s="1773"/>
      <c r="BI9" s="1773"/>
      <c r="BJ9" s="1773"/>
      <c r="BK9" s="1773"/>
      <c r="BL9" s="1773"/>
      <c r="BM9" s="1773"/>
      <c r="BN9" s="1773"/>
      <c r="BO9" s="1773"/>
      <c r="BP9" s="1773"/>
      <c r="BQ9" s="1773"/>
      <c r="BR9" s="1773"/>
      <c r="BS9" s="1784"/>
      <c r="BT9"/>
      <c r="BU9"/>
      <c r="BV9"/>
      <c r="BW9" s="1773" t="s">
        <v>2086</v>
      </c>
      <c r="BX9" s="1773"/>
      <c r="BY9" s="1773"/>
      <c r="BZ9" s="1773"/>
      <c r="CA9" s="1773"/>
      <c r="CB9" s="1773"/>
      <c r="CC9" s="1773"/>
      <c r="CD9" s="1773"/>
      <c r="CE9" s="1773"/>
      <c r="CF9" s="1773"/>
      <c r="CG9" s="1773"/>
      <c r="CH9" s="1773"/>
      <c r="CI9" s="1773"/>
      <c r="CJ9" s="1773"/>
      <c r="CK9" s="1773"/>
      <c r="CL9" s="1773"/>
      <c r="CM9" s="1773"/>
      <c r="CN9" s="1773"/>
      <c r="CO9"/>
      <c r="CP9"/>
      <c r="CQ9" s="1773" t="s">
        <v>2086</v>
      </c>
      <c r="CR9" s="1773"/>
      <c r="CS9" s="1773"/>
      <c r="CT9" s="1773"/>
      <c r="CU9" s="1773"/>
      <c r="CV9" s="1773"/>
      <c r="CW9" s="1773"/>
      <c r="CX9" s="1773"/>
      <c r="CY9" s="1773"/>
      <c r="CZ9" s="1773"/>
      <c r="DA9" s="1773"/>
      <c r="DB9" s="1773"/>
      <c r="DC9" s="1773"/>
      <c r="DD9" s="1773"/>
      <c r="DE9" s="1773"/>
      <c r="DF9" s="1773"/>
      <c r="DG9" s="1773"/>
      <c r="DH9" s="1773"/>
      <c r="DI9"/>
      <c r="DJ9"/>
    </row>
    <row r="10" spans="1:114" ht="57.75" customHeight="1">
      <c r="A10" s="1346"/>
      <c r="B10" s="1347" t="s">
        <v>2087</v>
      </c>
      <c r="C10" s="1347" t="s">
        <v>771</v>
      </c>
      <c r="D10" s="1347" t="s">
        <v>2088</v>
      </c>
      <c r="E10" s="1347" t="s">
        <v>2089</v>
      </c>
      <c r="F10" s="1347" t="s">
        <v>2090</v>
      </c>
      <c r="G10" s="1347" t="s">
        <v>2091</v>
      </c>
      <c r="H10" s="1347" t="s">
        <v>2092</v>
      </c>
      <c r="I10" s="1347" t="s">
        <v>2093</v>
      </c>
      <c r="J10" s="1347" t="s">
        <v>2094</v>
      </c>
      <c r="K10" s="1347" t="s">
        <v>2095</v>
      </c>
      <c r="L10" s="1347" t="s">
        <v>2096</v>
      </c>
      <c r="M10" s="1347" t="s">
        <v>2097</v>
      </c>
      <c r="N10" s="1347" t="s">
        <v>775</v>
      </c>
      <c r="O10" s="1347" t="s">
        <v>2098</v>
      </c>
      <c r="P10" s="1347" t="s">
        <v>775</v>
      </c>
      <c r="Q10" s="1347" t="s">
        <v>2099</v>
      </c>
      <c r="R10" s="1347" t="s">
        <v>2100</v>
      </c>
      <c r="S10" s="1347" t="s">
        <v>2101</v>
      </c>
      <c r="T10" s="1347" t="s">
        <v>2102</v>
      </c>
      <c r="U10" s="1347" t="s">
        <v>2103</v>
      </c>
      <c r="V10" s="1347" t="s">
        <v>2104</v>
      </c>
      <c r="W10" s="1347" t="s">
        <v>1835</v>
      </c>
      <c r="X10" s="1347" t="s">
        <v>2105</v>
      </c>
      <c r="Y10" s="1348" t="s">
        <v>2106</v>
      </c>
      <c r="Z10" s="1346" t="s">
        <v>2107</v>
      </c>
      <c r="AA10" s="1346" t="s">
        <v>2108</v>
      </c>
      <c r="AB10" s="1346" t="s">
        <v>2109</v>
      </c>
      <c r="AC10" s="1346" t="s">
        <v>2110</v>
      </c>
      <c r="AD10" s="1346" t="s">
        <v>2111</v>
      </c>
      <c r="AE10" s="1349" t="s">
        <v>2112</v>
      </c>
      <c r="AF10" s="788"/>
      <c r="AG10" s="1349" t="s">
        <v>2113</v>
      </c>
      <c r="AH10" s="1349" t="s">
        <v>2114</v>
      </c>
      <c r="AI10" s="1349" t="s">
        <v>2115</v>
      </c>
      <c r="AJ10" s="1349" t="s">
        <v>794</v>
      </c>
      <c r="AK10" s="786" t="s">
        <v>2105</v>
      </c>
      <c r="AL10" s="1349"/>
      <c r="AM10" s="1349" t="s">
        <v>2110</v>
      </c>
      <c r="AN10" s="1349" t="s">
        <v>2101</v>
      </c>
      <c r="AO10" s="1349" t="s">
        <v>2102</v>
      </c>
      <c r="AP10" s="786" t="s">
        <v>2116</v>
      </c>
      <c r="AQ10" s="789"/>
      <c r="AR10" s="789" t="s">
        <v>2117</v>
      </c>
      <c r="AS10" s="789" t="s">
        <v>2118</v>
      </c>
      <c r="AT10" s="790" t="s">
        <v>526</v>
      </c>
      <c r="AU10" s="786" t="s">
        <v>2119</v>
      </c>
      <c r="AV10" s="790" t="s">
        <v>2120</v>
      </c>
      <c r="AW10" s="790"/>
      <c r="AY10" s="833" t="s">
        <v>2121</v>
      </c>
      <c r="AZ10" s="834" t="s">
        <v>2122</v>
      </c>
      <c r="BA10"/>
      <c r="BB10" s="1774" t="s">
        <v>2123</v>
      </c>
      <c r="BC10" s="1775"/>
      <c r="BD10" s="1775"/>
      <c r="BE10" s="1775"/>
      <c r="BF10" s="1775"/>
      <c r="BG10" s="1775"/>
      <c r="BH10" s="1775"/>
      <c r="BI10" s="1775"/>
      <c r="BJ10" s="1775"/>
      <c r="BK10" s="1775"/>
      <c r="BL10" s="1775"/>
      <c r="BM10" s="1775"/>
      <c r="BN10" s="1775"/>
      <c r="BO10" s="1775"/>
      <c r="BP10" s="1775"/>
      <c r="BQ10" s="1775"/>
      <c r="BR10" s="1775"/>
      <c r="BS10" s="1776"/>
      <c r="BT10"/>
      <c r="BU10"/>
      <c r="BV10"/>
      <c r="BW10" s="1777" t="s">
        <v>2123</v>
      </c>
      <c r="BX10" s="1775"/>
      <c r="BY10" s="1775"/>
      <c r="BZ10" s="1775"/>
      <c r="CA10" s="1775"/>
      <c r="CB10" s="1775"/>
      <c r="CC10" s="1775"/>
      <c r="CD10" s="1775"/>
      <c r="CE10" s="1775"/>
      <c r="CF10" s="1775"/>
      <c r="CG10" s="1775"/>
      <c r="CH10" s="1775"/>
      <c r="CI10" s="1775"/>
      <c r="CJ10" s="1775"/>
      <c r="CK10" s="1775"/>
      <c r="CL10" s="1775"/>
      <c r="CM10" s="1775"/>
      <c r="CN10" s="1775"/>
      <c r="CO10"/>
      <c r="CP10"/>
      <c r="CQ10" s="1777" t="s">
        <v>2123</v>
      </c>
      <c r="CR10" s="1775"/>
      <c r="CS10" s="1775"/>
      <c r="CT10" s="1775"/>
      <c r="CU10" s="1775"/>
      <c r="CV10" s="1775"/>
      <c r="CW10" s="1775"/>
      <c r="CX10" s="1775"/>
      <c r="CY10" s="1775"/>
      <c r="CZ10" s="1775"/>
      <c r="DA10" s="1775"/>
      <c r="DB10" s="1775"/>
      <c r="DC10" s="1775"/>
      <c r="DD10" s="1775"/>
      <c r="DE10" s="1775"/>
      <c r="DF10" s="1775"/>
      <c r="DG10" s="1775"/>
      <c r="DH10" s="1775"/>
      <c r="DI10"/>
      <c r="DJ10"/>
    </row>
    <row r="11" spans="1:114">
      <c r="A11" s="791" t="s">
        <v>2124</v>
      </c>
      <c r="B11" s="792"/>
      <c r="C11" s="792"/>
      <c r="D11" s="792"/>
      <c r="E11" s="792"/>
      <c r="F11" s="792"/>
      <c r="G11" s="792"/>
      <c r="H11" s="792"/>
      <c r="I11" s="792"/>
      <c r="J11" s="792"/>
      <c r="K11" s="792"/>
      <c r="L11" s="792"/>
      <c r="M11" s="792" t="s">
        <v>794</v>
      </c>
      <c r="N11" s="792"/>
      <c r="O11" s="792"/>
      <c r="P11" s="792"/>
      <c r="Q11" s="792"/>
      <c r="R11" s="792"/>
      <c r="S11" s="792"/>
      <c r="T11" s="792"/>
      <c r="U11" s="792"/>
      <c r="V11" s="792"/>
      <c r="W11" s="792"/>
      <c r="X11" s="792"/>
      <c r="Y11" s="793" t="s">
        <v>2125</v>
      </c>
      <c r="Z11" s="792"/>
      <c r="AA11" s="792"/>
      <c r="AB11" s="792"/>
      <c r="AC11" s="792"/>
      <c r="AD11" s="792"/>
      <c r="AE11" s="792"/>
      <c r="AG11" s="792" t="s">
        <v>322</v>
      </c>
      <c r="AH11" s="792"/>
      <c r="AI11" s="792"/>
      <c r="AJ11" s="792"/>
      <c r="AK11" s="786" t="s">
        <v>2126</v>
      </c>
      <c r="AL11" s="792"/>
      <c r="AM11" s="792"/>
      <c r="AN11" s="792"/>
      <c r="AO11" s="792"/>
      <c r="AY11" s="835"/>
      <c r="AZ11" s="836"/>
      <c r="BA11"/>
      <c r="BB11" s="1350"/>
      <c r="BC11" s="1351" t="s">
        <v>72</v>
      </c>
      <c r="BD11" s="1352"/>
      <c r="BE11" s="1352"/>
      <c r="BF11" s="1352"/>
      <c r="BG11" s="1353"/>
      <c r="BH11" s="1353"/>
      <c r="BI11" s="1353"/>
      <c r="BJ11" s="1353"/>
      <c r="BK11" s="1353"/>
      <c r="BL11" s="1353"/>
      <c r="BM11" s="1353"/>
      <c r="BN11" s="1353"/>
      <c r="BO11" s="1353"/>
      <c r="BP11" s="1353"/>
      <c r="BQ11" s="1353"/>
      <c r="BR11" s="1353"/>
      <c r="BS11" s="1352"/>
      <c r="BT11"/>
      <c r="BU11"/>
      <c r="BV11"/>
      <c r="BW11" s="820"/>
      <c r="BX11" s="820"/>
      <c r="BY11" s="820"/>
      <c r="BZ11" s="820"/>
      <c r="CA11" s="820"/>
      <c r="CB11" s="820"/>
      <c r="CC11" s="820"/>
      <c r="CD11" s="820"/>
      <c r="CE11" s="820"/>
      <c r="CF11" s="820"/>
      <c r="CG11" s="820"/>
      <c r="CH11" s="820"/>
      <c r="CI11" s="820"/>
      <c r="CJ11" s="820"/>
      <c r="CK11" s="820"/>
      <c r="CL11" s="820"/>
      <c r="CM11" s="820"/>
      <c r="CN11" s="821"/>
      <c r="CO11"/>
      <c r="CP11"/>
      <c r="CQ11" s="820"/>
      <c r="CR11" s="820"/>
      <c r="CS11" s="820"/>
      <c r="CT11" s="820"/>
      <c r="CU11" s="820"/>
      <c r="CV11" s="820"/>
      <c r="CW11" s="820"/>
      <c r="CX11" s="820"/>
      <c r="CY11" s="820"/>
      <c r="CZ11" s="820"/>
      <c r="DA11" s="820"/>
      <c r="DB11" s="820"/>
      <c r="DC11" s="820"/>
      <c r="DD11" s="820"/>
      <c r="DE11" s="820"/>
      <c r="DF11" s="820"/>
      <c r="DG11" s="820"/>
      <c r="DH11" s="821"/>
      <c r="DI11"/>
      <c r="DJ11"/>
    </row>
    <row r="12" spans="1:114">
      <c r="A12" s="794"/>
      <c r="B12" s="794"/>
      <c r="C12" s="794"/>
      <c r="D12" s="794"/>
      <c r="E12" s="794"/>
      <c r="F12" s="794"/>
      <c r="G12" s="794"/>
      <c r="H12" s="794"/>
      <c r="I12" s="794"/>
      <c r="J12" s="794"/>
      <c r="K12" s="794"/>
      <c r="L12" s="794"/>
      <c r="M12" s="794"/>
      <c r="N12" s="794"/>
      <c r="O12" s="794"/>
      <c r="P12" s="794"/>
      <c r="Q12" s="794"/>
      <c r="R12" s="794"/>
      <c r="S12" s="794"/>
      <c r="T12" s="794"/>
      <c r="U12" s="794"/>
      <c r="V12" s="794"/>
      <c r="W12" s="794"/>
      <c r="X12" s="794"/>
      <c r="Y12" s="794"/>
      <c r="Z12" s="794"/>
      <c r="AA12" s="794"/>
      <c r="AB12" s="794"/>
      <c r="AC12" s="794"/>
      <c r="AD12" s="794"/>
      <c r="AE12" s="794"/>
      <c r="AY12" s="835"/>
      <c r="AZ12" s="836"/>
      <c r="BA12"/>
      <c r="BB12" s="338" t="s">
        <v>2127</v>
      </c>
      <c r="BC12" s="339" t="s">
        <v>2128</v>
      </c>
      <c r="BD12" s="340" t="s">
        <v>2129</v>
      </c>
      <c r="BE12" s="340" t="s">
        <v>2130</v>
      </c>
      <c r="BF12" s="340" t="s">
        <v>2131</v>
      </c>
      <c r="BG12" s="341">
        <v>1</v>
      </c>
      <c r="BH12" s="341">
        <v>2</v>
      </c>
      <c r="BI12" s="341">
        <v>3</v>
      </c>
      <c r="BJ12" s="341">
        <v>4</v>
      </c>
      <c r="BK12" s="341">
        <v>5</v>
      </c>
      <c r="BL12" s="341">
        <v>6</v>
      </c>
      <c r="BM12" s="341">
        <v>7</v>
      </c>
      <c r="BN12" s="341">
        <v>8</v>
      </c>
      <c r="BO12" s="341">
        <v>9</v>
      </c>
      <c r="BP12" s="341">
        <v>10</v>
      </c>
      <c r="BQ12" s="341">
        <v>11</v>
      </c>
      <c r="BR12" s="341">
        <v>12</v>
      </c>
      <c r="BS12" s="340" t="s">
        <v>322</v>
      </c>
      <c r="BT12" s="2" t="s">
        <v>2132</v>
      </c>
      <c r="BU12" s="2" t="s">
        <v>2133</v>
      </c>
      <c r="BV12"/>
      <c r="BW12" s="1778" t="s">
        <v>2134</v>
      </c>
      <c r="BX12" s="1779"/>
      <c r="BY12" s="1779"/>
      <c r="BZ12" s="1779"/>
      <c r="CA12" s="1779"/>
      <c r="CB12" s="1779"/>
      <c r="CC12" s="1779"/>
      <c r="CD12" s="1779"/>
      <c r="CE12" s="1779"/>
      <c r="CF12" s="1779"/>
      <c r="CG12" s="1779"/>
      <c r="CH12" s="1779"/>
      <c r="CI12" s="1779"/>
      <c r="CJ12" s="1779"/>
      <c r="CK12" s="1779"/>
      <c r="CL12" s="1779"/>
      <c r="CM12" s="1779"/>
      <c r="CN12" s="1780"/>
      <c r="CO12"/>
      <c r="CP12"/>
      <c r="CQ12" s="1778" t="s">
        <v>2135</v>
      </c>
      <c r="CR12" s="1779"/>
      <c r="CS12" s="1779"/>
      <c r="CT12" s="1779"/>
      <c r="CU12" s="1779"/>
      <c r="CV12" s="1779"/>
      <c r="CW12" s="1779"/>
      <c r="CX12" s="1779"/>
      <c r="CY12" s="1779"/>
      <c r="CZ12" s="1779"/>
      <c r="DA12" s="1779"/>
      <c r="DB12" s="1779"/>
      <c r="DC12" s="1779"/>
      <c r="DD12" s="1779"/>
      <c r="DE12" s="1779"/>
      <c r="DF12" s="1779"/>
      <c r="DG12" s="1779"/>
      <c r="DH12" s="1780"/>
      <c r="DI12"/>
      <c r="DJ12"/>
    </row>
    <row r="13" spans="1:114">
      <c r="A13" s="795" t="s">
        <v>1934</v>
      </c>
      <c r="B13" s="795">
        <v>12727704.286397871</v>
      </c>
      <c r="C13" s="795">
        <v>3285413</v>
      </c>
      <c r="D13" s="795">
        <v>0</v>
      </c>
      <c r="E13" s="795">
        <v>322854.52639787027</v>
      </c>
      <c r="F13" s="795">
        <v>316536</v>
      </c>
      <c r="G13" s="795">
        <v>1770642</v>
      </c>
      <c r="H13" s="795">
        <v>1334464.49</v>
      </c>
      <c r="I13" s="795">
        <v>0</v>
      </c>
      <c r="J13" s="795">
        <v>1334464.49</v>
      </c>
      <c r="K13" s="795">
        <v>1334464.49</v>
      </c>
      <c r="L13" s="795">
        <v>252166</v>
      </c>
      <c r="M13" s="795">
        <v>194936</v>
      </c>
      <c r="N13" s="795">
        <v>7836332</v>
      </c>
      <c r="O13" s="795">
        <v>436177.51</v>
      </c>
      <c r="P13" s="795">
        <v>8272509.5099999998</v>
      </c>
      <c r="Q13" s="795">
        <v>666097</v>
      </c>
      <c r="R13" s="795">
        <v>0</v>
      </c>
      <c r="S13" s="795">
        <v>307800</v>
      </c>
      <c r="T13" s="795">
        <v>295820</v>
      </c>
      <c r="U13" s="795">
        <v>55178.760000000009</v>
      </c>
      <c r="V13" s="796"/>
      <c r="W13" s="795">
        <v>6511501</v>
      </c>
      <c r="X13" s="795">
        <v>935513.51</v>
      </c>
      <c r="Y13" s="797">
        <v>311954</v>
      </c>
      <c r="Z13" s="795">
        <v>36000</v>
      </c>
      <c r="AA13" s="795">
        <v>325000</v>
      </c>
      <c r="AB13" s="795">
        <v>63800</v>
      </c>
      <c r="AC13" s="795">
        <v>212657</v>
      </c>
      <c r="AD13" s="795">
        <v>972135</v>
      </c>
      <c r="AE13" s="798">
        <v>0</v>
      </c>
      <c r="AF13" s="801"/>
      <c r="AG13" s="795">
        <v>2717080</v>
      </c>
      <c r="AH13" s="795">
        <v>1770642</v>
      </c>
      <c r="AI13" s="795">
        <v>252166</v>
      </c>
      <c r="AJ13" s="795">
        <v>194936</v>
      </c>
      <c r="AK13" s="786">
        <v>499336</v>
      </c>
      <c r="AL13" s="799"/>
      <c r="AM13" s="799">
        <v>205517</v>
      </c>
      <c r="AN13" s="799">
        <v>307800</v>
      </c>
      <c r="AO13" s="799">
        <v>295820</v>
      </c>
      <c r="AP13" s="786">
        <v>809137</v>
      </c>
      <c r="AT13" s="800"/>
      <c r="AU13" s="786">
        <v>6511501</v>
      </c>
      <c r="AV13" s="800">
        <v>1599495</v>
      </c>
      <c r="AW13" s="800"/>
      <c r="AY13" s="835">
        <v>2034</v>
      </c>
      <c r="AZ13" s="836">
        <v>1962.2</v>
      </c>
      <c r="BA13"/>
      <c r="BB13" s="1354" t="s">
        <v>2136</v>
      </c>
      <c r="BC13" s="342"/>
      <c r="BD13" s="343" t="s">
        <v>2137</v>
      </c>
      <c r="BE13" s="343" t="s">
        <v>2137</v>
      </c>
      <c r="BF13" s="343" t="s">
        <v>2137</v>
      </c>
      <c r="BG13" s="343" t="s">
        <v>2137</v>
      </c>
      <c r="BH13" s="343" t="s">
        <v>2137</v>
      </c>
      <c r="BI13" s="343" t="s">
        <v>2137</v>
      </c>
      <c r="BJ13" s="343" t="s">
        <v>2137</v>
      </c>
      <c r="BK13" s="343" t="s">
        <v>2137</v>
      </c>
      <c r="BL13" s="343" t="s">
        <v>2137</v>
      </c>
      <c r="BM13" s="343" t="s">
        <v>2137</v>
      </c>
      <c r="BN13" s="343" t="s">
        <v>2137</v>
      </c>
      <c r="BO13" s="343" t="s">
        <v>2137</v>
      </c>
      <c r="BP13" s="343" t="s">
        <v>2137</v>
      </c>
      <c r="BQ13" s="343" t="s">
        <v>2137</v>
      </c>
      <c r="BR13" s="343" t="s">
        <v>2137</v>
      </c>
      <c r="BS13" s="344">
        <v>0</v>
      </c>
      <c r="BT13"/>
      <c r="BU13"/>
      <c r="BV13"/>
      <c r="BW13" s="822" t="s">
        <v>2138</v>
      </c>
      <c r="BX13" s="822" t="s">
        <v>2139</v>
      </c>
      <c r="BY13" s="1355" t="s">
        <v>2129</v>
      </c>
      <c r="BZ13" s="1355" t="s">
        <v>2130</v>
      </c>
      <c r="CA13" s="1355" t="s">
        <v>2131</v>
      </c>
      <c r="CB13" s="1356" t="s">
        <v>1559</v>
      </c>
      <c r="CC13" s="1356" t="s">
        <v>1560</v>
      </c>
      <c r="CD13" s="1356" t="s">
        <v>1561</v>
      </c>
      <c r="CE13" s="1356" t="s">
        <v>1562</v>
      </c>
      <c r="CF13" s="1356" t="s">
        <v>1547</v>
      </c>
      <c r="CG13" s="1356" t="s">
        <v>1548</v>
      </c>
      <c r="CH13" s="1356" t="s">
        <v>1549</v>
      </c>
      <c r="CI13" s="1356" t="s">
        <v>1550</v>
      </c>
      <c r="CJ13" s="1356" t="s">
        <v>1551</v>
      </c>
      <c r="CK13" s="1356" t="s">
        <v>1552</v>
      </c>
      <c r="CL13" s="1356" t="s">
        <v>1553</v>
      </c>
      <c r="CM13" s="1356" t="s">
        <v>1554</v>
      </c>
      <c r="CN13" s="1355" t="s">
        <v>322</v>
      </c>
      <c r="CO13"/>
      <c r="CP13"/>
      <c r="CQ13" s="822" t="s">
        <v>2138</v>
      </c>
      <c r="CR13" s="822" t="s">
        <v>2139</v>
      </c>
      <c r="CS13" s="1355" t="s">
        <v>2129</v>
      </c>
      <c r="CT13" s="1355" t="s">
        <v>2130</v>
      </c>
      <c r="CU13" s="1355" t="s">
        <v>2131</v>
      </c>
      <c r="CV13" s="1356" t="s">
        <v>1559</v>
      </c>
      <c r="CW13" s="1356" t="s">
        <v>1560</v>
      </c>
      <c r="CX13" s="1356" t="s">
        <v>1561</v>
      </c>
      <c r="CY13" s="1356" t="s">
        <v>1562</v>
      </c>
      <c r="CZ13" s="1356" t="s">
        <v>1547</v>
      </c>
      <c r="DA13" s="1356" t="s">
        <v>1548</v>
      </c>
      <c r="DB13" s="1356" t="s">
        <v>1549</v>
      </c>
      <c r="DC13" s="1356" t="s">
        <v>1550</v>
      </c>
      <c r="DD13" s="1356" t="s">
        <v>1551</v>
      </c>
      <c r="DE13" s="1356" t="s">
        <v>1552</v>
      </c>
      <c r="DF13" s="1356" t="s">
        <v>1553</v>
      </c>
      <c r="DG13" s="1356" t="s">
        <v>1554</v>
      </c>
      <c r="DH13" s="1355" t="s">
        <v>322</v>
      </c>
      <c r="DI13"/>
      <c r="DJ13"/>
    </row>
    <row r="14" spans="1:114">
      <c r="A14" s="796" t="s">
        <v>438</v>
      </c>
      <c r="B14" s="796">
        <v>14233436.34</v>
      </c>
      <c r="C14" s="796">
        <v>3456916</v>
      </c>
      <c r="D14" s="796">
        <v>1575</v>
      </c>
      <c r="E14" s="796">
        <v>0</v>
      </c>
      <c r="F14" s="796">
        <v>503802</v>
      </c>
      <c r="G14" s="796">
        <v>2442780</v>
      </c>
      <c r="H14" s="796">
        <v>1839268.75</v>
      </c>
      <c r="I14" s="796">
        <v>9388.25</v>
      </c>
      <c r="J14" s="796">
        <v>1829880.5</v>
      </c>
      <c r="K14" s="796">
        <v>1829880.5</v>
      </c>
      <c r="L14" s="796">
        <v>2562850</v>
      </c>
      <c r="M14" s="796">
        <v>354330</v>
      </c>
      <c r="N14" s="796">
        <v>12926020</v>
      </c>
      <c r="O14" s="796">
        <v>612899.5</v>
      </c>
      <c r="P14" s="796">
        <v>13538919.5</v>
      </c>
      <c r="Q14" s="796">
        <v>1260995</v>
      </c>
      <c r="R14" s="796">
        <v>1200</v>
      </c>
      <c r="S14" s="796">
        <v>535800</v>
      </c>
      <c r="T14" s="796">
        <v>369775</v>
      </c>
      <c r="U14" s="796">
        <v>66115.339999999967</v>
      </c>
      <c r="V14" s="796"/>
      <c r="W14" s="796">
        <v>7247595</v>
      </c>
      <c r="X14" s="795">
        <v>1755722.5</v>
      </c>
      <c r="Y14" s="797">
        <v>408525</v>
      </c>
      <c r="Z14" s="796">
        <v>54000</v>
      </c>
      <c r="AA14" s="796">
        <v>197075</v>
      </c>
      <c r="AB14" s="796">
        <v>144431</v>
      </c>
      <c r="AC14" s="796">
        <v>228659</v>
      </c>
      <c r="AD14" s="796">
        <v>1253430</v>
      </c>
      <c r="AE14" s="798">
        <v>0</v>
      </c>
      <c r="AF14" s="801"/>
      <c r="AG14" s="799">
        <v>6502783</v>
      </c>
      <c r="AH14" s="799">
        <v>2442780</v>
      </c>
      <c r="AI14" s="799">
        <v>2562850</v>
      </c>
      <c r="AJ14" s="799">
        <v>354330</v>
      </c>
      <c r="AK14" s="786">
        <v>1142823</v>
      </c>
      <c r="AL14" s="799"/>
      <c r="AM14" s="799">
        <v>224026</v>
      </c>
      <c r="AN14" s="799">
        <v>535800</v>
      </c>
      <c r="AO14" s="799">
        <v>369775</v>
      </c>
      <c r="AP14" s="786">
        <v>1129601</v>
      </c>
      <c r="AT14" s="800"/>
      <c r="AU14" s="786">
        <v>7247595</v>
      </c>
      <c r="AV14" s="800">
        <v>2698785</v>
      </c>
      <c r="AW14" s="800"/>
      <c r="AY14" s="835">
        <v>2171</v>
      </c>
      <c r="AZ14" s="836">
        <v>2094.6999999999998</v>
      </c>
      <c r="BA14"/>
      <c r="BB14" s="1357" t="s">
        <v>2140</v>
      </c>
      <c r="BC14" s="1358">
        <v>690</v>
      </c>
      <c r="BD14" s="1358">
        <v>638</v>
      </c>
      <c r="BE14" s="1358">
        <v>1169</v>
      </c>
      <c r="BF14" s="1358">
        <v>12295</v>
      </c>
      <c r="BG14" s="1358">
        <v>13166</v>
      </c>
      <c r="BH14" s="1358">
        <v>13400</v>
      </c>
      <c r="BI14" s="1358">
        <v>13495</v>
      </c>
      <c r="BJ14" s="1358">
        <v>13294</v>
      </c>
      <c r="BK14" s="1358">
        <v>13289</v>
      </c>
      <c r="BL14" s="1358">
        <v>13472</v>
      </c>
      <c r="BM14" s="1358">
        <v>13424</v>
      </c>
      <c r="BN14" s="1358">
        <v>13473</v>
      </c>
      <c r="BO14" s="1358">
        <v>13391</v>
      </c>
      <c r="BP14" s="1358">
        <v>13437</v>
      </c>
      <c r="BQ14" s="1358">
        <v>13393</v>
      </c>
      <c r="BR14" s="1358">
        <v>16059</v>
      </c>
      <c r="BS14" s="1426">
        <v>177395</v>
      </c>
      <c r="BT14" s="599">
        <f>SUM(BO14:BR14)</f>
        <v>56280</v>
      </c>
      <c r="BU14" s="599">
        <f>SUM(BM14:BR14)</f>
        <v>83177</v>
      </c>
      <c r="BV14"/>
      <c r="BW14" s="1381" t="s">
        <v>2141</v>
      </c>
      <c r="BX14" s="1382" t="s">
        <v>1233</v>
      </c>
      <c r="BY14" s="1383">
        <v>0</v>
      </c>
      <c r="BZ14" s="1383">
        <v>0</v>
      </c>
      <c r="CA14" s="1383">
        <v>20</v>
      </c>
      <c r="CB14" s="1383">
        <v>18</v>
      </c>
      <c r="CC14" s="1383">
        <v>22</v>
      </c>
      <c r="CD14" s="1383">
        <v>15</v>
      </c>
      <c r="CE14" s="1383">
        <v>23</v>
      </c>
      <c r="CF14" s="1383">
        <v>22</v>
      </c>
      <c r="CG14" s="1383">
        <v>0</v>
      </c>
      <c r="CH14" s="1383">
        <v>0</v>
      </c>
      <c r="CI14" s="1383">
        <v>0</v>
      </c>
      <c r="CJ14" s="1383">
        <v>0</v>
      </c>
      <c r="CK14" s="1383">
        <v>0</v>
      </c>
      <c r="CL14" s="1383">
        <v>0</v>
      </c>
      <c r="CM14" s="1383">
        <v>0</v>
      </c>
      <c r="CN14" s="1384">
        <v>120</v>
      </c>
      <c r="CO14"/>
      <c r="CP14"/>
      <c r="CQ14" s="1381" t="s">
        <v>2142</v>
      </c>
      <c r="CR14" s="1382" t="s">
        <v>2143</v>
      </c>
      <c r="CS14" s="1383">
        <v>0</v>
      </c>
      <c r="CT14" s="1383">
        <v>0</v>
      </c>
      <c r="CU14" s="1383">
        <v>2</v>
      </c>
      <c r="CV14" s="1383">
        <v>1</v>
      </c>
      <c r="CW14" s="1383">
        <v>0</v>
      </c>
      <c r="CX14" s="1383">
        <v>0</v>
      </c>
      <c r="CY14" s="1383">
        <v>1</v>
      </c>
      <c r="CZ14" s="1383">
        <v>0</v>
      </c>
      <c r="DA14" s="1383">
        <v>1</v>
      </c>
      <c r="DB14" s="1383">
        <v>2</v>
      </c>
      <c r="DC14" s="1383">
        <v>2</v>
      </c>
      <c r="DD14" s="1383">
        <v>0</v>
      </c>
      <c r="DE14" s="1383">
        <v>0</v>
      </c>
      <c r="DF14" s="1383">
        <v>0</v>
      </c>
      <c r="DG14" s="1383">
        <v>0</v>
      </c>
      <c r="DH14" s="1384">
        <v>9</v>
      </c>
      <c r="DI14"/>
      <c r="DJ14"/>
    </row>
    <row r="15" spans="1:114">
      <c r="A15" s="795" t="s">
        <v>1935</v>
      </c>
      <c r="B15" s="795">
        <v>55018477.030894995</v>
      </c>
      <c r="C15" s="795">
        <v>20402012</v>
      </c>
      <c r="D15" s="795">
        <v>0</v>
      </c>
      <c r="E15" s="795">
        <v>293282.97089498839</v>
      </c>
      <c r="F15" s="795">
        <v>1613113</v>
      </c>
      <c r="G15" s="795">
        <v>7840537</v>
      </c>
      <c r="H15" s="795">
        <v>5991129.8700000001</v>
      </c>
      <c r="I15" s="795">
        <v>97305.59</v>
      </c>
      <c r="J15" s="795">
        <v>5893824.2800000003</v>
      </c>
      <c r="K15" s="795">
        <v>5893824.2800000003</v>
      </c>
      <c r="L15" s="795">
        <v>909000</v>
      </c>
      <c r="M15" s="795">
        <v>460847</v>
      </c>
      <c r="N15" s="795">
        <v>40958303</v>
      </c>
      <c r="O15" s="795">
        <v>1946712.7199999997</v>
      </c>
      <c r="P15" s="795">
        <v>42905015.719999999</v>
      </c>
      <c r="Q15" s="795">
        <v>1144826</v>
      </c>
      <c r="R15" s="795">
        <v>0</v>
      </c>
      <c r="S15" s="795">
        <v>1263500</v>
      </c>
      <c r="T15" s="795">
        <v>1394580</v>
      </c>
      <c r="U15" s="795">
        <v>249572.06000000006</v>
      </c>
      <c r="V15" s="796"/>
      <c r="W15" s="795">
        <v>26135000</v>
      </c>
      <c r="X15" s="795">
        <v>4822625.72</v>
      </c>
      <c r="Y15" s="797">
        <v>1061482</v>
      </c>
      <c r="Z15" s="795">
        <v>371000</v>
      </c>
      <c r="AA15" s="795">
        <v>767775</v>
      </c>
      <c r="AB15" s="795">
        <v>567655</v>
      </c>
      <c r="AC15" s="795">
        <v>656168</v>
      </c>
      <c r="AD15" s="795">
        <v>2990790</v>
      </c>
      <c r="AE15" s="798">
        <v>61000</v>
      </c>
      <c r="AF15" s="801"/>
      <c r="AG15" s="795">
        <v>12086297</v>
      </c>
      <c r="AH15" s="795">
        <v>7840537</v>
      </c>
      <c r="AI15" s="795">
        <v>909000</v>
      </c>
      <c r="AJ15" s="795">
        <v>460847</v>
      </c>
      <c r="AK15" s="786">
        <v>2875913</v>
      </c>
      <c r="AL15" s="799"/>
      <c r="AM15" s="799">
        <v>646600</v>
      </c>
      <c r="AN15" s="799">
        <v>1263500</v>
      </c>
      <c r="AO15" s="799">
        <v>1384000</v>
      </c>
      <c r="AP15" s="786">
        <v>3294100</v>
      </c>
      <c r="AT15" s="800"/>
      <c r="AU15" s="786">
        <v>26135000</v>
      </c>
      <c r="AV15" s="800">
        <v>6958053</v>
      </c>
      <c r="AW15" s="800"/>
      <c r="AY15" s="835">
        <v>8979</v>
      </c>
      <c r="AZ15" s="836">
        <v>8628.4</v>
      </c>
      <c r="BA15"/>
      <c r="BB15" s="1542" t="s">
        <v>2144</v>
      </c>
      <c r="BC15" s="1425">
        <v>2</v>
      </c>
      <c r="BD15" s="1425">
        <v>0</v>
      </c>
      <c r="BE15" s="1425">
        <v>8</v>
      </c>
      <c r="BF15" s="1425">
        <v>16</v>
      </c>
      <c r="BG15" s="1425">
        <v>18</v>
      </c>
      <c r="BH15" s="1425">
        <v>13</v>
      </c>
      <c r="BI15" s="1425">
        <v>14</v>
      </c>
      <c r="BJ15" s="1425">
        <v>19</v>
      </c>
      <c r="BK15" s="1425">
        <v>10</v>
      </c>
      <c r="BL15" s="1425">
        <v>10</v>
      </c>
      <c r="BM15" s="1425">
        <v>14</v>
      </c>
      <c r="BN15" s="1425">
        <v>18</v>
      </c>
      <c r="BO15" s="1425">
        <v>16</v>
      </c>
      <c r="BP15" s="1425">
        <v>16</v>
      </c>
      <c r="BQ15" s="1425">
        <v>11</v>
      </c>
      <c r="BR15" s="1425">
        <v>17</v>
      </c>
      <c r="BS15" s="1426">
        <v>200</v>
      </c>
      <c r="BT15"/>
      <c r="BU15"/>
      <c r="BV15"/>
      <c r="BW15" s="1381" t="s">
        <v>2145</v>
      </c>
      <c r="BX15" s="1382" t="s">
        <v>1233</v>
      </c>
      <c r="BY15" s="1383">
        <v>0</v>
      </c>
      <c r="BZ15" s="1383">
        <v>0</v>
      </c>
      <c r="CA15" s="1383">
        <v>0</v>
      </c>
      <c r="CB15" s="1383">
        <v>0</v>
      </c>
      <c r="CC15" s="1383">
        <v>0</v>
      </c>
      <c r="CD15" s="1383">
        <v>0</v>
      </c>
      <c r="CE15" s="1383">
        <v>0</v>
      </c>
      <c r="CF15" s="1383">
        <v>0</v>
      </c>
      <c r="CG15" s="1383">
        <v>115</v>
      </c>
      <c r="CH15" s="1383">
        <v>123</v>
      </c>
      <c r="CI15" s="1383">
        <v>124</v>
      </c>
      <c r="CJ15" s="1383">
        <v>0</v>
      </c>
      <c r="CK15" s="1383">
        <v>0</v>
      </c>
      <c r="CL15" s="1383">
        <v>0</v>
      </c>
      <c r="CM15" s="1383">
        <v>0</v>
      </c>
      <c r="CN15" s="1384">
        <v>362</v>
      </c>
      <c r="CO15"/>
      <c r="CP15"/>
      <c r="CQ15" s="1381" t="s">
        <v>2146</v>
      </c>
      <c r="CR15" s="1382" t="s">
        <v>2147</v>
      </c>
      <c r="CS15" s="1383">
        <v>0</v>
      </c>
      <c r="CT15" s="1383">
        <v>0</v>
      </c>
      <c r="CU15" s="1383">
        <v>14</v>
      </c>
      <c r="CV15" s="1383">
        <v>15</v>
      </c>
      <c r="CW15" s="1383">
        <v>15</v>
      </c>
      <c r="CX15" s="1383">
        <v>12</v>
      </c>
      <c r="CY15" s="1383">
        <v>16</v>
      </c>
      <c r="CZ15" s="1383">
        <v>8</v>
      </c>
      <c r="DA15" s="1383">
        <v>8</v>
      </c>
      <c r="DB15" s="1383">
        <v>15</v>
      </c>
      <c r="DC15" s="1383">
        <v>11</v>
      </c>
      <c r="DD15" s="1383">
        <v>13</v>
      </c>
      <c r="DE15" s="1383">
        <v>0</v>
      </c>
      <c r="DF15" s="1383">
        <v>0</v>
      </c>
      <c r="DG15" s="1383">
        <v>0</v>
      </c>
      <c r="DH15" s="1384">
        <v>127</v>
      </c>
      <c r="DI15"/>
      <c r="DJ15"/>
    </row>
    <row r="16" spans="1:114">
      <c r="A16" s="796" t="s">
        <v>1936</v>
      </c>
      <c r="B16" s="796">
        <v>37850966.016968988</v>
      </c>
      <c r="C16" s="796">
        <v>10619289</v>
      </c>
      <c r="D16" s="796">
        <v>0</v>
      </c>
      <c r="E16" s="796">
        <v>383319.97696898639</v>
      </c>
      <c r="F16" s="796">
        <v>1257148</v>
      </c>
      <c r="G16" s="796">
        <v>6618089</v>
      </c>
      <c r="H16" s="796"/>
      <c r="I16" s="796"/>
      <c r="J16" s="796">
        <v>0</v>
      </c>
      <c r="K16" s="796">
        <v>4937430.580000001</v>
      </c>
      <c r="L16" s="796">
        <v>1127822</v>
      </c>
      <c r="M16" s="796">
        <v>784703</v>
      </c>
      <c r="N16" s="796">
        <v>27517818</v>
      </c>
      <c r="O16" s="796">
        <v>1680658.419999999</v>
      </c>
      <c r="P16" s="796">
        <v>29198476.419999998</v>
      </c>
      <c r="Q16" s="796">
        <v>3510332</v>
      </c>
      <c r="R16" s="796">
        <v>0</v>
      </c>
      <c r="S16" s="796">
        <v>389500</v>
      </c>
      <c r="T16" s="796">
        <v>316950</v>
      </c>
      <c r="U16" s="796">
        <v>142012.04000000004</v>
      </c>
      <c r="V16" s="796"/>
      <c r="W16" s="796">
        <v>18249122</v>
      </c>
      <c r="X16" s="795">
        <v>23396745.419999998</v>
      </c>
      <c r="Y16" s="797">
        <v>1035003</v>
      </c>
      <c r="Z16" s="796">
        <v>530000</v>
      </c>
      <c r="AA16" s="796">
        <v>169425</v>
      </c>
      <c r="AB16" s="796">
        <v>98890</v>
      </c>
      <c r="AC16" s="796">
        <v>500394</v>
      </c>
      <c r="AD16" s="796">
        <v>2820645</v>
      </c>
      <c r="AE16" s="798">
        <v>0</v>
      </c>
      <c r="AF16" s="801"/>
      <c r="AG16" s="799">
        <v>30246701</v>
      </c>
      <c r="AH16" s="799">
        <v>6618089</v>
      </c>
      <c r="AI16" s="799">
        <v>1127822</v>
      </c>
      <c r="AJ16" s="799">
        <v>784703</v>
      </c>
      <c r="AK16" s="786">
        <v>21716087</v>
      </c>
      <c r="AL16" s="799"/>
      <c r="AM16" s="799">
        <v>492721</v>
      </c>
      <c r="AN16" s="799">
        <v>389500</v>
      </c>
      <c r="AO16" s="799">
        <v>316950</v>
      </c>
      <c r="AP16" s="786">
        <v>1199171</v>
      </c>
      <c r="AT16" s="800"/>
      <c r="AU16" s="786">
        <v>18249122</v>
      </c>
      <c r="AV16" s="800">
        <v>8565056</v>
      </c>
      <c r="AW16" s="800"/>
      <c r="AY16" s="835">
        <v>5802</v>
      </c>
      <c r="AZ16" s="836">
        <v>5534.5</v>
      </c>
      <c r="BA16"/>
      <c r="BB16" s="345" t="s">
        <v>2148</v>
      </c>
      <c r="BC16" s="346">
        <v>692</v>
      </c>
      <c r="BD16" s="346">
        <v>638</v>
      </c>
      <c r="BE16" s="346">
        <v>1177</v>
      </c>
      <c r="BF16" s="346">
        <v>12311</v>
      </c>
      <c r="BG16" s="346">
        <v>13184</v>
      </c>
      <c r="BH16" s="346">
        <v>13413</v>
      </c>
      <c r="BI16" s="346">
        <v>13509</v>
      </c>
      <c r="BJ16" s="346">
        <v>13313</v>
      </c>
      <c r="BK16" s="346">
        <v>13299</v>
      </c>
      <c r="BL16" s="346">
        <v>13482</v>
      </c>
      <c r="BM16" s="346">
        <v>13438</v>
      </c>
      <c r="BN16" s="346">
        <v>13491</v>
      </c>
      <c r="BO16" s="346">
        <v>13407</v>
      </c>
      <c r="BP16" s="346">
        <v>13453</v>
      </c>
      <c r="BQ16" s="346">
        <v>13404</v>
      </c>
      <c r="BR16" s="346">
        <v>16076</v>
      </c>
      <c r="BS16" s="346">
        <v>177595</v>
      </c>
      <c r="BT16"/>
      <c r="BU16"/>
      <c r="BV16"/>
      <c r="BW16" s="1381" t="s">
        <v>2149</v>
      </c>
      <c r="BX16" s="1382" t="s">
        <v>1233</v>
      </c>
      <c r="BY16" s="1383">
        <v>0</v>
      </c>
      <c r="BZ16" s="1383">
        <v>0</v>
      </c>
      <c r="CA16" s="1383">
        <v>54</v>
      </c>
      <c r="CB16" s="1383">
        <v>65</v>
      </c>
      <c r="CC16" s="1383">
        <v>76</v>
      </c>
      <c r="CD16" s="1383">
        <v>85</v>
      </c>
      <c r="CE16" s="1383">
        <v>66</v>
      </c>
      <c r="CF16" s="1383">
        <v>72</v>
      </c>
      <c r="CG16" s="1383">
        <v>86</v>
      </c>
      <c r="CH16" s="1383">
        <v>70</v>
      </c>
      <c r="CI16" s="1383">
        <v>87</v>
      </c>
      <c r="CJ16" s="1383">
        <v>0</v>
      </c>
      <c r="CK16" s="1383">
        <v>0</v>
      </c>
      <c r="CL16" s="1383">
        <v>0</v>
      </c>
      <c r="CM16" s="1383">
        <v>0</v>
      </c>
      <c r="CN16" s="1384">
        <v>661</v>
      </c>
      <c r="CO16"/>
      <c r="CP16"/>
      <c r="CQ16" s="1381" t="s">
        <v>2150</v>
      </c>
      <c r="CR16" s="1382" t="s">
        <v>2151</v>
      </c>
      <c r="CS16" s="1383">
        <v>0</v>
      </c>
      <c r="CT16" s="1383">
        <v>0</v>
      </c>
      <c r="CU16" s="1383">
        <v>0</v>
      </c>
      <c r="CV16" s="1383">
        <v>2</v>
      </c>
      <c r="CW16" s="1383">
        <v>0</v>
      </c>
      <c r="CX16" s="1383">
        <v>1</v>
      </c>
      <c r="CY16" s="1383">
        <v>2</v>
      </c>
      <c r="CZ16" s="1383">
        <v>2</v>
      </c>
      <c r="DA16" s="1383">
        <v>3</v>
      </c>
      <c r="DB16" s="1383">
        <v>2</v>
      </c>
      <c r="DC16" s="1383">
        <v>1</v>
      </c>
      <c r="DD16" s="1383">
        <v>0</v>
      </c>
      <c r="DE16" s="1383">
        <v>0</v>
      </c>
      <c r="DF16" s="1383">
        <v>0</v>
      </c>
      <c r="DG16" s="1383">
        <v>0</v>
      </c>
      <c r="DH16" s="1384">
        <v>13</v>
      </c>
      <c r="DI16"/>
      <c r="DJ16"/>
    </row>
    <row r="17" spans="1:114">
      <c r="A17" s="795" t="s">
        <v>1937</v>
      </c>
      <c r="B17" s="795">
        <v>7596074.3922332646</v>
      </c>
      <c r="C17" s="795">
        <v>0</v>
      </c>
      <c r="D17" s="795">
        <v>0</v>
      </c>
      <c r="E17" s="795">
        <v>561382.53223326453</v>
      </c>
      <c r="F17" s="795">
        <v>279822</v>
      </c>
      <c r="G17" s="795">
        <v>2937333</v>
      </c>
      <c r="H17" s="795">
        <v>2189627.2999999998</v>
      </c>
      <c r="I17" s="795">
        <v>0</v>
      </c>
      <c r="J17" s="795">
        <v>2189627.2999999998</v>
      </c>
      <c r="K17" s="795">
        <v>2189627.2999999998</v>
      </c>
      <c r="L17" s="795">
        <v>1501499</v>
      </c>
      <c r="M17" s="795">
        <v>260655</v>
      </c>
      <c r="N17" s="795">
        <v>8744176</v>
      </c>
      <c r="O17" s="795">
        <v>747705.70000000019</v>
      </c>
      <c r="P17" s="795">
        <v>9491881.6999999993</v>
      </c>
      <c r="Q17" s="795">
        <v>842762</v>
      </c>
      <c r="R17" s="795">
        <v>0</v>
      </c>
      <c r="S17" s="795">
        <v>359100</v>
      </c>
      <c r="T17" s="795">
        <v>327515</v>
      </c>
      <c r="U17" s="795">
        <v>46230.860000000102</v>
      </c>
      <c r="V17" s="796"/>
      <c r="W17" s="795">
        <v>4780807</v>
      </c>
      <c r="X17" s="795">
        <v>1194194.7000000002</v>
      </c>
      <c r="Y17" s="797">
        <v>291254</v>
      </c>
      <c r="Z17" s="795">
        <v>128000</v>
      </c>
      <c r="AA17" s="795">
        <v>21350</v>
      </c>
      <c r="AB17" s="795">
        <v>59621</v>
      </c>
      <c r="AC17" s="795">
        <v>150044</v>
      </c>
      <c r="AD17" s="795">
        <v>841320</v>
      </c>
      <c r="AE17" s="798">
        <v>0</v>
      </c>
      <c r="AF17" s="801"/>
      <c r="AG17" s="795">
        <v>5145976</v>
      </c>
      <c r="AH17" s="795">
        <v>2937333</v>
      </c>
      <c r="AI17" s="795">
        <v>1501499</v>
      </c>
      <c r="AJ17" s="795">
        <v>260655</v>
      </c>
      <c r="AK17" s="786">
        <v>446489</v>
      </c>
      <c r="AL17" s="799"/>
      <c r="AM17" s="799">
        <v>148581</v>
      </c>
      <c r="AN17" s="799">
        <v>359100</v>
      </c>
      <c r="AO17" s="799">
        <v>327515</v>
      </c>
      <c r="AP17" s="786">
        <v>835196</v>
      </c>
      <c r="AT17" s="800"/>
      <c r="AU17" s="786">
        <v>4780807</v>
      </c>
      <c r="AV17" s="800">
        <v>2151808</v>
      </c>
      <c r="AW17" s="800"/>
      <c r="AY17" s="835">
        <v>1476</v>
      </c>
      <c r="AZ17" s="836">
        <v>1401.7</v>
      </c>
      <c r="BA17"/>
      <c r="BB17" s="1350" t="s">
        <v>2152</v>
      </c>
      <c r="BC17" s="1353"/>
      <c r="BD17" s="1353"/>
      <c r="BE17" s="1353"/>
      <c r="BF17" s="1353"/>
      <c r="BG17" s="1353"/>
      <c r="BH17" s="1353"/>
      <c r="BI17" s="1353"/>
      <c r="BJ17" s="1353"/>
      <c r="BK17" s="1353"/>
      <c r="BL17" s="1353"/>
      <c r="BM17" s="1353"/>
      <c r="BN17" s="1353"/>
      <c r="BO17" s="1353"/>
      <c r="BP17" s="1353"/>
      <c r="BQ17" s="1353"/>
      <c r="BR17" s="1353"/>
      <c r="BS17" s="1353"/>
      <c r="BT17"/>
      <c r="BU17"/>
      <c r="BV17"/>
      <c r="BW17" s="1381" t="s">
        <v>2153</v>
      </c>
      <c r="BX17" s="1382" t="s">
        <v>1233</v>
      </c>
      <c r="BY17" s="1383">
        <v>0</v>
      </c>
      <c r="BZ17" s="1383">
        <v>0</v>
      </c>
      <c r="CA17" s="1383">
        <v>34</v>
      </c>
      <c r="CB17" s="1383">
        <v>44</v>
      </c>
      <c r="CC17" s="1383">
        <v>44</v>
      </c>
      <c r="CD17" s="1383">
        <v>58</v>
      </c>
      <c r="CE17" s="1383">
        <v>36</v>
      </c>
      <c r="CF17" s="1383">
        <v>44</v>
      </c>
      <c r="CG17" s="1383">
        <v>0</v>
      </c>
      <c r="CH17" s="1383">
        <v>0</v>
      </c>
      <c r="CI17" s="1383">
        <v>0</v>
      </c>
      <c r="CJ17" s="1383">
        <v>0</v>
      </c>
      <c r="CK17" s="1383">
        <v>0</v>
      </c>
      <c r="CL17" s="1383">
        <v>0</v>
      </c>
      <c r="CM17" s="1383">
        <v>0</v>
      </c>
      <c r="CN17" s="1384">
        <v>260</v>
      </c>
      <c r="CO17"/>
      <c r="CP17"/>
      <c r="CQ17" s="1381" t="s">
        <v>2154</v>
      </c>
      <c r="CR17" s="1382" t="s">
        <v>2155</v>
      </c>
      <c r="CS17" s="1383">
        <v>0</v>
      </c>
      <c r="CT17" s="1383">
        <v>0</v>
      </c>
      <c r="CU17" s="1383">
        <v>11</v>
      </c>
      <c r="CV17" s="1383">
        <v>8</v>
      </c>
      <c r="CW17" s="1383">
        <v>10</v>
      </c>
      <c r="CX17" s="1383">
        <v>5</v>
      </c>
      <c r="CY17" s="1383">
        <v>9</v>
      </c>
      <c r="CZ17" s="1383">
        <v>10</v>
      </c>
      <c r="DA17" s="1383">
        <v>4</v>
      </c>
      <c r="DB17" s="1383">
        <v>4</v>
      </c>
      <c r="DC17" s="1383">
        <v>9</v>
      </c>
      <c r="DD17" s="1383">
        <v>6</v>
      </c>
      <c r="DE17" s="1383">
        <v>9</v>
      </c>
      <c r="DF17" s="1383">
        <v>0</v>
      </c>
      <c r="DG17" s="1383">
        <v>0</v>
      </c>
      <c r="DH17" s="1384">
        <v>85</v>
      </c>
      <c r="DI17"/>
      <c r="DJ17"/>
    </row>
    <row r="18" spans="1:114" ht="15.75" customHeight="1">
      <c r="A18" s="796" t="s">
        <v>1938</v>
      </c>
      <c r="B18" s="796">
        <v>9534465.7200000007</v>
      </c>
      <c r="C18" s="796">
        <v>4667650</v>
      </c>
      <c r="D18" s="796">
        <v>208582</v>
      </c>
      <c r="E18" s="796">
        <v>0</v>
      </c>
      <c r="F18" s="796">
        <v>213613</v>
      </c>
      <c r="G18" s="796">
        <v>861655</v>
      </c>
      <c r="H18" s="796">
        <v>635852.54</v>
      </c>
      <c r="I18" s="796">
        <v>0</v>
      </c>
      <c r="J18" s="796">
        <v>635852.54</v>
      </c>
      <c r="K18" s="796">
        <v>635852.54</v>
      </c>
      <c r="L18" s="796">
        <v>376357</v>
      </c>
      <c r="M18" s="796">
        <v>49462</v>
      </c>
      <c r="N18" s="796">
        <v>3757579</v>
      </c>
      <c r="O18" s="796">
        <v>225802.45999999996</v>
      </c>
      <c r="P18" s="796">
        <v>3983381.46</v>
      </c>
      <c r="Q18" s="796">
        <v>104207</v>
      </c>
      <c r="R18" s="796">
        <v>0</v>
      </c>
      <c r="S18" s="796">
        <v>285000</v>
      </c>
      <c r="T18" s="796">
        <v>84520</v>
      </c>
      <c r="U18" s="796">
        <v>28504.72000000003</v>
      </c>
      <c r="V18" s="796"/>
      <c r="W18" s="796">
        <v>3066410</v>
      </c>
      <c r="X18" s="795">
        <v>602415.46</v>
      </c>
      <c r="Y18" s="797">
        <v>209745</v>
      </c>
      <c r="Z18" s="796">
        <v>81500</v>
      </c>
      <c r="AA18" s="796">
        <v>750</v>
      </c>
      <c r="AB18" s="796">
        <v>33991</v>
      </c>
      <c r="AC18" s="796">
        <v>104227</v>
      </c>
      <c r="AD18" s="796">
        <v>586530</v>
      </c>
      <c r="AE18" s="798">
        <v>0</v>
      </c>
      <c r="AF18" s="801"/>
      <c r="AG18" s="799">
        <v>1664087</v>
      </c>
      <c r="AH18" s="799">
        <v>861655</v>
      </c>
      <c r="AI18" s="799">
        <v>376357</v>
      </c>
      <c r="AJ18" s="799">
        <v>49462</v>
      </c>
      <c r="AK18" s="786">
        <v>376613</v>
      </c>
      <c r="AL18" s="799"/>
      <c r="AM18" s="799">
        <v>101931</v>
      </c>
      <c r="AN18" s="799">
        <v>285000</v>
      </c>
      <c r="AO18" s="799">
        <v>84520</v>
      </c>
      <c r="AP18" s="786">
        <v>471451</v>
      </c>
      <c r="AT18" s="800"/>
      <c r="AU18" s="786">
        <v>3066410</v>
      </c>
      <c r="AV18" s="800">
        <v>1990050</v>
      </c>
      <c r="AW18" s="800"/>
      <c r="AY18" s="835">
        <v>986</v>
      </c>
      <c r="AZ18" s="836">
        <v>922.6</v>
      </c>
      <c r="BA18"/>
      <c r="BB18" s="347" t="s">
        <v>2156</v>
      </c>
      <c r="BC18" s="348">
        <v>11</v>
      </c>
      <c r="BD18" s="348">
        <v>0</v>
      </c>
      <c r="BE18" s="348">
        <v>25</v>
      </c>
      <c r="BF18" s="348">
        <v>296</v>
      </c>
      <c r="BG18" s="348">
        <v>279</v>
      </c>
      <c r="BH18" s="348">
        <v>291</v>
      </c>
      <c r="BI18" s="348">
        <v>274</v>
      </c>
      <c r="BJ18" s="348">
        <v>270</v>
      </c>
      <c r="BK18" s="348">
        <v>272</v>
      </c>
      <c r="BL18" s="348">
        <v>293</v>
      </c>
      <c r="BM18" s="348">
        <v>294</v>
      </c>
      <c r="BN18" s="348">
        <v>284</v>
      </c>
      <c r="BO18" s="348">
        <v>275</v>
      </c>
      <c r="BP18" s="348">
        <v>240</v>
      </c>
      <c r="BQ18" s="348">
        <v>203</v>
      </c>
      <c r="BR18" s="348">
        <v>187</v>
      </c>
      <c r="BS18" s="349">
        <v>3483</v>
      </c>
      <c r="BT18"/>
      <c r="BU18"/>
      <c r="BV18"/>
      <c r="BW18" s="1381" t="s">
        <v>2157</v>
      </c>
      <c r="BX18" s="1382" t="s">
        <v>2158</v>
      </c>
      <c r="BY18" s="1383">
        <v>0</v>
      </c>
      <c r="BZ18" s="1383">
        <v>0</v>
      </c>
      <c r="CA18" s="1383">
        <v>26</v>
      </c>
      <c r="CB18" s="1383">
        <v>32</v>
      </c>
      <c r="CC18" s="1383">
        <v>33</v>
      </c>
      <c r="CD18" s="1383">
        <v>29</v>
      </c>
      <c r="CE18" s="1383">
        <v>32</v>
      </c>
      <c r="CF18" s="1383">
        <v>37</v>
      </c>
      <c r="CG18" s="1383">
        <v>0</v>
      </c>
      <c r="CH18" s="1383">
        <v>0</v>
      </c>
      <c r="CI18" s="1383">
        <v>0</v>
      </c>
      <c r="CJ18" s="1383">
        <v>0</v>
      </c>
      <c r="CK18" s="1383">
        <v>0</v>
      </c>
      <c r="CL18" s="1383">
        <v>0</v>
      </c>
      <c r="CM18" s="1383">
        <v>0</v>
      </c>
      <c r="CN18" s="1384">
        <v>189</v>
      </c>
      <c r="CO18"/>
      <c r="CP18"/>
      <c r="CQ18" s="1381" t="s">
        <v>2159</v>
      </c>
      <c r="CR18" s="1382" t="s">
        <v>2160</v>
      </c>
      <c r="CS18" s="1383">
        <v>0</v>
      </c>
      <c r="CT18" s="1383">
        <v>0</v>
      </c>
      <c r="CU18" s="1383">
        <v>3</v>
      </c>
      <c r="CV18" s="1383">
        <v>4</v>
      </c>
      <c r="CW18" s="1383">
        <v>12</v>
      </c>
      <c r="CX18" s="1383">
        <v>6</v>
      </c>
      <c r="CY18" s="1383">
        <v>13</v>
      </c>
      <c r="CZ18" s="1383">
        <v>12</v>
      </c>
      <c r="DA18" s="1383">
        <v>15</v>
      </c>
      <c r="DB18" s="1383">
        <v>6</v>
      </c>
      <c r="DC18" s="1383">
        <v>8</v>
      </c>
      <c r="DD18" s="1383">
        <v>0</v>
      </c>
      <c r="DE18" s="1383">
        <v>0</v>
      </c>
      <c r="DF18" s="1383">
        <v>0</v>
      </c>
      <c r="DG18" s="1383">
        <v>0</v>
      </c>
      <c r="DH18" s="1384">
        <v>79</v>
      </c>
      <c r="DI18"/>
      <c r="DJ18"/>
    </row>
    <row r="19" spans="1:114">
      <c r="A19" s="795" t="s">
        <v>440</v>
      </c>
      <c r="B19" s="795">
        <v>7509273.4813842047</v>
      </c>
      <c r="C19" s="795">
        <v>0</v>
      </c>
      <c r="D19" s="795">
        <v>0</v>
      </c>
      <c r="E19" s="795">
        <v>791726.12138420471</v>
      </c>
      <c r="F19" s="795">
        <v>288549</v>
      </c>
      <c r="G19" s="795">
        <v>1409149</v>
      </c>
      <c r="H19" s="795">
        <v>1019294.19</v>
      </c>
      <c r="I19" s="795">
        <v>759.27</v>
      </c>
      <c r="J19" s="795">
        <v>1018534.9199999999</v>
      </c>
      <c r="K19" s="795">
        <v>1018534.9199999999</v>
      </c>
      <c r="L19" s="795">
        <v>458758</v>
      </c>
      <c r="M19" s="795">
        <v>203373</v>
      </c>
      <c r="N19" s="795">
        <v>8418176</v>
      </c>
      <c r="O19" s="795">
        <v>390614.08000000007</v>
      </c>
      <c r="P19" s="795">
        <v>8808790.0800000001</v>
      </c>
      <c r="Q19" s="795">
        <v>886412</v>
      </c>
      <c r="R19" s="795">
        <v>0</v>
      </c>
      <c r="S19" s="795">
        <v>336300</v>
      </c>
      <c r="T19" s="795">
        <v>109876</v>
      </c>
      <c r="U19" s="795">
        <v>40213.360000000044</v>
      </c>
      <c r="V19" s="796"/>
      <c r="W19" s="795">
        <v>4754880</v>
      </c>
      <c r="X19" s="795">
        <v>1020413.0800000001</v>
      </c>
      <c r="Y19" s="797">
        <v>264055</v>
      </c>
      <c r="Z19" s="795">
        <v>18000</v>
      </c>
      <c r="AA19" s="795">
        <v>21600</v>
      </c>
      <c r="AB19" s="795">
        <v>59620</v>
      </c>
      <c r="AC19" s="795">
        <v>147475</v>
      </c>
      <c r="AD19" s="795">
        <v>844740</v>
      </c>
      <c r="AE19" s="798">
        <v>0</v>
      </c>
      <c r="AF19" s="801"/>
      <c r="AG19" s="799">
        <v>2701079</v>
      </c>
      <c r="AH19" s="799">
        <v>1409149</v>
      </c>
      <c r="AI19" s="799">
        <v>458758</v>
      </c>
      <c r="AJ19" s="799">
        <v>203373</v>
      </c>
      <c r="AK19" s="786">
        <v>629799</v>
      </c>
      <c r="AL19" s="799"/>
      <c r="AM19" s="799">
        <v>145660</v>
      </c>
      <c r="AN19" s="799">
        <v>336300</v>
      </c>
      <c r="AO19" s="799">
        <v>109876</v>
      </c>
      <c r="AP19" s="786">
        <v>591836</v>
      </c>
      <c r="AT19" s="800"/>
      <c r="AU19" s="786">
        <v>4754880</v>
      </c>
      <c r="AV19" s="800">
        <v>1523217</v>
      </c>
      <c r="AW19" s="800"/>
      <c r="AY19" s="835">
        <v>1397</v>
      </c>
      <c r="AZ19" s="836">
        <v>1347.6999999999998</v>
      </c>
      <c r="BA19"/>
      <c r="BB19" s="1359" t="s">
        <v>2161</v>
      </c>
      <c r="BC19" s="1353"/>
      <c r="BD19" s="1353"/>
      <c r="BE19" s="1353"/>
      <c r="BF19" s="1353"/>
      <c r="BG19" s="1353"/>
      <c r="BH19" s="1353"/>
      <c r="BI19" s="1353"/>
      <c r="BJ19" s="1353"/>
      <c r="BK19" s="1353"/>
      <c r="BL19" s="1353"/>
      <c r="BM19" s="1353"/>
      <c r="BN19" s="1353"/>
      <c r="BO19" s="1353"/>
      <c r="BP19" s="1353"/>
      <c r="BQ19" s="1353"/>
      <c r="BR19" s="1353"/>
      <c r="BS19" s="1353"/>
      <c r="BT19"/>
      <c r="BU19"/>
      <c r="BV19"/>
      <c r="BW19" s="1381" t="s">
        <v>2162</v>
      </c>
      <c r="BX19" s="1382" t="s">
        <v>1233</v>
      </c>
      <c r="BY19" s="1383">
        <v>0</v>
      </c>
      <c r="BZ19" s="1383">
        <v>0</v>
      </c>
      <c r="CA19" s="1383">
        <v>0</v>
      </c>
      <c r="CB19" s="1383">
        <v>0</v>
      </c>
      <c r="CC19" s="1383">
        <v>0</v>
      </c>
      <c r="CD19" s="1383">
        <v>0</v>
      </c>
      <c r="CE19" s="1383">
        <v>0</v>
      </c>
      <c r="CF19" s="1383">
        <v>0</v>
      </c>
      <c r="CG19" s="1383">
        <v>135</v>
      </c>
      <c r="CH19" s="1383">
        <v>158</v>
      </c>
      <c r="CI19" s="1383">
        <v>148</v>
      </c>
      <c r="CJ19" s="1383">
        <v>0</v>
      </c>
      <c r="CK19" s="1383">
        <v>0</v>
      </c>
      <c r="CL19" s="1383">
        <v>0</v>
      </c>
      <c r="CM19" s="1383">
        <v>0</v>
      </c>
      <c r="CN19" s="1384">
        <v>441</v>
      </c>
      <c r="CO19"/>
      <c r="CP19"/>
      <c r="CQ19" s="1381" t="s">
        <v>2163</v>
      </c>
      <c r="CR19" s="1382" t="s">
        <v>2164</v>
      </c>
      <c r="CS19" s="1383">
        <v>0</v>
      </c>
      <c r="CT19" s="1383">
        <v>0</v>
      </c>
      <c r="CU19" s="1383">
        <v>11</v>
      </c>
      <c r="CV19" s="1383">
        <v>12</v>
      </c>
      <c r="CW19" s="1383">
        <v>9</v>
      </c>
      <c r="CX19" s="1383">
        <v>11</v>
      </c>
      <c r="CY19" s="1383">
        <v>17</v>
      </c>
      <c r="CZ19" s="1383">
        <v>15</v>
      </c>
      <c r="DA19" s="1383">
        <v>17</v>
      </c>
      <c r="DB19" s="1383">
        <v>21</v>
      </c>
      <c r="DC19" s="1383">
        <v>14</v>
      </c>
      <c r="DD19" s="1383">
        <v>3</v>
      </c>
      <c r="DE19" s="1383">
        <v>0</v>
      </c>
      <c r="DF19" s="1383">
        <v>0</v>
      </c>
      <c r="DG19" s="1383">
        <v>0</v>
      </c>
      <c r="DH19" s="1384">
        <v>130</v>
      </c>
      <c r="DI19"/>
      <c r="DJ19"/>
    </row>
    <row r="20" spans="1:114">
      <c r="A20" s="796" t="s">
        <v>441</v>
      </c>
      <c r="B20" s="796">
        <v>39592469.5</v>
      </c>
      <c r="C20" s="796">
        <v>16724687</v>
      </c>
      <c r="D20" s="796">
        <v>4758592</v>
      </c>
      <c r="E20" s="796">
        <v>0</v>
      </c>
      <c r="F20" s="796">
        <v>1162396</v>
      </c>
      <c r="G20" s="796">
        <v>557383</v>
      </c>
      <c r="H20" s="796">
        <v>411452.4</v>
      </c>
      <c r="I20" s="796">
        <v>0</v>
      </c>
      <c r="J20" s="796">
        <v>411452.4</v>
      </c>
      <c r="K20" s="796">
        <v>411452.4</v>
      </c>
      <c r="L20" s="796">
        <v>159237</v>
      </c>
      <c r="M20" s="796">
        <v>33854</v>
      </c>
      <c r="N20" s="796">
        <v>3324394</v>
      </c>
      <c r="O20" s="796">
        <v>145930.59999999998</v>
      </c>
      <c r="P20" s="796">
        <v>3470324.6</v>
      </c>
      <c r="Q20" s="796">
        <v>1376257</v>
      </c>
      <c r="R20" s="796">
        <v>219600</v>
      </c>
      <c r="S20" s="796">
        <v>972800</v>
      </c>
      <c r="T20" s="796">
        <v>538815</v>
      </c>
      <c r="U20" s="796">
        <v>79265.5</v>
      </c>
      <c r="V20" s="796"/>
      <c r="W20" s="796">
        <v>11230453</v>
      </c>
      <c r="X20" s="795">
        <v>9103509.5999999996</v>
      </c>
      <c r="Y20" s="797">
        <v>1473463</v>
      </c>
      <c r="Z20" s="796">
        <v>851750</v>
      </c>
      <c r="AA20" s="796">
        <v>3000</v>
      </c>
      <c r="AB20" s="796">
        <v>59125</v>
      </c>
      <c r="AC20" s="796">
        <v>309200</v>
      </c>
      <c r="AD20" s="796">
        <v>4190355</v>
      </c>
      <c r="AE20" s="798">
        <v>8000</v>
      </c>
      <c r="AF20" s="801"/>
      <c r="AG20" s="799">
        <v>9708053</v>
      </c>
      <c r="AH20" s="799">
        <v>557383</v>
      </c>
      <c r="AI20" s="799">
        <v>159237</v>
      </c>
      <c r="AJ20" s="799">
        <v>33854</v>
      </c>
      <c r="AK20" s="786">
        <v>8957579</v>
      </c>
      <c r="AL20" s="799"/>
      <c r="AM20" s="799">
        <v>311714</v>
      </c>
      <c r="AN20" s="799">
        <v>972800</v>
      </c>
      <c r="AO20" s="799">
        <v>538815</v>
      </c>
      <c r="AP20" s="786">
        <v>1823329</v>
      </c>
      <c r="AR20" s="799"/>
      <c r="AS20" s="799">
        <v>851750</v>
      </c>
      <c r="AT20" s="800">
        <v>3000</v>
      </c>
      <c r="AU20" s="786">
        <v>11230453</v>
      </c>
      <c r="AV20" s="800">
        <v>17331016</v>
      </c>
      <c r="AW20" s="800"/>
      <c r="AY20" s="835">
        <v>2212</v>
      </c>
      <c r="AZ20" s="836">
        <v>2121</v>
      </c>
      <c r="BA20"/>
      <c r="BB20" s="350" t="s">
        <v>2165</v>
      </c>
      <c r="BC20" s="349">
        <v>703</v>
      </c>
      <c r="BD20" s="349">
        <v>638</v>
      </c>
      <c r="BE20" s="349">
        <v>1202</v>
      </c>
      <c r="BF20" s="349">
        <v>12607</v>
      </c>
      <c r="BG20" s="349">
        <v>13463</v>
      </c>
      <c r="BH20" s="349">
        <v>13704</v>
      </c>
      <c r="BI20" s="349">
        <v>13783</v>
      </c>
      <c r="BJ20" s="349">
        <v>13583</v>
      </c>
      <c r="BK20" s="349">
        <v>13571</v>
      </c>
      <c r="BL20" s="349">
        <v>13775</v>
      </c>
      <c r="BM20" s="349">
        <v>13732</v>
      </c>
      <c r="BN20" s="349">
        <v>13775</v>
      </c>
      <c r="BO20" s="349">
        <v>13682</v>
      </c>
      <c r="BP20" s="349">
        <v>13693</v>
      </c>
      <c r="BQ20" s="349">
        <v>13607</v>
      </c>
      <c r="BR20" s="349">
        <v>16263</v>
      </c>
      <c r="BS20" s="349">
        <v>181078</v>
      </c>
      <c r="BT20"/>
      <c r="BU20"/>
      <c r="BV20"/>
      <c r="BW20" s="1381" t="s">
        <v>2166</v>
      </c>
      <c r="BX20" s="1382" t="s">
        <v>1233</v>
      </c>
      <c r="BY20" s="1383">
        <v>10</v>
      </c>
      <c r="BZ20" s="1383">
        <v>0</v>
      </c>
      <c r="CA20" s="1383">
        <v>0</v>
      </c>
      <c r="CB20" s="1383">
        <v>0</v>
      </c>
      <c r="CC20" s="1383">
        <v>0</v>
      </c>
      <c r="CD20" s="1383">
        <v>0</v>
      </c>
      <c r="CE20" s="1383">
        <v>0</v>
      </c>
      <c r="CF20" s="1383">
        <v>0</v>
      </c>
      <c r="CG20" s="1383">
        <v>0</v>
      </c>
      <c r="CH20" s="1383">
        <v>0</v>
      </c>
      <c r="CI20" s="1383">
        <v>0</v>
      </c>
      <c r="CJ20" s="1383">
        <v>303</v>
      </c>
      <c r="CK20" s="1383">
        <v>305</v>
      </c>
      <c r="CL20" s="1383">
        <v>299</v>
      </c>
      <c r="CM20" s="1383">
        <v>339</v>
      </c>
      <c r="CN20" s="1384">
        <v>1256</v>
      </c>
      <c r="CO20"/>
      <c r="CP20"/>
      <c r="CQ20" s="1381" t="s">
        <v>2167</v>
      </c>
      <c r="CR20" s="1382" t="s">
        <v>2168</v>
      </c>
      <c r="CS20" s="1383">
        <v>0</v>
      </c>
      <c r="CT20" s="1383">
        <v>0</v>
      </c>
      <c r="CU20" s="1383">
        <v>1</v>
      </c>
      <c r="CV20" s="1383">
        <v>12</v>
      </c>
      <c r="CW20" s="1383">
        <v>3</v>
      </c>
      <c r="CX20" s="1383">
        <v>9</v>
      </c>
      <c r="CY20" s="1383">
        <v>9</v>
      </c>
      <c r="CZ20" s="1383">
        <v>7</v>
      </c>
      <c r="DA20" s="1383">
        <v>10</v>
      </c>
      <c r="DB20" s="1383">
        <v>10</v>
      </c>
      <c r="DC20" s="1383">
        <v>3</v>
      </c>
      <c r="DD20" s="1383">
        <v>6</v>
      </c>
      <c r="DE20" s="1383">
        <v>0</v>
      </c>
      <c r="DF20" s="1383">
        <v>0</v>
      </c>
      <c r="DG20" s="1383">
        <v>0</v>
      </c>
      <c r="DH20" s="1384">
        <v>70</v>
      </c>
      <c r="DI20"/>
      <c r="DJ20"/>
    </row>
    <row r="21" spans="1:114">
      <c r="A21" s="795" t="s">
        <v>1939</v>
      </c>
      <c r="B21" s="795">
        <v>29814991.005559988</v>
      </c>
      <c r="C21" s="795">
        <v>10861526</v>
      </c>
      <c r="D21" s="795">
        <v>0</v>
      </c>
      <c r="E21" s="795">
        <v>260892.92555999168</v>
      </c>
      <c r="F21" s="795">
        <v>710000</v>
      </c>
      <c r="G21" s="795">
        <v>3534943</v>
      </c>
      <c r="H21" s="795">
        <v>2674034.91</v>
      </c>
      <c r="I21" s="795">
        <v>0</v>
      </c>
      <c r="J21" s="795">
        <v>2674034.91</v>
      </c>
      <c r="K21" s="795">
        <v>2674034.91</v>
      </c>
      <c r="L21" s="795">
        <v>323087</v>
      </c>
      <c r="M21" s="795">
        <v>410614</v>
      </c>
      <c r="N21" s="795">
        <v>16882451</v>
      </c>
      <c r="O21" s="795">
        <v>860908.08999999985</v>
      </c>
      <c r="P21" s="795">
        <v>17743359.09</v>
      </c>
      <c r="Q21" s="795">
        <v>1553795</v>
      </c>
      <c r="R21" s="795">
        <v>0</v>
      </c>
      <c r="S21" s="795">
        <v>811300</v>
      </c>
      <c r="T21" s="795">
        <v>802940</v>
      </c>
      <c r="U21" s="795">
        <v>133504.08000000007</v>
      </c>
      <c r="V21" s="796"/>
      <c r="W21" s="795">
        <v>13575325</v>
      </c>
      <c r="X21" s="795">
        <v>1968786.0899999999</v>
      </c>
      <c r="Y21" s="797">
        <v>714314</v>
      </c>
      <c r="Z21" s="795">
        <v>27000</v>
      </c>
      <c r="AA21" s="795">
        <v>536900</v>
      </c>
      <c r="AB21" s="795">
        <v>275770</v>
      </c>
      <c r="AC21" s="795">
        <v>330645</v>
      </c>
      <c r="AD21" s="795">
        <v>1851075</v>
      </c>
      <c r="AE21" s="798">
        <v>0</v>
      </c>
      <c r="AF21" s="801"/>
      <c r="AG21" s="799">
        <v>5376522</v>
      </c>
      <c r="AH21" s="799">
        <v>3534943</v>
      </c>
      <c r="AI21" s="799">
        <v>323087</v>
      </c>
      <c r="AJ21" s="799">
        <v>410614</v>
      </c>
      <c r="AK21" s="786">
        <v>1107878</v>
      </c>
      <c r="AL21" s="799"/>
      <c r="AM21" s="799">
        <v>327218</v>
      </c>
      <c r="AN21" s="799">
        <v>811300</v>
      </c>
      <c r="AO21" s="799">
        <v>802940</v>
      </c>
      <c r="AP21" s="786">
        <v>1941458</v>
      </c>
      <c r="AT21" s="800"/>
      <c r="AU21" s="786">
        <v>13575325</v>
      </c>
      <c r="AV21" s="800">
        <v>3851624</v>
      </c>
      <c r="AW21" s="800"/>
      <c r="AY21" s="835">
        <v>4549</v>
      </c>
      <c r="AZ21" s="836">
        <v>4362.2</v>
      </c>
      <c r="BA21"/>
      <c r="BB21" s="351" t="s">
        <v>2169</v>
      </c>
      <c r="BC21" s="342"/>
      <c r="BD21" s="343" t="s">
        <v>2137</v>
      </c>
      <c r="BE21" s="343" t="s">
        <v>2137</v>
      </c>
      <c r="BF21" s="343" t="s">
        <v>2137</v>
      </c>
      <c r="BG21" s="343" t="s">
        <v>2137</v>
      </c>
      <c r="BH21" s="343" t="s">
        <v>2137</v>
      </c>
      <c r="BI21" s="343" t="s">
        <v>2137</v>
      </c>
      <c r="BJ21" s="343" t="s">
        <v>2137</v>
      </c>
      <c r="BK21" s="343" t="s">
        <v>2137</v>
      </c>
      <c r="BL21" s="343" t="s">
        <v>2137</v>
      </c>
      <c r="BM21" s="343" t="s">
        <v>2137</v>
      </c>
      <c r="BN21" s="343" t="s">
        <v>2137</v>
      </c>
      <c r="BO21" s="343" t="s">
        <v>2137</v>
      </c>
      <c r="BP21" s="343" t="s">
        <v>2137</v>
      </c>
      <c r="BQ21" s="343" t="s">
        <v>2137</v>
      </c>
      <c r="BR21" s="343" t="s">
        <v>2137</v>
      </c>
      <c r="BS21" s="344">
        <v>0</v>
      </c>
      <c r="BT21"/>
      <c r="BU21"/>
      <c r="BV21"/>
      <c r="BW21" s="1381" t="s">
        <v>2170</v>
      </c>
      <c r="BX21" s="1382" t="s">
        <v>1233</v>
      </c>
      <c r="BY21" s="1383">
        <v>0</v>
      </c>
      <c r="BZ21" s="1383">
        <v>0</v>
      </c>
      <c r="CA21" s="1383">
        <v>0</v>
      </c>
      <c r="CB21" s="1383">
        <v>0</v>
      </c>
      <c r="CC21" s="1383">
        <v>0</v>
      </c>
      <c r="CD21" s="1383">
        <v>0</v>
      </c>
      <c r="CE21" s="1383">
        <v>0</v>
      </c>
      <c r="CF21" s="1383">
        <v>0</v>
      </c>
      <c r="CG21" s="1383">
        <v>0</v>
      </c>
      <c r="CH21" s="1383">
        <v>0</v>
      </c>
      <c r="CI21" s="1383">
        <v>0</v>
      </c>
      <c r="CJ21" s="1383">
        <v>93</v>
      </c>
      <c r="CK21" s="1383">
        <v>80</v>
      </c>
      <c r="CL21" s="1383">
        <v>66</v>
      </c>
      <c r="CM21" s="1383">
        <v>76</v>
      </c>
      <c r="CN21" s="1384">
        <v>315</v>
      </c>
      <c r="CO21"/>
      <c r="CP21"/>
      <c r="CQ21" s="1381" t="s">
        <v>2171</v>
      </c>
      <c r="CR21" s="1382" t="s">
        <v>2172</v>
      </c>
      <c r="CS21" s="1383">
        <v>0</v>
      </c>
      <c r="CT21" s="1383">
        <v>0</v>
      </c>
      <c r="CU21" s="1383">
        <v>10</v>
      </c>
      <c r="CV21" s="1383">
        <v>11</v>
      </c>
      <c r="CW21" s="1383">
        <v>10</v>
      </c>
      <c r="CX21" s="1383">
        <v>7</v>
      </c>
      <c r="CY21" s="1383">
        <v>15</v>
      </c>
      <c r="CZ21" s="1383">
        <v>15</v>
      </c>
      <c r="DA21" s="1383">
        <v>9</v>
      </c>
      <c r="DB21" s="1383">
        <v>11</v>
      </c>
      <c r="DC21" s="1383">
        <v>13</v>
      </c>
      <c r="DD21" s="1383">
        <v>11</v>
      </c>
      <c r="DE21" s="1383">
        <v>16</v>
      </c>
      <c r="DF21" s="1383">
        <v>6</v>
      </c>
      <c r="DG21" s="1383">
        <v>9</v>
      </c>
      <c r="DH21" s="1384">
        <v>143</v>
      </c>
      <c r="DI21"/>
      <c r="DJ21"/>
    </row>
    <row r="22" spans="1:114">
      <c r="A22" s="796" t="s">
        <v>1940</v>
      </c>
      <c r="B22" s="796">
        <v>56911088.33689858</v>
      </c>
      <c r="C22" s="796">
        <v>23107291</v>
      </c>
      <c r="D22" s="796">
        <v>0</v>
      </c>
      <c r="E22" s="796">
        <v>221499.91689858297</v>
      </c>
      <c r="F22" s="796">
        <v>1363534</v>
      </c>
      <c r="G22" s="796">
        <v>6882719</v>
      </c>
      <c r="H22" s="796">
        <v>5265974.79</v>
      </c>
      <c r="I22" s="796">
        <v>47570.92</v>
      </c>
      <c r="J22" s="796">
        <v>5218403.87</v>
      </c>
      <c r="K22" s="796">
        <v>5218403.87</v>
      </c>
      <c r="L22" s="796">
        <v>747251</v>
      </c>
      <c r="M22" s="796">
        <v>713920</v>
      </c>
      <c r="N22" s="796">
        <v>28491033</v>
      </c>
      <c r="O22" s="796">
        <v>1664315.13</v>
      </c>
      <c r="P22" s="796">
        <v>30155348.129999999</v>
      </c>
      <c r="Q22" s="796">
        <v>2668423</v>
      </c>
      <c r="R22" s="796">
        <v>0</v>
      </c>
      <c r="S22" s="796">
        <v>1493400</v>
      </c>
      <c r="T22" s="796">
        <v>1367111</v>
      </c>
      <c r="U22" s="796">
        <v>241948.41999999993</v>
      </c>
      <c r="V22" s="796"/>
      <c r="W22" s="796">
        <v>24439043</v>
      </c>
      <c r="X22" s="795">
        <v>4356976.13</v>
      </c>
      <c r="Y22" s="797">
        <v>1120783</v>
      </c>
      <c r="Z22" s="796">
        <v>171000</v>
      </c>
      <c r="AA22" s="796">
        <v>537050</v>
      </c>
      <c r="AB22" s="796">
        <v>589600</v>
      </c>
      <c r="AC22" s="796">
        <v>611355</v>
      </c>
      <c r="AD22" s="796">
        <v>2930085</v>
      </c>
      <c r="AE22" s="798">
        <v>0</v>
      </c>
      <c r="AF22" s="801"/>
      <c r="AG22" s="799">
        <v>11036551</v>
      </c>
      <c r="AH22" s="799">
        <v>6882719</v>
      </c>
      <c r="AI22" s="799">
        <v>747251</v>
      </c>
      <c r="AJ22" s="799">
        <v>713920</v>
      </c>
      <c r="AK22" s="786">
        <v>2692661</v>
      </c>
      <c r="AL22" s="799"/>
      <c r="AM22" s="799">
        <v>601388</v>
      </c>
      <c r="AN22" s="799">
        <v>1493400</v>
      </c>
      <c r="AO22" s="799">
        <v>1367111</v>
      </c>
      <c r="AP22" s="786">
        <v>3461899</v>
      </c>
      <c r="AT22" s="800"/>
      <c r="AU22" s="786">
        <v>24439043</v>
      </c>
      <c r="AV22" s="800">
        <v>7515750</v>
      </c>
      <c r="AW22" s="800"/>
      <c r="AY22" s="835">
        <v>8353</v>
      </c>
      <c r="AZ22" s="836">
        <v>8019.5</v>
      </c>
      <c r="BA22"/>
      <c r="BB22" s="1360" t="s">
        <v>2173</v>
      </c>
      <c r="BC22" s="1358">
        <v>64</v>
      </c>
      <c r="BD22" s="1358">
        <v>0</v>
      </c>
      <c r="BE22" s="1358">
        <v>311</v>
      </c>
      <c r="BF22" s="1358">
        <v>1092</v>
      </c>
      <c r="BG22" s="1358">
        <v>1060</v>
      </c>
      <c r="BH22" s="1358">
        <v>1044</v>
      </c>
      <c r="BI22" s="1358">
        <v>1088</v>
      </c>
      <c r="BJ22" s="1358">
        <v>1021</v>
      </c>
      <c r="BK22" s="1358">
        <v>1085</v>
      </c>
      <c r="BL22" s="1358">
        <v>1158</v>
      </c>
      <c r="BM22" s="1358">
        <v>1179</v>
      </c>
      <c r="BN22" s="1358">
        <v>1148</v>
      </c>
      <c r="BO22" s="1358">
        <v>1111</v>
      </c>
      <c r="BP22" s="1358">
        <v>1013</v>
      </c>
      <c r="BQ22" s="1358">
        <v>1017</v>
      </c>
      <c r="BR22" s="1358">
        <v>1169</v>
      </c>
      <c r="BS22" s="1361">
        <v>14496</v>
      </c>
      <c r="BT22"/>
      <c r="BU22"/>
      <c r="BV22"/>
      <c r="BW22" s="1381" t="s">
        <v>2174</v>
      </c>
      <c r="BX22" s="1382" t="s">
        <v>1233</v>
      </c>
      <c r="BY22" s="1383">
        <v>0</v>
      </c>
      <c r="BZ22" s="1383">
        <v>0</v>
      </c>
      <c r="CA22" s="1383">
        <v>59</v>
      </c>
      <c r="CB22" s="1383">
        <v>61</v>
      </c>
      <c r="CC22" s="1383">
        <v>60</v>
      </c>
      <c r="CD22" s="1383">
        <v>50</v>
      </c>
      <c r="CE22" s="1383">
        <v>49</v>
      </c>
      <c r="CF22" s="1383">
        <v>49</v>
      </c>
      <c r="CG22" s="1383">
        <v>0</v>
      </c>
      <c r="CH22" s="1383">
        <v>0</v>
      </c>
      <c r="CI22" s="1383">
        <v>0</v>
      </c>
      <c r="CJ22" s="1383">
        <v>0</v>
      </c>
      <c r="CK22" s="1383">
        <v>0</v>
      </c>
      <c r="CL22" s="1383">
        <v>0</v>
      </c>
      <c r="CM22" s="1383">
        <v>0</v>
      </c>
      <c r="CN22" s="1384">
        <v>328</v>
      </c>
      <c r="CO22"/>
      <c r="CP22"/>
      <c r="CQ22" s="1381" t="s">
        <v>2175</v>
      </c>
      <c r="CR22" s="1382" t="s">
        <v>2176</v>
      </c>
      <c r="CS22" s="1383">
        <v>0</v>
      </c>
      <c r="CT22" s="1383">
        <v>0</v>
      </c>
      <c r="CU22" s="1383">
        <v>5</v>
      </c>
      <c r="CV22" s="1383">
        <v>2</v>
      </c>
      <c r="CW22" s="1383">
        <v>2</v>
      </c>
      <c r="CX22" s="1383">
        <v>4</v>
      </c>
      <c r="CY22" s="1383">
        <v>3</v>
      </c>
      <c r="CZ22" s="1383">
        <v>6</v>
      </c>
      <c r="DA22" s="1383">
        <v>3</v>
      </c>
      <c r="DB22" s="1383">
        <v>3</v>
      </c>
      <c r="DC22" s="1383">
        <v>5</v>
      </c>
      <c r="DD22" s="1383">
        <v>4</v>
      </c>
      <c r="DE22" s="1383">
        <v>0</v>
      </c>
      <c r="DF22" s="1383">
        <v>0</v>
      </c>
      <c r="DG22" s="1383">
        <v>0</v>
      </c>
      <c r="DH22" s="1384">
        <v>37</v>
      </c>
      <c r="DI22"/>
      <c r="DJ22"/>
    </row>
    <row r="23" spans="1:114">
      <c r="A23" s="795" t="s">
        <v>1941</v>
      </c>
      <c r="B23" s="795">
        <v>16381758.411862958</v>
      </c>
      <c r="C23" s="795">
        <v>2946042</v>
      </c>
      <c r="D23" s="795">
        <v>0</v>
      </c>
      <c r="E23" s="795">
        <v>418690.0718629593</v>
      </c>
      <c r="F23" s="795">
        <v>593767</v>
      </c>
      <c r="G23" s="795">
        <v>3746328</v>
      </c>
      <c r="H23" s="795">
        <v>2810932.28</v>
      </c>
      <c r="I23" s="795">
        <v>0</v>
      </c>
      <c r="J23" s="795">
        <v>2810932.28</v>
      </c>
      <c r="K23" s="795">
        <v>2810932.28</v>
      </c>
      <c r="L23" s="795">
        <v>808470</v>
      </c>
      <c r="M23" s="795">
        <v>418540</v>
      </c>
      <c r="N23" s="795">
        <v>16592074</v>
      </c>
      <c r="O23" s="795">
        <v>935395.7200000002</v>
      </c>
      <c r="P23" s="795">
        <v>17527469.719999999</v>
      </c>
      <c r="Q23" s="795">
        <v>1154716</v>
      </c>
      <c r="R23" s="795">
        <v>0</v>
      </c>
      <c r="S23" s="795">
        <v>537700</v>
      </c>
      <c r="T23" s="795">
        <v>505007</v>
      </c>
      <c r="U23" s="795">
        <v>85948.340000000084</v>
      </c>
      <c r="V23" s="796"/>
      <c r="W23" s="795">
        <v>9444864</v>
      </c>
      <c r="X23" s="795">
        <v>1766757.7200000002</v>
      </c>
      <c r="Y23" s="797">
        <v>459274</v>
      </c>
      <c r="Z23" s="795">
        <v>135000</v>
      </c>
      <c r="AA23" s="795">
        <v>49250</v>
      </c>
      <c r="AB23" s="795">
        <v>93390</v>
      </c>
      <c r="AC23" s="795">
        <v>293200</v>
      </c>
      <c r="AD23" s="795">
        <v>1524465</v>
      </c>
      <c r="AE23" s="798">
        <v>0</v>
      </c>
      <c r="AF23" s="801"/>
      <c r="AG23" s="799">
        <v>5804700</v>
      </c>
      <c r="AH23" s="799">
        <v>3746328</v>
      </c>
      <c r="AI23" s="799">
        <v>808470</v>
      </c>
      <c r="AJ23" s="799">
        <v>418540</v>
      </c>
      <c r="AK23" s="786">
        <v>831362</v>
      </c>
      <c r="AL23" s="799"/>
      <c r="AM23" s="799">
        <v>290975</v>
      </c>
      <c r="AN23" s="799">
        <v>537700</v>
      </c>
      <c r="AO23" s="799">
        <v>505007</v>
      </c>
      <c r="AP23" s="786">
        <v>1333682</v>
      </c>
      <c r="AT23" s="800"/>
      <c r="AU23" s="786">
        <v>9444864</v>
      </c>
      <c r="AV23" s="800">
        <v>2900627</v>
      </c>
      <c r="AW23" s="800"/>
      <c r="AY23" s="835">
        <v>2931</v>
      </c>
      <c r="AZ23" s="836">
        <v>2825</v>
      </c>
      <c r="BA23"/>
      <c r="BB23" s="1542" t="s">
        <v>2177</v>
      </c>
      <c r="BC23" s="1425">
        <v>50</v>
      </c>
      <c r="BD23" s="1425">
        <v>0</v>
      </c>
      <c r="BE23" s="1425">
        <v>0</v>
      </c>
      <c r="BF23" s="1425">
        <v>64</v>
      </c>
      <c r="BG23" s="1425">
        <v>228</v>
      </c>
      <c r="BH23" s="1425">
        <v>230</v>
      </c>
      <c r="BI23" s="1425">
        <v>238</v>
      </c>
      <c r="BJ23" s="1425">
        <v>243</v>
      </c>
      <c r="BK23" s="1425">
        <v>183</v>
      </c>
      <c r="BL23" s="1425">
        <v>193</v>
      </c>
      <c r="BM23" s="1425">
        <v>166</v>
      </c>
      <c r="BN23" s="1425">
        <v>161</v>
      </c>
      <c r="BO23" s="1425">
        <v>159</v>
      </c>
      <c r="BP23" s="1425">
        <v>103</v>
      </c>
      <c r="BQ23" s="1425">
        <v>58</v>
      </c>
      <c r="BR23" s="1425">
        <v>35</v>
      </c>
      <c r="BS23" s="1426">
        <v>2061</v>
      </c>
      <c r="BT23"/>
      <c r="BU23"/>
      <c r="BV23"/>
      <c r="BW23" s="1381" t="s">
        <v>2178</v>
      </c>
      <c r="BX23" s="1382" t="s">
        <v>2158</v>
      </c>
      <c r="BY23" s="1383">
        <v>0</v>
      </c>
      <c r="BZ23" s="1383">
        <v>0</v>
      </c>
      <c r="CA23" s="1383">
        <v>36</v>
      </c>
      <c r="CB23" s="1383">
        <v>37</v>
      </c>
      <c r="CC23" s="1383">
        <v>35</v>
      </c>
      <c r="CD23" s="1383">
        <v>41</v>
      </c>
      <c r="CE23" s="1383">
        <v>43</v>
      </c>
      <c r="CF23" s="1383">
        <v>40</v>
      </c>
      <c r="CG23" s="1383">
        <v>0</v>
      </c>
      <c r="CH23" s="1383">
        <v>0</v>
      </c>
      <c r="CI23" s="1383">
        <v>0</v>
      </c>
      <c r="CJ23" s="1383">
        <v>0</v>
      </c>
      <c r="CK23" s="1383">
        <v>0</v>
      </c>
      <c r="CL23" s="1383">
        <v>0</v>
      </c>
      <c r="CM23" s="1383">
        <v>0</v>
      </c>
      <c r="CN23" s="1384">
        <v>232</v>
      </c>
      <c r="CO23"/>
      <c r="CP23"/>
      <c r="CQ23" s="1381" t="s">
        <v>2179</v>
      </c>
      <c r="CR23" s="1382" t="s">
        <v>2160</v>
      </c>
      <c r="CS23" s="1383">
        <v>0</v>
      </c>
      <c r="CT23" s="1383">
        <v>0</v>
      </c>
      <c r="CU23" s="1383">
        <v>0</v>
      </c>
      <c r="CV23" s="1383">
        <v>0</v>
      </c>
      <c r="CW23" s="1383">
        <v>0</v>
      </c>
      <c r="CX23" s="1383">
        <v>0</v>
      </c>
      <c r="CY23" s="1383">
        <v>0</v>
      </c>
      <c r="CZ23" s="1383">
        <v>0</v>
      </c>
      <c r="DA23" s="1383">
        <v>0</v>
      </c>
      <c r="DB23" s="1383">
        <v>0</v>
      </c>
      <c r="DC23" s="1383">
        <v>0</v>
      </c>
      <c r="DD23" s="1383">
        <v>27</v>
      </c>
      <c r="DE23" s="1383">
        <v>69</v>
      </c>
      <c r="DF23" s="1383">
        <v>51</v>
      </c>
      <c r="DG23" s="1383">
        <v>45</v>
      </c>
      <c r="DH23" s="1384">
        <v>192</v>
      </c>
      <c r="DI23"/>
      <c r="DJ23"/>
    </row>
    <row r="24" spans="1:114" ht="15" customHeight="1">
      <c r="A24" s="796" t="s">
        <v>1942</v>
      </c>
      <c r="B24" s="796">
        <v>14200195.16</v>
      </c>
      <c r="C24" s="796">
        <v>5707544</v>
      </c>
      <c r="D24" s="796">
        <v>970692</v>
      </c>
      <c r="E24" s="796">
        <v>0</v>
      </c>
      <c r="F24" s="796">
        <v>331664</v>
      </c>
      <c r="G24" s="796">
        <v>1099041</v>
      </c>
      <c r="H24" s="796">
        <v>811251.22</v>
      </c>
      <c r="I24" s="796">
        <v>0</v>
      </c>
      <c r="J24" s="796">
        <v>811251.22</v>
      </c>
      <c r="K24" s="796">
        <v>811251.22</v>
      </c>
      <c r="L24" s="796">
        <v>154704</v>
      </c>
      <c r="M24" s="796">
        <v>530218</v>
      </c>
      <c r="N24" s="796">
        <v>2956168</v>
      </c>
      <c r="O24" s="796">
        <v>287789.78000000003</v>
      </c>
      <c r="P24" s="796">
        <v>3243957.7800000003</v>
      </c>
      <c r="Q24" s="796">
        <v>278751</v>
      </c>
      <c r="R24" s="796">
        <v>0</v>
      </c>
      <c r="S24" s="796">
        <v>491150</v>
      </c>
      <c r="T24" s="796">
        <v>266238</v>
      </c>
      <c r="U24" s="796">
        <v>49124.160000000033</v>
      </c>
      <c r="V24" s="796"/>
      <c r="W24" s="796">
        <v>4701944</v>
      </c>
      <c r="X24" s="795">
        <v>1252453.78</v>
      </c>
      <c r="Y24" s="797">
        <v>340888</v>
      </c>
      <c r="Z24" s="796">
        <v>171000</v>
      </c>
      <c r="AA24" s="796">
        <v>13600</v>
      </c>
      <c r="AB24" s="796">
        <v>35365</v>
      </c>
      <c r="AC24" s="796">
        <v>183501</v>
      </c>
      <c r="AD24" s="796">
        <v>911430</v>
      </c>
      <c r="AE24" s="798">
        <v>0</v>
      </c>
      <c r="AF24" s="801"/>
      <c r="AG24" s="799">
        <v>2748627</v>
      </c>
      <c r="AH24" s="799">
        <v>1099041</v>
      </c>
      <c r="AI24" s="799">
        <v>154704</v>
      </c>
      <c r="AJ24" s="799">
        <v>530218</v>
      </c>
      <c r="AK24" s="786">
        <v>964664</v>
      </c>
      <c r="AL24" s="799"/>
      <c r="AM24" s="799">
        <v>187456</v>
      </c>
      <c r="AN24" s="799">
        <v>491150</v>
      </c>
      <c r="AO24" s="799">
        <v>266238</v>
      </c>
      <c r="AP24" s="786">
        <v>944844</v>
      </c>
      <c r="AT24" s="800"/>
      <c r="AU24" s="786">
        <v>4701944</v>
      </c>
      <c r="AV24" s="800">
        <v>2382487</v>
      </c>
      <c r="AW24" s="800"/>
      <c r="AY24" s="835">
        <v>1518</v>
      </c>
      <c r="AZ24" s="836">
        <v>1465.5</v>
      </c>
      <c r="BA24"/>
      <c r="BB24" s="1362" t="s">
        <v>2180</v>
      </c>
      <c r="BC24" s="1363">
        <v>114</v>
      </c>
      <c r="BD24" s="1363">
        <v>0</v>
      </c>
      <c r="BE24" s="1363">
        <v>311</v>
      </c>
      <c r="BF24" s="1363">
        <v>1156</v>
      </c>
      <c r="BG24" s="1363">
        <v>1288</v>
      </c>
      <c r="BH24" s="1363">
        <v>1274</v>
      </c>
      <c r="BI24" s="1363">
        <v>1326</v>
      </c>
      <c r="BJ24" s="1363">
        <v>1264</v>
      </c>
      <c r="BK24" s="1363">
        <v>1268</v>
      </c>
      <c r="BL24" s="1363">
        <v>1351</v>
      </c>
      <c r="BM24" s="1363">
        <v>1345</v>
      </c>
      <c r="BN24" s="1363">
        <v>1309</v>
      </c>
      <c r="BO24" s="1363">
        <v>1270</v>
      </c>
      <c r="BP24" s="1363">
        <v>1116</v>
      </c>
      <c r="BQ24" s="1363">
        <v>1075</v>
      </c>
      <c r="BR24" s="1363">
        <v>1204</v>
      </c>
      <c r="BS24" s="1363">
        <v>16557</v>
      </c>
      <c r="BT24"/>
      <c r="BU24"/>
      <c r="BV24"/>
      <c r="BW24" s="1381" t="s">
        <v>2181</v>
      </c>
      <c r="BX24" s="1382" t="s">
        <v>1233</v>
      </c>
      <c r="BY24" s="1383">
        <v>0</v>
      </c>
      <c r="BZ24" s="1383">
        <v>0</v>
      </c>
      <c r="CA24" s="1383">
        <v>71</v>
      </c>
      <c r="CB24" s="1383">
        <v>60</v>
      </c>
      <c r="CC24" s="1383">
        <v>71</v>
      </c>
      <c r="CD24" s="1383">
        <v>64</v>
      </c>
      <c r="CE24" s="1383">
        <v>49</v>
      </c>
      <c r="CF24" s="1383">
        <v>0</v>
      </c>
      <c r="CG24" s="1383">
        <v>0</v>
      </c>
      <c r="CH24" s="1383">
        <v>0</v>
      </c>
      <c r="CI24" s="1383">
        <v>0</v>
      </c>
      <c r="CJ24" s="1383">
        <v>0</v>
      </c>
      <c r="CK24" s="1383">
        <v>0</v>
      </c>
      <c r="CL24" s="1383">
        <v>0</v>
      </c>
      <c r="CM24" s="1383">
        <v>0</v>
      </c>
      <c r="CN24" s="1384">
        <v>315</v>
      </c>
      <c r="CO24"/>
      <c r="CP24"/>
      <c r="CQ24" s="1381" t="s">
        <v>2182</v>
      </c>
      <c r="CR24" s="1382" t="s">
        <v>1095</v>
      </c>
      <c r="CS24" s="1383">
        <v>0</v>
      </c>
      <c r="CT24" s="1383">
        <v>0</v>
      </c>
      <c r="CU24" s="1383">
        <v>17</v>
      </c>
      <c r="CV24" s="1383">
        <v>17</v>
      </c>
      <c r="CW24" s="1383">
        <v>14</v>
      </c>
      <c r="CX24" s="1383">
        <v>23</v>
      </c>
      <c r="CY24" s="1383">
        <v>21</v>
      </c>
      <c r="CZ24" s="1383">
        <v>21</v>
      </c>
      <c r="DA24" s="1383">
        <v>19</v>
      </c>
      <c r="DB24" s="1383">
        <v>30</v>
      </c>
      <c r="DC24" s="1383">
        <v>21</v>
      </c>
      <c r="DD24" s="1383">
        <v>28</v>
      </c>
      <c r="DE24" s="1383">
        <v>20</v>
      </c>
      <c r="DF24" s="1383">
        <v>20</v>
      </c>
      <c r="DG24" s="1383">
        <v>23</v>
      </c>
      <c r="DH24" s="1384">
        <v>274</v>
      </c>
      <c r="DI24"/>
      <c r="DJ24"/>
    </row>
    <row r="25" spans="1:114" ht="15" customHeight="1">
      <c r="A25" s="795" t="s">
        <v>442</v>
      </c>
      <c r="B25" s="795">
        <v>8850172.2599999998</v>
      </c>
      <c r="C25" s="795">
        <v>2781484</v>
      </c>
      <c r="D25" s="795">
        <v>419953</v>
      </c>
      <c r="E25" s="795">
        <v>0</v>
      </c>
      <c r="F25" s="795">
        <v>249737</v>
      </c>
      <c r="G25" s="795">
        <v>1138838</v>
      </c>
      <c r="H25" s="795">
        <v>847444.61</v>
      </c>
      <c r="I25" s="795">
        <v>0</v>
      </c>
      <c r="J25" s="795">
        <v>847444.61</v>
      </c>
      <c r="K25" s="795">
        <v>847444.61</v>
      </c>
      <c r="L25" s="795">
        <v>414194</v>
      </c>
      <c r="M25" s="795">
        <v>109054</v>
      </c>
      <c r="N25" s="795">
        <v>3970354</v>
      </c>
      <c r="O25" s="795">
        <v>291393.39</v>
      </c>
      <c r="P25" s="795">
        <v>4261747.3899999997</v>
      </c>
      <c r="Q25" s="795">
        <v>906663</v>
      </c>
      <c r="R25" s="795">
        <v>0</v>
      </c>
      <c r="S25" s="795">
        <v>304000</v>
      </c>
      <c r="T25" s="795">
        <v>242995</v>
      </c>
      <c r="U25" s="795">
        <v>32163.260000000009</v>
      </c>
      <c r="V25" s="796"/>
      <c r="W25" s="795">
        <v>3495063</v>
      </c>
      <c r="X25" s="795">
        <v>699796.39</v>
      </c>
      <c r="Y25" s="797">
        <v>233256</v>
      </c>
      <c r="Z25" s="795">
        <v>99000</v>
      </c>
      <c r="AA25" s="795">
        <v>12850</v>
      </c>
      <c r="AB25" s="795">
        <v>42900</v>
      </c>
      <c r="AC25" s="795">
        <v>96138</v>
      </c>
      <c r="AD25" s="795">
        <v>792585</v>
      </c>
      <c r="AE25" s="798">
        <v>0</v>
      </c>
      <c r="AF25" s="801"/>
      <c r="AG25" s="799">
        <v>2070489</v>
      </c>
      <c r="AH25" s="799">
        <v>1138838</v>
      </c>
      <c r="AI25" s="799">
        <v>414194</v>
      </c>
      <c r="AJ25" s="799">
        <v>109054</v>
      </c>
      <c r="AK25" s="786">
        <v>408403</v>
      </c>
      <c r="AL25" s="799"/>
      <c r="AM25" s="799">
        <v>99713</v>
      </c>
      <c r="AN25" s="799">
        <v>304000</v>
      </c>
      <c r="AO25" s="799">
        <v>242995</v>
      </c>
      <c r="AP25" s="786">
        <v>646708</v>
      </c>
      <c r="AT25" s="800"/>
      <c r="AU25" s="786">
        <v>3495063</v>
      </c>
      <c r="AV25" s="800">
        <v>1306260</v>
      </c>
      <c r="AW25" s="800"/>
      <c r="AY25" s="835">
        <v>954</v>
      </c>
      <c r="AZ25" s="836">
        <v>914.8</v>
      </c>
      <c r="BA25"/>
      <c r="BB25" s="1350" t="s">
        <v>2183</v>
      </c>
      <c r="BC25" s="1353"/>
      <c r="BD25" s="1353"/>
      <c r="BE25" s="1353"/>
      <c r="BF25" s="1353"/>
      <c r="BG25" s="1353"/>
      <c r="BH25" s="1353"/>
      <c r="BI25" s="1353"/>
      <c r="BJ25" s="1353"/>
      <c r="BK25" s="1353"/>
      <c r="BL25" s="1353"/>
      <c r="BM25" s="1353"/>
      <c r="BN25" s="1353"/>
      <c r="BO25" s="1353"/>
      <c r="BP25" s="1353"/>
      <c r="BQ25" s="1353"/>
      <c r="BR25" s="1353"/>
      <c r="BS25" s="1353"/>
      <c r="BT25"/>
      <c r="BU25"/>
      <c r="BV25"/>
      <c r="BW25" s="1381" t="s">
        <v>2184</v>
      </c>
      <c r="BX25" s="1382" t="s">
        <v>1233</v>
      </c>
      <c r="BY25" s="1383">
        <v>0</v>
      </c>
      <c r="BZ25" s="1383">
        <v>0</v>
      </c>
      <c r="CA25" s="1383">
        <v>0</v>
      </c>
      <c r="CB25" s="1383">
        <v>0</v>
      </c>
      <c r="CC25" s="1383">
        <v>0</v>
      </c>
      <c r="CD25" s="1383">
        <v>0</v>
      </c>
      <c r="CE25" s="1383">
        <v>0</v>
      </c>
      <c r="CF25" s="1383">
        <v>0</v>
      </c>
      <c r="CG25" s="1383">
        <v>172</v>
      </c>
      <c r="CH25" s="1383">
        <v>166</v>
      </c>
      <c r="CI25" s="1383">
        <v>162</v>
      </c>
      <c r="CJ25" s="1383">
        <v>0</v>
      </c>
      <c r="CK25" s="1383">
        <v>0</v>
      </c>
      <c r="CL25" s="1383">
        <v>0</v>
      </c>
      <c r="CM25" s="1383">
        <v>0</v>
      </c>
      <c r="CN25" s="1384">
        <v>500</v>
      </c>
      <c r="CO25"/>
      <c r="CP25"/>
      <c r="CQ25" s="1381" t="s">
        <v>2185</v>
      </c>
      <c r="CR25" s="1382" t="s">
        <v>2186</v>
      </c>
      <c r="CS25" s="1383">
        <v>0</v>
      </c>
      <c r="CT25" s="1383">
        <v>0</v>
      </c>
      <c r="CU25" s="1383">
        <v>17</v>
      </c>
      <c r="CV25" s="1383">
        <v>16</v>
      </c>
      <c r="CW25" s="1383">
        <v>29</v>
      </c>
      <c r="CX25" s="1383">
        <v>25</v>
      </c>
      <c r="CY25" s="1383">
        <v>24</v>
      </c>
      <c r="CZ25" s="1383">
        <v>15</v>
      </c>
      <c r="DA25" s="1383">
        <v>28</v>
      </c>
      <c r="DB25" s="1383">
        <v>17</v>
      </c>
      <c r="DC25" s="1383">
        <v>30</v>
      </c>
      <c r="DD25" s="1383">
        <v>19</v>
      </c>
      <c r="DE25" s="1383">
        <v>19</v>
      </c>
      <c r="DF25" s="1383">
        <v>22</v>
      </c>
      <c r="DG25" s="1383">
        <v>23</v>
      </c>
      <c r="DH25" s="1384">
        <v>284</v>
      </c>
      <c r="DI25"/>
      <c r="DJ25"/>
    </row>
    <row r="26" spans="1:114">
      <c r="A26" s="796" t="s">
        <v>443</v>
      </c>
      <c r="B26" s="796">
        <v>21943276.52</v>
      </c>
      <c r="C26" s="796">
        <v>3259077</v>
      </c>
      <c r="D26" s="796">
        <v>0</v>
      </c>
      <c r="E26" s="796">
        <v>444442.38605027768</v>
      </c>
      <c r="F26" s="796">
        <v>921017</v>
      </c>
      <c r="G26" s="796">
        <v>6076010</v>
      </c>
      <c r="H26" s="796">
        <v>4589419.75</v>
      </c>
      <c r="I26" s="796">
        <v>0</v>
      </c>
      <c r="J26" s="796">
        <v>4589419.75</v>
      </c>
      <c r="K26" s="796">
        <v>4589419.75</v>
      </c>
      <c r="L26" s="796">
        <v>2534539</v>
      </c>
      <c r="M26" s="796">
        <v>680447</v>
      </c>
      <c r="N26" s="796">
        <v>25824878</v>
      </c>
      <c r="O26" s="796">
        <v>1486590.25</v>
      </c>
      <c r="P26" s="796">
        <v>27311468.25</v>
      </c>
      <c r="Q26" s="796">
        <v>1605612</v>
      </c>
      <c r="R26" s="796">
        <v>0</v>
      </c>
      <c r="S26" s="796">
        <v>984200</v>
      </c>
      <c r="T26" s="796">
        <v>667708</v>
      </c>
      <c r="U26" s="796">
        <v>117587.52000000002</v>
      </c>
      <c r="V26" s="796"/>
      <c r="W26" s="796">
        <v>11868182</v>
      </c>
      <c r="X26" s="795">
        <v>2693917.25</v>
      </c>
      <c r="Y26" s="797">
        <v>710914</v>
      </c>
      <c r="Z26" s="796">
        <v>356500</v>
      </c>
      <c r="AA26" s="796">
        <v>78225</v>
      </c>
      <c r="AB26" s="796">
        <v>281215</v>
      </c>
      <c r="AC26" s="796">
        <v>337339</v>
      </c>
      <c r="AD26" s="796">
        <v>1989585</v>
      </c>
      <c r="AE26" s="798">
        <v>61000</v>
      </c>
      <c r="AF26" s="801"/>
      <c r="AG26" s="799">
        <v>10498323</v>
      </c>
      <c r="AH26" s="799">
        <v>6076010</v>
      </c>
      <c r="AI26" s="799">
        <v>2534539</v>
      </c>
      <c r="AJ26" s="799">
        <v>680447</v>
      </c>
      <c r="AK26" s="786">
        <v>1207327</v>
      </c>
      <c r="AL26" s="799"/>
      <c r="AM26" s="799">
        <v>341942</v>
      </c>
      <c r="AN26" s="799">
        <v>984200</v>
      </c>
      <c r="AO26" s="799">
        <v>667708</v>
      </c>
      <c r="AP26" s="786">
        <v>1993850</v>
      </c>
      <c r="AT26" s="800"/>
      <c r="AU26" s="786">
        <v>11868182</v>
      </c>
      <c r="AV26" s="800">
        <v>5280263</v>
      </c>
      <c r="AW26" s="800"/>
      <c r="AY26" s="835">
        <v>3833</v>
      </c>
      <c r="AZ26" s="836">
        <v>3694.5</v>
      </c>
      <c r="BA26"/>
      <c r="BB26" s="350" t="s">
        <v>2165</v>
      </c>
      <c r="BC26" s="349">
        <v>817</v>
      </c>
      <c r="BD26" s="349">
        <v>638</v>
      </c>
      <c r="BE26" s="349">
        <v>1513</v>
      </c>
      <c r="BF26" s="349">
        <v>13763</v>
      </c>
      <c r="BG26" s="349">
        <v>14751</v>
      </c>
      <c r="BH26" s="349">
        <v>14978</v>
      </c>
      <c r="BI26" s="349">
        <v>15109</v>
      </c>
      <c r="BJ26" s="349">
        <v>14847</v>
      </c>
      <c r="BK26" s="349">
        <v>14839</v>
      </c>
      <c r="BL26" s="349">
        <v>15126</v>
      </c>
      <c r="BM26" s="349">
        <v>15077</v>
      </c>
      <c r="BN26" s="349">
        <v>15084</v>
      </c>
      <c r="BO26" s="349">
        <v>14952</v>
      </c>
      <c r="BP26" s="349">
        <v>14809</v>
      </c>
      <c r="BQ26" s="349">
        <v>14682</v>
      </c>
      <c r="BR26" s="349">
        <v>17467</v>
      </c>
      <c r="BS26" s="349">
        <v>197635</v>
      </c>
      <c r="BT26"/>
      <c r="BU26"/>
      <c r="BV26"/>
      <c r="BW26" s="1381" t="s">
        <v>2187</v>
      </c>
      <c r="BX26" s="1382" t="s">
        <v>1233</v>
      </c>
      <c r="BY26" s="1383">
        <v>0</v>
      </c>
      <c r="BZ26" s="1383">
        <v>0</v>
      </c>
      <c r="CA26" s="1383">
        <v>82</v>
      </c>
      <c r="CB26" s="1383">
        <v>79</v>
      </c>
      <c r="CC26" s="1383">
        <v>92</v>
      </c>
      <c r="CD26" s="1383">
        <v>79</v>
      </c>
      <c r="CE26" s="1383">
        <v>61</v>
      </c>
      <c r="CF26" s="1383">
        <v>0</v>
      </c>
      <c r="CG26" s="1383">
        <v>0</v>
      </c>
      <c r="CH26" s="1383">
        <v>0</v>
      </c>
      <c r="CI26" s="1383">
        <v>0</v>
      </c>
      <c r="CJ26" s="1383">
        <v>0</v>
      </c>
      <c r="CK26" s="1383">
        <v>0</v>
      </c>
      <c r="CL26" s="1383">
        <v>0</v>
      </c>
      <c r="CM26" s="1383">
        <v>0</v>
      </c>
      <c r="CN26" s="1384">
        <v>393</v>
      </c>
      <c r="CO26"/>
      <c r="CP26"/>
      <c r="CQ26" s="1381" t="s">
        <v>2188</v>
      </c>
      <c r="CR26" s="1382" t="s">
        <v>1414</v>
      </c>
      <c r="CS26" s="1383">
        <v>0</v>
      </c>
      <c r="CT26" s="1383">
        <v>0</v>
      </c>
      <c r="CU26" s="1383">
        <v>1</v>
      </c>
      <c r="CV26" s="1383">
        <v>3</v>
      </c>
      <c r="CW26" s="1383">
        <v>7</v>
      </c>
      <c r="CX26" s="1383">
        <v>1</v>
      </c>
      <c r="CY26" s="1383">
        <v>2</v>
      </c>
      <c r="CZ26" s="1383">
        <v>4</v>
      </c>
      <c r="DA26" s="1383">
        <v>5</v>
      </c>
      <c r="DB26" s="1383">
        <v>4</v>
      </c>
      <c r="DC26" s="1383">
        <v>3</v>
      </c>
      <c r="DD26" s="1383">
        <v>0</v>
      </c>
      <c r="DE26" s="1383">
        <v>0</v>
      </c>
      <c r="DF26" s="1383">
        <v>0</v>
      </c>
      <c r="DG26" s="1383">
        <v>0</v>
      </c>
      <c r="DH26" s="1384">
        <v>30</v>
      </c>
      <c r="DI26"/>
      <c r="DJ26"/>
    </row>
    <row r="27" spans="1:114">
      <c r="A27" s="795" t="s">
        <v>1943</v>
      </c>
      <c r="B27" s="795">
        <v>82548147.958060414</v>
      </c>
      <c r="C27" s="795">
        <v>19159143</v>
      </c>
      <c r="D27" s="795">
        <v>0</v>
      </c>
      <c r="E27" s="795">
        <v>393775.41806040955</v>
      </c>
      <c r="F27" s="795">
        <v>2782302</v>
      </c>
      <c r="G27" s="795">
        <v>21918644</v>
      </c>
      <c r="H27" s="795">
        <v>18234169.02</v>
      </c>
      <c r="I27" s="795">
        <v>2006231.4</v>
      </c>
      <c r="J27" s="795">
        <v>16227937.619999999</v>
      </c>
      <c r="K27" s="795">
        <v>16227937.619999999</v>
      </c>
      <c r="L27" s="795">
        <v>2910662</v>
      </c>
      <c r="M27" s="795">
        <v>2087518</v>
      </c>
      <c r="N27" s="795">
        <v>80786619</v>
      </c>
      <c r="O27" s="795">
        <v>5690706.3800000008</v>
      </c>
      <c r="P27" s="795">
        <v>86477325.379999995</v>
      </c>
      <c r="Q27" s="795">
        <v>1285058</v>
      </c>
      <c r="R27" s="795">
        <v>0</v>
      </c>
      <c r="S27" s="795">
        <v>3099850</v>
      </c>
      <c r="T27" s="795">
        <v>4496464</v>
      </c>
      <c r="U27" s="795">
        <v>489189.54000000097</v>
      </c>
      <c r="V27" s="796"/>
      <c r="W27" s="795">
        <v>45754469</v>
      </c>
      <c r="X27" s="795">
        <v>11618758.380000001</v>
      </c>
      <c r="Y27" s="797">
        <v>2320144</v>
      </c>
      <c r="Z27" s="795">
        <v>803000</v>
      </c>
      <c r="AA27" s="795">
        <v>1308575</v>
      </c>
      <c r="AB27" s="795">
        <v>727816</v>
      </c>
      <c r="AC27" s="795">
        <v>1120643</v>
      </c>
      <c r="AD27" s="795">
        <v>6425325</v>
      </c>
      <c r="AE27" s="798">
        <v>0</v>
      </c>
      <c r="AF27" s="801"/>
      <c r="AG27" s="799">
        <v>32844876</v>
      </c>
      <c r="AH27" s="799">
        <v>21918644</v>
      </c>
      <c r="AI27" s="799">
        <v>2910662</v>
      </c>
      <c r="AJ27" s="799">
        <v>2087518</v>
      </c>
      <c r="AK27" s="786">
        <v>5928052</v>
      </c>
      <c r="AL27" s="799"/>
      <c r="AM27" s="799">
        <v>1103595</v>
      </c>
      <c r="AN27" s="799">
        <v>3099850</v>
      </c>
      <c r="AO27" s="799">
        <v>4418283</v>
      </c>
      <c r="AP27" s="786">
        <v>8621728</v>
      </c>
      <c r="AT27" s="800"/>
      <c r="AU27" s="786">
        <v>45754469</v>
      </c>
      <c r="AV27" s="800">
        <v>17792407</v>
      </c>
      <c r="AW27" s="800"/>
      <c r="AY27" s="835">
        <v>15615</v>
      </c>
      <c r="AZ27" s="836">
        <v>15009.100000000002</v>
      </c>
      <c r="BA27"/>
      <c r="BB27" s="352" t="s">
        <v>2189</v>
      </c>
      <c r="BC27" s="353">
        <v>4136</v>
      </c>
      <c r="BD27" s="353">
        <v>0</v>
      </c>
      <c r="BE27" s="353">
        <v>0</v>
      </c>
      <c r="BF27" s="353">
        <v>340</v>
      </c>
      <c r="BG27" s="353">
        <v>722</v>
      </c>
      <c r="BH27" s="353">
        <v>905</v>
      </c>
      <c r="BI27" s="353">
        <v>895</v>
      </c>
      <c r="BJ27" s="353">
        <v>889</v>
      </c>
      <c r="BK27" s="353">
        <v>810</v>
      </c>
      <c r="BL27" s="353">
        <v>824</v>
      </c>
      <c r="BM27" s="353">
        <v>705</v>
      </c>
      <c r="BN27" s="353">
        <v>662</v>
      </c>
      <c r="BO27" s="353">
        <v>412</v>
      </c>
      <c r="BP27" s="353">
        <v>390</v>
      </c>
      <c r="BQ27" s="353">
        <v>288</v>
      </c>
      <c r="BR27" s="353">
        <v>185</v>
      </c>
      <c r="BS27" s="837">
        <v>8027</v>
      </c>
      <c r="BT27"/>
      <c r="BU27"/>
      <c r="BV27"/>
      <c r="BW27" s="1381" t="s">
        <v>2190</v>
      </c>
      <c r="BX27" s="1382" t="s">
        <v>1233</v>
      </c>
      <c r="BY27" s="1383">
        <v>0</v>
      </c>
      <c r="BZ27" s="1383">
        <v>0</v>
      </c>
      <c r="CA27" s="1383">
        <v>0</v>
      </c>
      <c r="CB27" s="1383">
        <v>0</v>
      </c>
      <c r="CC27" s="1383">
        <v>0</v>
      </c>
      <c r="CD27" s="1383">
        <v>0</v>
      </c>
      <c r="CE27" s="1383">
        <v>0</v>
      </c>
      <c r="CF27" s="1383">
        <v>0</v>
      </c>
      <c r="CG27" s="1383">
        <v>125</v>
      </c>
      <c r="CH27" s="1383">
        <v>99</v>
      </c>
      <c r="CI27" s="1383">
        <v>100</v>
      </c>
      <c r="CJ27" s="1383">
        <v>0</v>
      </c>
      <c r="CK27" s="1383">
        <v>0</v>
      </c>
      <c r="CL27" s="1383">
        <v>0</v>
      </c>
      <c r="CM27" s="1383">
        <v>0</v>
      </c>
      <c r="CN27" s="1384">
        <v>324</v>
      </c>
      <c r="CO27"/>
      <c r="CP27"/>
      <c r="CQ27" s="1381" t="s">
        <v>2191</v>
      </c>
      <c r="CR27" s="1382" t="s">
        <v>2192</v>
      </c>
      <c r="CS27" s="1383">
        <v>0</v>
      </c>
      <c r="CT27" s="1383">
        <v>0</v>
      </c>
      <c r="CU27" s="1383">
        <v>58</v>
      </c>
      <c r="CV27" s="1383">
        <v>41</v>
      </c>
      <c r="CW27" s="1383">
        <v>64</v>
      </c>
      <c r="CX27" s="1383">
        <v>50</v>
      </c>
      <c r="CY27" s="1383">
        <v>60</v>
      </c>
      <c r="CZ27" s="1383">
        <v>52</v>
      </c>
      <c r="DA27" s="1383">
        <v>59</v>
      </c>
      <c r="DB27" s="1383">
        <v>47</v>
      </c>
      <c r="DC27" s="1383">
        <v>51</v>
      </c>
      <c r="DD27" s="1383">
        <v>0</v>
      </c>
      <c r="DE27" s="1383">
        <v>0</v>
      </c>
      <c r="DF27" s="1383">
        <v>0</v>
      </c>
      <c r="DG27" s="1383">
        <v>0</v>
      </c>
      <c r="DH27" s="1384">
        <v>482</v>
      </c>
      <c r="DI27"/>
      <c r="DJ27"/>
    </row>
    <row r="28" spans="1:114">
      <c r="A28" s="796" t="s">
        <v>444</v>
      </c>
      <c r="B28" s="796">
        <v>22522769.460000001</v>
      </c>
      <c r="C28" s="796">
        <v>6727854</v>
      </c>
      <c r="D28" s="796">
        <v>719357</v>
      </c>
      <c r="E28" s="796">
        <v>0</v>
      </c>
      <c r="F28" s="796">
        <v>618540</v>
      </c>
      <c r="G28" s="796">
        <v>3579073</v>
      </c>
      <c r="H28" s="796">
        <v>2648862.09</v>
      </c>
      <c r="I28" s="796">
        <v>0</v>
      </c>
      <c r="J28" s="796">
        <v>2648862.09</v>
      </c>
      <c r="K28" s="796">
        <v>2648862.09</v>
      </c>
      <c r="L28" s="796">
        <v>345180</v>
      </c>
      <c r="M28" s="796">
        <v>354984</v>
      </c>
      <c r="N28" s="796">
        <v>14093171</v>
      </c>
      <c r="O28" s="796">
        <v>930210.91000000015</v>
      </c>
      <c r="P28" s="796">
        <v>15023381.91</v>
      </c>
      <c r="Q28" s="796">
        <v>1544274</v>
      </c>
      <c r="R28" s="796">
        <v>0</v>
      </c>
      <c r="S28" s="796">
        <v>563350</v>
      </c>
      <c r="T28" s="796">
        <v>297933</v>
      </c>
      <c r="U28" s="796">
        <v>85521.460000000079</v>
      </c>
      <c r="V28" s="796"/>
      <c r="W28" s="796">
        <v>10739246</v>
      </c>
      <c r="X28" s="795">
        <v>1907500.9100000001</v>
      </c>
      <c r="Y28" s="797">
        <v>769803</v>
      </c>
      <c r="Z28" s="796">
        <v>245000</v>
      </c>
      <c r="AA28" s="796">
        <v>32875</v>
      </c>
      <c r="AB28" s="796">
        <v>227590</v>
      </c>
      <c r="AC28" s="796">
        <v>322038</v>
      </c>
      <c r="AD28" s="796">
        <v>2238390</v>
      </c>
      <c r="AE28" s="798">
        <v>59000</v>
      </c>
      <c r="AF28" s="801"/>
      <c r="AG28" s="799">
        <v>5256527</v>
      </c>
      <c r="AH28" s="799">
        <v>3579073</v>
      </c>
      <c r="AI28" s="799">
        <v>345180</v>
      </c>
      <c r="AJ28" s="799">
        <v>354984</v>
      </c>
      <c r="AK28" s="786">
        <v>977290</v>
      </c>
      <c r="AL28" s="799"/>
      <c r="AM28" s="799">
        <v>316934</v>
      </c>
      <c r="AN28" s="799">
        <v>563350</v>
      </c>
      <c r="AO28" s="799">
        <v>276803</v>
      </c>
      <c r="AP28" s="786">
        <v>1157087</v>
      </c>
      <c r="AT28" s="800"/>
      <c r="AU28" s="786">
        <v>10739246</v>
      </c>
      <c r="AV28" s="800">
        <v>4122288</v>
      </c>
      <c r="AW28" s="800"/>
      <c r="AY28" s="835">
        <v>3113</v>
      </c>
      <c r="AZ28" s="836">
        <v>2989</v>
      </c>
      <c r="BA28"/>
      <c r="BB28" s="1362" t="s">
        <v>2193</v>
      </c>
      <c r="BC28" s="1363">
        <v>4953</v>
      </c>
      <c r="BD28" s="1363">
        <v>638</v>
      </c>
      <c r="BE28" s="1363">
        <v>1513</v>
      </c>
      <c r="BF28" s="1363">
        <v>14103</v>
      </c>
      <c r="BG28" s="1363">
        <v>15473</v>
      </c>
      <c r="BH28" s="1363">
        <v>15883</v>
      </c>
      <c r="BI28" s="1363">
        <v>16004</v>
      </c>
      <c r="BJ28" s="1363">
        <v>15736</v>
      </c>
      <c r="BK28" s="1363">
        <v>15649</v>
      </c>
      <c r="BL28" s="1363">
        <v>15950</v>
      </c>
      <c r="BM28" s="1363">
        <v>15782</v>
      </c>
      <c r="BN28" s="1363">
        <v>15746</v>
      </c>
      <c r="BO28" s="1363">
        <v>15364</v>
      </c>
      <c r="BP28" s="1363">
        <v>15199</v>
      </c>
      <c r="BQ28" s="1363">
        <v>14970</v>
      </c>
      <c r="BR28" s="1363">
        <v>17652</v>
      </c>
      <c r="BS28" s="1363">
        <v>205662</v>
      </c>
      <c r="BT28"/>
      <c r="BU28"/>
      <c r="BV28"/>
      <c r="BW28" s="1381" t="s">
        <v>2194</v>
      </c>
      <c r="BX28" s="1382" t="s">
        <v>1233</v>
      </c>
      <c r="BY28" s="1383">
        <v>0</v>
      </c>
      <c r="BZ28" s="1383">
        <v>0</v>
      </c>
      <c r="CA28" s="1383">
        <v>65</v>
      </c>
      <c r="CB28" s="1383">
        <v>46</v>
      </c>
      <c r="CC28" s="1383">
        <v>56</v>
      </c>
      <c r="CD28" s="1383">
        <v>51</v>
      </c>
      <c r="CE28" s="1383">
        <v>53</v>
      </c>
      <c r="CF28" s="1383">
        <v>47</v>
      </c>
      <c r="CG28" s="1383">
        <v>0</v>
      </c>
      <c r="CH28" s="1383">
        <v>0</v>
      </c>
      <c r="CI28" s="1383">
        <v>0</v>
      </c>
      <c r="CJ28" s="1383">
        <v>0</v>
      </c>
      <c r="CK28" s="1383">
        <v>0</v>
      </c>
      <c r="CL28" s="1383">
        <v>0</v>
      </c>
      <c r="CM28" s="1383">
        <v>0</v>
      </c>
      <c r="CN28" s="1384">
        <v>318</v>
      </c>
      <c r="CO28"/>
      <c r="CP28"/>
      <c r="CQ28" s="1381" t="s">
        <v>2195</v>
      </c>
      <c r="CR28" s="1382" t="s">
        <v>2196</v>
      </c>
      <c r="CS28" s="1383">
        <v>0</v>
      </c>
      <c r="CT28" s="1383">
        <v>0</v>
      </c>
      <c r="CU28" s="1383">
        <v>13</v>
      </c>
      <c r="CV28" s="1383">
        <v>11</v>
      </c>
      <c r="CW28" s="1383">
        <v>16</v>
      </c>
      <c r="CX28" s="1383">
        <v>14</v>
      </c>
      <c r="CY28" s="1383">
        <v>13</v>
      </c>
      <c r="CZ28" s="1383">
        <v>17</v>
      </c>
      <c r="DA28" s="1383">
        <v>11</v>
      </c>
      <c r="DB28" s="1383">
        <v>12</v>
      </c>
      <c r="DC28" s="1383">
        <v>8</v>
      </c>
      <c r="DD28" s="1383">
        <v>11</v>
      </c>
      <c r="DE28" s="1383">
        <v>7</v>
      </c>
      <c r="DF28" s="1383">
        <v>7</v>
      </c>
      <c r="DG28" s="1383">
        <v>9</v>
      </c>
      <c r="DH28" s="1384">
        <v>149</v>
      </c>
      <c r="DI28"/>
      <c r="DJ28"/>
    </row>
    <row r="29" spans="1:114">
      <c r="A29" s="795" t="s">
        <v>1944</v>
      </c>
      <c r="B29" s="795">
        <v>32822449.66</v>
      </c>
      <c r="C29" s="795">
        <v>14626037</v>
      </c>
      <c r="D29" s="795">
        <v>3841201</v>
      </c>
      <c r="E29" s="795">
        <v>0</v>
      </c>
      <c r="F29" s="795">
        <v>658949</v>
      </c>
      <c r="G29" s="795">
        <v>1599762</v>
      </c>
      <c r="H29" s="795">
        <v>1214975.96</v>
      </c>
      <c r="I29" s="795">
        <v>37936.400000000001</v>
      </c>
      <c r="J29" s="795">
        <v>1177039.56</v>
      </c>
      <c r="K29" s="795">
        <v>1177039.56</v>
      </c>
      <c r="L29" s="795">
        <v>526070</v>
      </c>
      <c r="M29" s="795">
        <v>108057</v>
      </c>
      <c r="N29" s="795">
        <v>7033875</v>
      </c>
      <c r="O29" s="795">
        <v>422722.43999999994</v>
      </c>
      <c r="P29" s="795">
        <v>7456597.4399999995</v>
      </c>
      <c r="Q29" s="795">
        <v>73292</v>
      </c>
      <c r="R29" s="795">
        <v>0</v>
      </c>
      <c r="S29" s="795">
        <v>695400</v>
      </c>
      <c r="T29" s="795">
        <v>944511</v>
      </c>
      <c r="U29" s="795">
        <v>101509.65999999992</v>
      </c>
      <c r="V29" s="796"/>
      <c r="W29" s="795">
        <v>9141651</v>
      </c>
      <c r="X29" s="795">
        <v>1408286.44</v>
      </c>
      <c r="Y29" s="797">
        <v>467621</v>
      </c>
      <c r="Z29" s="795">
        <v>280500</v>
      </c>
      <c r="AA29" s="795">
        <v>83050</v>
      </c>
      <c r="AB29" s="795">
        <v>173580</v>
      </c>
      <c r="AC29" s="795">
        <v>330490</v>
      </c>
      <c r="AD29" s="795">
        <v>1273950</v>
      </c>
      <c r="AE29" s="798">
        <v>0</v>
      </c>
      <c r="AF29" s="801"/>
      <c r="AG29" s="799">
        <v>3219453</v>
      </c>
      <c r="AH29" s="799">
        <v>1599762</v>
      </c>
      <c r="AI29" s="799">
        <v>526070</v>
      </c>
      <c r="AJ29" s="799">
        <v>108057</v>
      </c>
      <c r="AK29" s="786">
        <v>985564</v>
      </c>
      <c r="AL29" s="799"/>
      <c r="AM29" s="799">
        <v>331990</v>
      </c>
      <c r="AN29" s="799">
        <v>695400</v>
      </c>
      <c r="AO29" s="799">
        <v>944511</v>
      </c>
      <c r="AP29" s="786">
        <v>1971901</v>
      </c>
      <c r="AT29" s="800"/>
      <c r="AU29" s="786">
        <v>9141651</v>
      </c>
      <c r="AV29" s="800">
        <v>4137636</v>
      </c>
      <c r="AW29" s="800"/>
      <c r="AY29" s="835">
        <v>3104</v>
      </c>
      <c r="AZ29" s="836">
        <v>2976.2</v>
      </c>
      <c r="BA29"/>
      <c r="BB29" s="1543"/>
      <c r="BC29" s="1544"/>
      <c r="BD29" s="1545"/>
      <c r="BE29" s="1545"/>
      <c r="BF29" s="1545"/>
      <c r="BG29" s="1545"/>
      <c r="BH29" s="1545"/>
      <c r="BI29" s="1545"/>
      <c r="BJ29" s="1545"/>
      <c r="BK29" s="1545"/>
      <c r="BL29" s="1545"/>
      <c r="BM29" s="1545"/>
      <c r="BN29" s="1545"/>
      <c r="BO29" s="1545"/>
      <c r="BP29" s="1545"/>
      <c r="BQ29" s="1545"/>
      <c r="BR29" s="1545"/>
      <c r="BS29" s="1546"/>
      <c r="BT29"/>
      <c r="BU29"/>
      <c r="BV29"/>
      <c r="BW29" s="1381" t="s">
        <v>2197</v>
      </c>
      <c r="BX29" s="1382" t="s">
        <v>1233</v>
      </c>
      <c r="BY29" s="1383">
        <v>0</v>
      </c>
      <c r="BZ29" s="1383">
        <v>0</v>
      </c>
      <c r="CA29" s="1383">
        <v>0</v>
      </c>
      <c r="CB29" s="1383">
        <v>0</v>
      </c>
      <c r="CC29" s="1383">
        <v>0</v>
      </c>
      <c r="CD29" s="1383">
        <v>0</v>
      </c>
      <c r="CE29" s="1383">
        <v>0</v>
      </c>
      <c r="CF29" s="1383">
        <v>144</v>
      </c>
      <c r="CG29" s="1383">
        <v>97</v>
      </c>
      <c r="CH29" s="1383">
        <v>91</v>
      </c>
      <c r="CI29" s="1383">
        <v>95</v>
      </c>
      <c r="CJ29" s="1383">
        <v>0</v>
      </c>
      <c r="CK29" s="1383">
        <v>0</v>
      </c>
      <c r="CL29" s="1383">
        <v>0</v>
      </c>
      <c r="CM29" s="1383">
        <v>0</v>
      </c>
      <c r="CN29" s="1384">
        <v>427</v>
      </c>
      <c r="CO29"/>
      <c r="CP29"/>
      <c r="CQ29" s="1381" t="s">
        <v>2198</v>
      </c>
      <c r="CR29" s="1382" t="s">
        <v>2199</v>
      </c>
      <c r="CS29" s="1383">
        <v>0</v>
      </c>
      <c r="CT29" s="1383">
        <v>0</v>
      </c>
      <c r="CU29" s="1383">
        <v>4</v>
      </c>
      <c r="CV29" s="1383">
        <v>2</v>
      </c>
      <c r="CW29" s="1383">
        <v>4</v>
      </c>
      <c r="CX29" s="1383">
        <v>4</v>
      </c>
      <c r="CY29" s="1383">
        <v>0</v>
      </c>
      <c r="CZ29" s="1383">
        <v>9</v>
      </c>
      <c r="DA29" s="1383">
        <v>9</v>
      </c>
      <c r="DB29" s="1383">
        <v>4</v>
      </c>
      <c r="DC29" s="1383">
        <v>4</v>
      </c>
      <c r="DD29" s="1383">
        <v>0</v>
      </c>
      <c r="DE29" s="1383">
        <v>0</v>
      </c>
      <c r="DF29" s="1383">
        <v>0</v>
      </c>
      <c r="DG29" s="1383">
        <v>0</v>
      </c>
      <c r="DH29" s="1384">
        <v>40</v>
      </c>
      <c r="DI29"/>
      <c r="DJ29"/>
    </row>
    <row r="30" spans="1:114">
      <c r="A30" s="796" t="s">
        <v>450</v>
      </c>
      <c r="B30" s="796">
        <v>9763170.0600000005</v>
      </c>
      <c r="C30" s="796">
        <v>0</v>
      </c>
      <c r="D30" s="796">
        <v>0</v>
      </c>
      <c r="E30" s="796">
        <v>514808.15542857809</v>
      </c>
      <c r="F30" s="796">
        <v>404269</v>
      </c>
      <c r="G30" s="796">
        <v>1687415</v>
      </c>
      <c r="H30" s="796">
        <v>1293396.24</v>
      </c>
      <c r="I30" s="796">
        <v>37514.89</v>
      </c>
      <c r="J30" s="796">
        <v>1255881.3500000001</v>
      </c>
      <c r="K30" s="796">
        <v>1255881.3500000001</v>
      </c>
      <c r="L30" s="796">
        <v>746973</v>
      </c>
      <c r="M30" s="796">
        <v>216001</v>
      </c>
      <c r="N30" s="796">
        <v>8487121</v>
      </c>
      <c r="O30" s="796">
        <v>431533.64999999991</v>
      </c>
      <c r="P30" s="796">
        <v>8918654.6500000004</v>
      </c>
      <c r="Q30" s="796">
        <v>1155425</v>
      </c>
      <c r="R30" s="796">
        <v>0</v>
      </c>
      <c r="S30" s="796">
        <v>270750</v>
      </c>
      <c r="T30" s="796">
        <v>162701</v>
      </c>
      <c r="U30" s="796">
        <v>43172.06</v>
      </c>
      <c r="V30" s="796"/>
      <c r="W30" s="796">
        <v>5750424</v>
      </c>
      <c r="X30" s="795">
        <v>1088052.6499999999</v>
      </c>
      <c r="Y30" s="797">
        <v>393271</v>
      </c>
      <c r="Z30" s="796">
        <v>90500</v>
      </c>
      <c r="AA30" s="796">
        <v>44400</v>
      </c>
      <c r="AB30" s="796">
        <v>47850</v>
      </c>
      <c r="AC30" s="796">
        <v>163228</v>
      </c>
      <c r="AD30" s="796">
        <v>1267965</v>
      </c>
      <c r="AE30" s="798">
        <v>0</v>
      </c>
      <c r="AF30" s="801"/>
      <c r="AG30" s="799">
        <v>3306908</v>
      </c>
      <c r="AH30" s="799">
        <v>1687415</v>
      </c>
      <c r="AI30" s="799">
        <v>746973</v>
      </c>
      <c r="AJ30" s="799">
        <v>216001</v>
      </c>
      <c r="AK30" s="786">
        <v>656519</v>
      </c>
      <c r="AL30" s="799"/>
      <c r="AM30" s="799">
        <v>162105</v>
      </c>
      <c r="AN30" s="799">
        <v>270750</v>
      </c>
      <c r="AO30" s="799">
        <v>162701</v>
      </c>
      <c r="AP30" s="786">
        <v>595556</v>
      </c>
      <c r="AT30" s="800"/>
      <c r="AU30" s="786">
        <v>5750424</v>
      </c>
      <c r="AV30" s="800">
        <v>3071155</v>
      </c>
      <c r="AW30" s="800"/>
      <c r="AY30" s="835">
        <v>1559</v>
      </c>
      <c r="AZ30" s="836">
        <v>1494.2</v>
      </c>
      <c r="BA30"/>
      <c r="BB30" s="1771" t="s">
        <v>2200</v>
      </c>
      <c r="BC30" s="1772"/>
      <c r="BD30" s="1772"/>
      <c r="BE30" s="1772"/>
      <c r="BF30" s="1772"/>
      <c r="BG30" s="1772"/>
      <c r="BH30" s="1772"/>
      <c r="BI30" s="1772"/>
      <c r="BJ30" s="1772"/>
      <c r="BK30" s="1772"/>
      <c r="BL30" s="1772"/>
      <c r="BM30" s="1772"/>
      <c r="BN30" s="1772"/>
      <c r="BO30" s="1772"/>
      <c r="BP30" s="1772"/>
      <c r="BQ30" s="1772"/>
      <c r="BR30" s="1772"/>
      <c r="BS30" s="1772"/>
      <c r="BT30"/>
      <c r="BU30"/>
      <c r="BV30"/>
      <c r="BW30" s="1381" t="s">
        <v>2201</v>
      </c>
      <c r="BX30" s="1382" t="s">
        <v>1233</v>
      </c>
      <c r="BY30" s="1383">
        <v>0</v>
      </c>
      <c r="BZ30" s="1383">
        <v>0</v>
      </c>
      <c r="CA30" s="1383">
        <v>68</v>
      </c>
      <c r="CB30" s="1383">
        <v>65</v>
      </c>
      <c r="CC30" s="1383">
        <v>54</v>
      </c>
      <c r="CD30" s="1383">
        <v>58</v>
      </c>
      <c r="CE30" s="1383">
        <v>73</v>
      </c>
      <c r="CF30" s="1383">
        <v>52</v>
      </c>
      <c r="CG30" s="1383">
        <v>85</v>
      </c>
      <c r="CH30" s="1383">
        <v>54</v>
      </c>
      <c r="CI30" s="1383">
        <v>95</v>
      </c>
      <c r="CJ30" s="1383">
        <v>0</v>
      </c>
      <c r="CK30" s="1383">
        <v>0</v>
      </c>
      <c r="CL30" s="1383">
        <v>0</v>
      </c>
      <c r="CM30" s="1383">
        <v>0</v>
      </c>
      <c r="CN30" s="1384">
        <v>604</v>
      </c>
      <c r="CO30"/>
      <c r="CP30"/>
      <c r="CQ30" s="1381" t="s">
        <v>2202</v>
      </c>
      <c r="CR30" s="1382" t="s">
        <v>2203</v>
      </c>
      <c r="CS30" s="1383">
        <v>0</v>
      </c>
      <c r="CT30" s="1383">
        <v>0</v>
      </c>
      <c r="CU30" s="1383">
        <v>3</v>
      </c>
      <c r="CV30" s="1383">
        <v>6</v>
      </c>
      <c r="CW30" s="1383">
        <v>2</v>
      </c>
      <c r="CX30" s="1383">
        <v>2</v>
      </c>
      <c r="CY30" s="1383">
        <v>3</v>
      </c>
      <c r="CZ30" s="1383">
        <v>3</v>
      </c>
      <c r="DA30" s="1383">
        <v>4</v>
      </c>
      <c r="DB30" s="1383">
        <v>1</v>
      </c>
      <c r="DC30" s="1383">
        <v>0</v>
      </c>
      <c r="DD30" s="1383">
        <v>0</v>
      </c>
      <c r="DE30" s="1383">
        <v>0</v>
      </c>
      <c r="DF30" s="1383">
        <v>0</v>
      </c>
      <c r="DG30" s="1383">
        <v>0</v>
      </c>
      <c r="DH30" s="1384">
        <v>24</v>
      </c>
      <c r="DI30"/>
      <c r="DJ30"/>
    </row>
    <row r="31" spans="1:114">
      <c r="A31" s="795" t="s">
        <v>1945</v>
      </c>
      <c r="B31" s="795">
        <v>60126514.462195925</v>
      </c>
      <c r="C31" s="795">
        <v>565161</v>
      </c>
      <c r="D31" s="795">
        <v>0</v>
      </c>
      <c r="E31" s="795">
        <v>501442.34219592478</v>
      </c>
      <c r="F31" s="795">
        <v>2597713</v>
      </c>
      <c r="G31" s="795">
        <v>21698377</v>
      </c>
      <c r="H31" s="795">
        <v>16387476.9</v>
      </c>
      <c r="I31" s="795">
        <v>188743.91</v>
      </c>
      <c r="J31" s="795">
        <v>16198732.99</v>
      </c>
      <c r="K31" s="795">
        <v>16198732.99</v>
      </c>
      <c r="L31" s="795">
        <v>2401859</v>
      </c>
      <c r="M31" s="795">
        <v>2166351</v>
      </c>
      <c r="N31" s="795">
        <v>89104289</v>
      </c>
      <c r="O31" s="795">
        <v>5499644.0099999998</v>
      </c>
      <c r="P31" s="795">
        <v>94603933.010000005</v>
      </c>
      <c r="Q31" s="795">
        <v>1238964</v>
      </c>
      <c r="R31" s="795">
        <v>0</v>
      </c>
      <c r="S31" s="795">
        <v>2798700</v>
      </c>
      <c r="T31" s="795">
        <v>3201195</v>
      </c>
      <c r="U31" s="795">
        <v>443927.12000000011</v>
      </c>
      <c r="V31" s="796"/>
      <c r="W31" s="795">
        <v>43187666</v>
      </c>
      <c r="X31" s="795">
        <v>9803239.0099999998</v>
      </c>
      <c r="Y31" s="797">
        <v>1848596</v>
      </c>
      <c r="Z31" s="795">
        <v>333000</v>
      </c>
      <c r="AA31" s="795">
        <v>2311525</v>
      </c>
      <c r="AB31" s="795">
        <v>498850</v>
      </c>
      <c r="AC31" s="795">
        <v>1093560</v>
      </c>
      <c r="AD31" s="795">
        <v>5101785</v>
      </c>
      <c r="AE31" s="798">
        <v>0</v>
      </c>
      <c r="AF31" s="801"/>
      <c r="AG31" s="799">
        <v>30570182</v>
      </c>
      <c r="AH31" s="799">
        <v>21698377</v>
      </c>
      <c r="AI31" s="799">
        <v>2401859</v>
      </c>
      <c r="AJ31" s="799">
        <v>2166351</v>
      </c>
      <c r="AK31" s="786">
        <v>4303595</v>
      </c>
      <c r="AL31" s="799"/>
      <c r="AM31" s="799">
        <v>1060733</v>
      </c>
      <c r="AN31" s="799">
        <v>2798700</v>
      </c>
      <c r="AO31" s="799">
        <v>3182178</v>
      </c>
      <c r="AP31" s="786">
        <v>7041611</v>
      </c>
      <c r="AT31" s="800"/>
      <c r="AU31" s="786">
        <v>43187666</v>
      </c>
      <c r="AV31" s="800">
        <v>15027047</v>
      </c>
      <c r="AW31" s="800"/>
      <c r="AY31" s="835">
        <v>14909</v>
      </c>
      <c r="AZ31" s="836">
        <v>14364.1</v>
      </c>
      <c r="BA31"/>
      <c r="BB31" s="1771" t="s">
        <v>2204</v>
      </c>
      <c r="BC31" s="1772"/>
      <c r="BD31" s="1772"/>
      <c r="BE31" s="1772"/>
      <c r="BF31" s="1772"/>
      <c r="BG31" s="1772"/>
      <c r="BH31" s="1772"/>
      <c r="BI31" s="1772"/>
      <c r="BJ31" s="1772"/>
      <c r="BK31" s="1772"/>
      <c r="BL31" s="1772"/>
      <c r="BM31" s="1772"/>
      <c r="BN31" s="1772"/>
      <c r="BO31" s="1772"/>
      <c r="BP31" s="1772"/>
      <c r="BQ31" s="1772"/>
      <c r="BR31" s="1772"/>
      <c r="BS31" s="1772"/>
      <c r="BT31"/>
      <c r="BU31"/>
      <c r="BV31"/>
      <c r="BW31" s="1381" t="s">
        <v>2205</v>
      </c>
      <c r="BX31" s="1382" t="s">
        <v>1233</v>
      </c>
      <c r="BY31" s="1383">
        <v>0</v>
      </c>
      <c r="BZ31" s="1383">
        <v>0</v>
      </c>
      <c r="CA31" s="1383">
        <v>64</v>
      </c>
      <c r="CB31" s="1383">
        <v>87</v>
      </c>
      <c r="CC31" s="1383">
        <v>66</v>
      </c>
      <c r="CD31" s="1383">
        <v>85</v>
      </c>
      <c r="CE31" s="1383">
        <v>69</v>
      </c>
      <c r="CF31" s="1383">
        <v>57</v>
      </c>
      <c r="CG31" s="1383">
        <v>0</v>
      </c>
      <c r="CH31" s="1383">
        <v>0</v>
      </c>
      <c r="CI31" s="1383">
        <v>0</v>
      </c>
      <c r="CJ31" s="1383">
        <v>0</v>
      </c>
      <c r="CK31" s="1383">
        <v>0</v>
      </c>
      <c r="CL31" s="1383">
        <v>0</v>
      </c>
      <c r="CM31" s="1383">
        <v>0</v>
      </c>
      <c r="CN31" s="1384">
        <v>428</v>
      </c>
      <c r="CO31"/>
      <c r="CP31"/>
      <c r="CQ31" s="1381" t="s">
        <v>2206</v>
      </c>
      <c r="CR31" s="1382" t="s">
        <v>2207</v>
      </c>
      <c r="CS31" s="1383">
        <v>0</v>
      </c>
      <c r="CT31" s="1383">
        <v>0</v>
      </c>
      <c r="CU31" s="1383">
        <v>12</v>
      </c>
      <c r="CV31" s="1383">
        <v>4</v>
      </c>
      <c r="CW31" s="1383">
        <v>6</v>
      </c>
      <c r="CX31" s="1383">
        <v>6</v>
      </c>
      <c r="CY31" s="1383">
        <v>10</v>
      </c>
      <c r="CZ31" s="1383">
        <v>12</v>
      </c>
      <c r="DA31" s="1383">
        <v>6</v>
      </c>
      <c r="DB31" s="1383">
        <v>14</v>
      </c>
      <c r="DC31" s="1383">
        <v>6</v>
      </c>
      <c r="DD31" s="1383">
        <v>4</v>
      </c>
      <c r="DE31" s="1383">
        <v>17</v>
      </c>
      <c r="DF31" s="1383">
        <v>11</v>
      </c>
      <c r="DG31" s="1383">
        <v>5</v>
      </c>
      <c r="DH31" s="1384">
        <v>113</v>
      </c>
      <c r="DI31"/>
      <c r="DJ31"/>
    </row>
    <row r="32" spans="1:114">
      <c r="A32" s="796" t="s">
        <v>1946</v>
      </c>
      <c r="B32" s="796">
        <v>6884193.7999999998</v>
      </c>
      <c r="C32" s="796">
        <v>703193</v>
      </c>
      <c r="D32" s="796">
        <v>0</v>
      </c>
      <c r="E32" s="796">
        <v>451608.44047536951</v>
      </c>
      <c r="F32" s="796">
        <v>237077</v>
      </c>
      <c r="G32" s="796">
        <v>1052110</v>
      </c>
      <c r="H32" s="796">
        <v>782420.11</v>
      </c>
      <c r="I32" s="796">
        <v>1528.86</v>
      </c>
      <c r="J32" s="796">
        <v>780891.25</v>
      </c>
      <c r="K32" s="796">
        <v>780891.25</v>
      </c>
      <c r="L32" s="796">
        <v>312067</v>
      </c>
      <c r="M32" s="796">
        <v>161364</v>
      </c>
      <c r="N32" s="796">
        <v>6784605</v>
      </c>
      <c r="O32" s="796">
        <v>271218.75</v>
      </c>
      <c r="P32" s="796">
        <v>7055823.75</v>
      </c>
      <c r="Q32" s="796">
        <v>671624</v>
      </c>
      <c r="R32" s="796">
        <v>0</v>
      </c>
      <c r="S32" s="796">
        <v>210900</v>
      </c>
      <c r="T32" s="796">
        <v>253560</v>
      </c>
      <c r="U32" s="796">
        <v>33080.799999999988</v>
      </c>
      <c r="V32" s="796"/>
      <c r="W32" s="796">
        <v>3857787</v>
      </c>
      <c r="X32" s="795">
        <v>560295.75</v>
      </c>
      <c r="Y32" s="797">
        <v>209725</v>
      </c>
      <c r="Z32" s="796">
        <v>47000</v>
      </c>
      <c r="AA32" s="796">
        <v>65000</v>
      </c>
      <c r="AB32" s="796">
        <v>36850</v>
      </c>
      <c r="AC32" s="796">
        <v>110585</v>
      </c>
      <c r="AD32" s="796">
        <v>789165</v>
      </c>
      <c r="AE32" s="798">
        <v>0</v>
      </c>
      <c r="AF32" s="801"/>
      <c r="AG32" s="799">
        <v>1814618</v>
      </c>
      <c r="AH32" s="799">
        <v>1052110</v>
      </c>
      <c r="AI32" s="799">
        <v>312067</v>
      </c>
      <c r="AJ32" s="799">
        <v>161364</v>
      </c>
      <c r="AK32" s="786">
        <v>289077</v>
      </c>
      <c r="AL32" s="799"/>
      <c r="AM32" s="799">
        <v>109729</v>
      </c>
      <c r="AN32" s="799">
        <v>210900</v>
      </c>
      <c r="AO32" s="799">
        <v>253560</v>
      </c>
      <c r="AP32" s="786">
        <v>574189</v>
      </c>
      <c r="AT32" s="800"/>
      <c r="AU32" s="786">
        <v>3857787</v>
      </c>
      <c r="AV32" s="800">
        <v>1211918</v>
      </c>
      <c r="AW32" s="800"/>
      <c r="AY32" s="835">
        <v>1068</v>
      </c>
      <c r="AZ32" s="836">
        <v>1025.5</v>
      </c>
      <c r="BA32"/>
      <c r="BB32" s="1772"/>
      <c r="BC32" s="1772"/>
      <c r="BD32" s="1772"/>
      <c r="BE32" s="1772"/>
      <c r="BF32" s="1772"/>
      <c r="BG32" s="1772"/>
      <c r="BH32" s="1772"/>
      <c r="BI32" s="1772"/>
      <c r="BJ32" s="1772"/>
      <c r="BK32" s="1772"/>
      <c r="BL32" s="1772"/>
      <c r="BM32" s="1772"/>
      <c r="BN32" s="1772"/>
      <c r="BO32" s="1772"/>
      <c r="BP32" s="1772"/>
      <c r="BQ32" s="1772"/>
      <c r="BR32" s="1772"/>
      <c r="BS32" s="1772"/>
      <c r="BT32"/>
      <c r="BU32"/>
      <c r="BV32"/>
      <c r="BW32" s="1381" t="s">
        <v>2208</v>
      </c>
      <c r="BX32" s="1382" t="s">
        <v>1233</v>
      </c>
      <c r="BY32" s="1383">
        <v>0</v>
      </c>
      <c r="BZ32" s="1383">
        <v>0</v>
      </c>
      <c r="CA32" s="1383">
        <v>88</v>
      </c>
      <c r="CB32" s="1383">
        <v>82</v>
      </c>
      <c r="CC32" s="1383">
        <v>85</v>
      </c>
      <c r="CD32" s="1383">
        <v>83</v>
      </c>
      <c r="CE32" s="1383">
        <v>81</v>
      </c>
      <c r="CF32" s="1383">
        <v>62</v>
      </c>
      <c r="CG32" s="1383">
        <v>0</v>
      </c>
      <c r="CH32" s="1383">
        <v>0</v>
      </c>
      <c r="CI32" s="1383">
        <v>0</v>
      </c>
      <c r="CJ32" s="1383">
        <v>0</v>
      </c>
      <c r="CK32" s="1383">
        <v>0</v>
      </c>
      <c r="CL32" s="1383">
        <v>0</v>
      </c>
      <c r="CM32" s="1383">
        <v>0</v>
      </c>
      <c r="CN32" s="1384">
        <v>481</v>
      </c>
      <c r="CO32"/>
      <c r="CP32"/>
      <c r="CQ32" s="1381" t="s">
        <v>2209</v>
      </c>
      <c r="CR32" s="1382" t="s">
        <v>2210</v>
      </c>
      <c r="CS32" s="1383">
        <v>0</v>
      </c>
      <c r="CT32" s="1383">
        <v>0</v>
      </c>
      <c r="CU32" s="1383">
        <v>1</v>
      </c>
      <c r="CV32" s="1383">
        <v>1</v>
      </c>
      <c r="CW32" s="1383">
        <v>1</v>
      </c>
      <c r="CX32" s="1383">
        <v>0</v>
      </c>
      <c r="CY32" s="1383">
        <v>2</v>
      </c>
      <c r="CZ32" s="1383">
        <v>3</v>
      </c>
      <c r="DA32" s="1383">
        <v>1</v>
      </c>
      <c r="DB32" s="1383">
        <v>2</v>
      </c>
      <c r="DC32" s="1383">
        <v>1</v>
      </c>
      <c r="DD32" s="1383">
        <v>2</v>
      </c>
      <c r="DE32" s="1383">
        <v>0</v>
      </c>
      <c r="DF32" s="1383">
        <v>1</v>
      </c>
      <c r="DG32" s="1383">
        <v>0</v>
      </c>
      <c r="DH32" s="1384">
        <v>15</v>
      </c>
      <c r="DI32"/>
      <c r="DJ32"/>
    </row>
    <row r="33" spans="1:114">
      <c r="A33" s="795" t="s">
        <v>451</v>
      </c>
      <c r="B33" s="795">
        <v>18595871.672935043</v>
      </c>
      <c r="C33" s="795">
        <v>4405418</v>
      </c>
      <c r="D33" s="795">
        <v>0</v>
      </c>
      <c r="E33" s="795">
        <v>375333.87293503969</v>
      </c>
      <c r="F33" s="795">
        <v>628105</v>
      </c>
      <c r="G33" s="795">
        <v>3384686</v>
      </c>
      <c r="H33" s="795">
        <v>2541610.39</v>
      </c>
      <c r="I33" s="795">
        <v>13339.49</v>
      </c>
      <c r="J33" s="795">
        <v>2528270.9</v>
      </c>
      <c r="K33" s="795">
        <v>2528270.9</v>
      </c>
      <c r="L33" s="795">
        <v>269506</v>
      </c>
      <c r="M33" s="795">
        <v>374585</v>
      </c>
      <c r="N33" s="795">
        <v>15764294</v>
      </c>
      <c r="O33" s="795">
        <v>856415.10000000009</v>
      </c>
      <c r="P33" s="795">
        <v>16620709.1</v>
      </c>
      <c r="Q33" s="795">
        <v>798639</v>
      </c>
      <c r="R33" s="795">
        <v>0</v>
      </c>
      <c r="S33" s="795">
        <v>870200</v>
      </c>
      <c r="T33" s="795">
        <v>650804</v>
      </c>
      <c r="U33" s="795">
        <v>100416.80000000005</v>
      </c>
      <c r="V33" s="796"/>
      <c r="W33" s="795">
        <v>9808522</v>
      </c>
      <c r="X33" s="795">
        <v>1799143.1</v>
      </c>
      <c r="Y33" s="797">
        <v>606504</v>
      </c>
      <c r="Z33" s="795">
        <v>245000</v>
      </c>
      <c r="AA33" s="795">
        <v>137775</v>
      </c>
      <c r="AB33" s="795">
        <v>141625</v>
      </c>
      <c r="AC33" s="795">
        <v>294595</v>
      </c>
      <c r="AD33" s="795">
        <v>1784385</v>
      </c>
      <c r="AE33" s="798">
        <v>0</v>
      </c>
      <c r="AF33" s="801"/>
      <c r="AG33" s="799">
        <v>4971505</v>
      </c>
      <c r="AH33" s="799">
        <v>3384686</v>
      </c>
      <c r="AI33" s="799">
        <v>269506</v>
      </c>
      <c r="AJ33" s="799">
        <v>374585</v>
      </c>
      <c r="AK33" s="786">
        <v>942728</v>
      </c>
      <c r="AL33" s="799"/>
      <c r="AM33" s="799">
        <v>298693</v>
      </c>
      <c r="AN33" s="799">
        <v>870200</v>
      </c>
      <c r="AO33" s="799">
        <v>650804</v>
      </c>
      <c r="AP33" s="786">
        <v>1819697</v>
      </c>
      <c r="AT33" s="800"/>
      <c r="AU33" s="786">
        <v>9808522</v>
      </c>
      <c r="AV33" s="800">
        <v>3393694</v>
      </c>
      <c r="AW33" s="800"/>
      <c r="AY33" s="835">
        <v>3174</v>
      </c>
      <c r="AZ33" s="836">
        <v>3021.1000000000004</v>
      </c>
      <c r="BA33"/>
      <c r="BB33" s="355"/>
      <c r="BC33" s="355"/>
      <c r="BD33" s="355"/>
      <c r="BE33" s="355"/>
      <c r="BF33" s="355"/>
      <c r="BG33" s="355"/>
      <c r="BH33" s="355"/>
      <c r="BI33" s="355"/>
      <c r="BJ33" s="355"/>
      <c r="BK33" s="355"/>
      <c r="BL33" s="355"/>
      <c r="BM33" s="355"/>
      <c r="BN33" s="355"/>
      <c r="BO33" s="355"/>
      <c r="BP33" s="355"/>
      <c r="BQ33" s="355"/>
      <c r="BR33" s="355"/>
      <c r="BS33" s="355"/>
      <c r="BT33"/>
      <c r="BU33"/>
      <c r="BV33"/>
      <c r="BW33" s="1381" t="s">
        <v>2211</v>
      </c>
      <c r="BX33" s="1382" t="s">
        <v>1233</v>
      </c>
      <c r="BY33" s="1383">
        <v>0</v>
      </c>
      <c r="BZ33" s="1383">
        <v>0</v>
      </c>
      <c r="CA33" s="1383">
        <v>40</v>
      </c>
      <c r="CB33" s="1383">
        <v>37</v>
      </c>
      <c r="CC33" s="1383">
        <v>29</v>
      </c>
      <c r="CD33" s="1383">
        <v>34</v>
      </c>
      <c r="CE33" s="1383">
        <v>37</v>
      </c>
      <c r="CF33" s="1383">
        <v>35</v>
      </c>
      <c r="CG33" s="1383">
        <v>0</v>
      </c>
      <c r="CH33" s="1383">
        <v>0</v>
      </c>
      <c r="CI33" s="1383">
        <v>0</v>
      </c>
      <c r="CJ33" s="1383">
        <v>0</v>
      </c>
      <c r="CK33" s="1383">
        <v>0</v>
      </c>
      <c r="CL33" s="1383">
        <v>0</v>
      </c>
      <c r="CM33" s="1383">
        <v>0</v>
      </c>
      <c r="CN33" s="1384">
        <v>212</v>
      </c>
      <c r="CO33"/>
      <c r="CP33"/>
      <c r="CQ33" s="1381" t="s">
        <v>2212</v>
      </c>
      <c r="CR33" s="1382" t="s">
        <v>2213</v>
      </c>
      <c r="CS33" s="1383">
        <v>0</v>
      </c>
      <c r="CT33" s="1383">
        <v>0</v>
      </c>
      <c r="CU33" s="1383">
        <v>9</v>
      </c>
      <c r="CV33" s="1383">
        <v>8</v>
      </c>
      <c r="CW33" s="1383">
        <v>6</v>
      </c>
      <c r="CX33" s="1383">
        <v>10</v>
      </c>
      <c r="CY33" s="1383">
        <v>5</v>
      </c>
      <c r="CZ33" s="1383">
        <v>8</v>
      </c>
      <c r="DA33" s="1383">
        <v>9</v>
      </c>
      <c r="DB33" s="1383">
        <v>10</v>
      </c>
      <c r="DC33" s="1383">
        <v>8</v>
      </c>
      <c r="DD33" s="1383">
        <v>10</v>
      </c>
      <c r="DE33" s="1383">
        <v>11</v>
      </c>
      <c r="DF33" s="1383">
        <v>6</v>
      </c>
      <c r="DG33" s="1383">
        <v>4</v>
      </c>
      <c r="DH33" s="1384">
        <v>104</v>
      </c>
      <c r="DI33"/>
      <c r="DJ33"/>
    </row>
    <row r="34" spans="1:114">
      <c r="A34" s="796" t="s">
        <v>1947</v>
      </c>
      <c r="B34" s="796">
        <v>12171403.515354326</v>
      </c>
      <c r="C34" s="796">
        <v>0</v>
      </c>
      <c r="D34" s="796">
        <v>0</v>
      </c>
      <c r="E34" s="796">
        <v>512497.31535432587</v>
      </c>
      <c r="F34" s="796">
        <v>471914</v>
      </c>
      <c r="G34" s="796">
        <v>2552962</v>
      </c>
      <c r="H34" s="796">
        <v>1979470.78</v>
      </c>
      <c r="I34" s="796">
        <v>48684.17</v>
      </c>
      <c r="J34" s="796">
        <v>1930786.61</v>
      </c>
      <c r="K34" s="796">
        <v>1930786.61</v>
      </c>
      <c r="L34" s="796">
        <v>1058605</v>
      </c>
      <c r="M34" s="796">
        <v>363895</v>
      </c>
      <c r="N34" s="796">
        <v>14817038</v>
      </c>
      <c r="O34" s="796">
        <v>622175.3899999999</v>
      </c>
      <c r="P34" s="796">
        <v>15439213.390000001</v>
      </c>
      <c r="Q34" s="796">
        <v>1351969</v>
      </c>
      <c r="R34" s="796">
        <v>0</v>
      </c>
      <c r="S34" s="796">
        <v>326800</v>
      </c>
      <c r="T34" s="796">
        <v>363436</v>
      </c>
      <c r="U34" s="796">
        <v>65326.20000000007</v>
      </c>
      <c r="V34" s="796"/>
      <c r="W34" s="796">
        <v>8151699</v>
      </c>
      <c r="X34" s="795">
        <v>1287039.3899999999</v>
      </c>
      <c r="Y34" s="797">
        <v>387496</v>
      </c>
      <c r="Z34" s="796">
        <v>99000</v>
      </c>
      <c r="AA34" s="796">
        <v>158550</v>
      </c>
      <c r="AB34" s="796">
        <v>49225</v>
      </c>
      <c r="AC34" s="796">
        <v>248506</v>
      </c>
      <c r="AD34" s="796">
        <v>1411605</v>
      </c>
      <c r="AE34" s="798">
        <v>0</v>
      </c>
      <c r="AF34" s="801"/>
      <c r="AG34" s="799">
        <v>4640326</v>
      </c>
      <c r="AH34" s="799">
        <v>2552962</v>
      </c>
      <c r="AI34" s="799">
        <v>1058605</v>
      </c>
      <c r="AJ34" s="799">
        <v>363895</v>
      </c>
      <c r="AK34" s="786">
        <v>664864</v>
      </c>
      <c r="AL34" s="799"/>
      <c r="AM34" s="799">
        <v>241192</v>
      </c>
      <c r="AN34" s="799">
        <v>326800</v>
      </c>
      <c r="AO34" s="799">
        <v>352871</v>
      </c>
      <c r="AP34" s="786">
        <v>920863</v>
      </c>
      <c r="AT34" s="800"/>
      <c r="AU34" s="786">
        <v>8151699</v>
      </c>
      <c r="AV34" s="800">
        <v>2545332</v>
      </c>
      <c r="AW34" s="800"/>
      <c r="AY34" s="835">
        <v>2376</v>
      </c>
      <c r="AZ34" s="836">
        <v>2275.1999999999998</v>
      </c>
      <c r="BA34"/>
      <c r="BB34" s="838" t="s">
        <v>2214</v>
      </c>
      <c r="BC34" s="357"/>
      <c r="BD34" s="358"/>
      <c r="BE34" s="358"/>
      <c r="BF34" s="358"/>
      <c r="BG34" s="358"/>
      <c r="BH34" s="358"/>
      <c r="BI34" s="358"/>
      <c r="BJ34" s="358"/>
      <c r="BK34" s="358"/>
      <c r="BL34" s="358"/>
      <c r="BM34" s="358"/>
      <c r="BN34" s="358"/>
      <c r="BO34" s="358"/>
      <c r="BP34" s="358"/>
      <c r="BQ34" s="358"/>
      <c r="BR34" s="358"/>
      <c r="BS34" s="359"/>
      <c r="BT34"/>
      <c r="BU34"/>
      <c r="BV34"/>
      <c r="BW34" s="1381" t="s">
        <v>2215</v>
      </c>
      <c r="BX34" s="1382" t="s">
        <v>1233</v>
      </c>
      <c r="BY34" s="1383">
        <v>0</v>
      </c>
      <c r="BZ34" s="1383">
        <v>0</v>
      </c>
      <c r="CA34" s="1383">
        <v>22</v>
      </c>
      <c r="CB34" s="1383">
        <v>35</v>
      </c>
      <c r="CC34" s="1383">
        <v>21</v>
      </c>
      <c r="CD34" s="1383">
        <v>27</v>
      </c>
      <c r="CE34" s="1383">
        <v>22</v>
      </c>
      <c r="CF34" s="1383">
        <v>29</v>
      </c>
      <c r="CG34" s="1383">
        <v>0</v>
      </c>
      <c r="CH34" s="1383">
        <v>0</v>
      </c>
      <c r="CI34" s="1383">
        <v>0</v>
      </c>
      <c r="CJ34" s="1383">
        <v>0</v>
      </c>
      <c r="CK34" s="1383">
        <v>0</v>
      </c>
      <c r="CL34" s="1383">
        <v>0</v>
      </c>
      <c r="CM34" s="1383">
        <v>0</v>
      </c>
      <c r="CN34" s="1384">
        <v>156</v>
      </c>
      <c r="CO34"/>
      <c r="CP34"/>
      <c r="CQ34" s="1381" t="s">
        <v>2216</v>
      </c>
      <c r="CR34" s="1382" t="s">
        <v>2217</v>
      </c>
      <c r="CS34" s="1383">
        <v>0</v>
      </c>
      <c r="CT34" s="1383">
        <v>0</v>
      </c>
      <c r="CU34" s="1383">
        <v>1</v>
      </c>
      <c r="CV34" s="1383">
        <v>2</v>
      </c>
      <c r="CW34" s="1383">
        <v>1</v>
      </c>
      <c r="CX34" s="1383">
        <v>2</v>
      </c>
      <c r="CY34" s="1383">
        <v>2</v>
      </c>
      <c r="CZ34" s="1383">
        <v>1</v>
      </c>
      <c r="DA34" s="1383">
        <v>1</v>
      </c>
      <c r="DB34" s="1383">
        <v>0</v>
      </c>
      <c r="DC34" s="1383">
        <v>2</v>
      </c>
      <c r="DD34" s="1383">
        <v>0</v>
      </c>
      <c r="DE34" s="1383">
        <v>0</v>
      </c>
      <c r="DF34" s="1383">
        <v>0</v>
      </c>
      <c r="DG34" s="1383">
        <v>0</v>
      </c>
      <c r="DH34" s="1384">
        <v>12</v>
      </c>
      <c r="DI34"/>
      <c r="DJ34"/>
    </row>
    <row r="35" spans="1:114">
      <c r="A35" s="795" t="s">
        <v>445</v>
      </c>
      <c r="B35" s="795">
        <v>12856322.24</v>
      </c>
      <c r="C35" s="795">
        <v>0</v>
      </c>
      <c r="D35" s="795">
        <v>0</v>
      </c>
      <c r="E35" s="795">
        <v>566002.68100995058</v>
      </c>
      <c r="F35" s="795">
        <v>430404</v>
      </c>
      <c r="G35" s="795">
        <v>1883713</v>
      </c>
      <c r="H35" s="795">
        <v>1559292.27</v>
      </c>
      <c r="I35" s="795">
        <v>145082.43</v>
      </c>
      <c r="J35" s="795">
        <v>1414209.84</v>
      </c>
      <c r="K35" s="795">
        <v>1414209.84</v>
      </c>
      <c r="L35" s="795">
        <v>763123</v>
      </c>
      <c r="M35" s="795">
        <v>290830</v>
      </c>
      <c r="N35" s="795">
        <v>12062336</v>
      </c>
      <c r="O35" s="795">
        <v>469503.15999999992</v>
      </c>
      <c r="P35" s="795">
        <v>12531839.16</v>
      </c>
      <c r="Q35" s="795">
        <v>1407541</v>
      </c>
      <c r="R35" s="795">
        <v>0</v>
      </c>
      <c r="S35" s="795">
        <v>304000</v>
      </c>
      <c r="T35" s="795">
        <v>338080</v>
      </c>
      <c r="U35" s="795">
        <v>59478.239999999991</v>
      </c>
      <c r="V35" s="796"/>
      <c r="W35" s="795">
        <v>7857208</v>
      </c>
      <c r="X35" s="795">
        <v>1234654.1599999999</v>
      </c>
      <c r="Y35" s="797">
        <v>491955</v>
      </c>
      <c r="Z35" s="795">
        <v>36000</v>
      </c>
      <c r="AA35" s="795">
        <v>120625</v>
      </c>
      <c r="AB35" s="795">
        <v>54973</v>
      </c>
      <c r="AC35" s="795">
        <v>219079</v>
      </c>
      <c r="AD35" s="795">
        <v>1739925</v>
      </c>
      <c r="AE35" s="798">
        <v>0</v>
      </c>
      <c r="AF35" s="801"/>
      <c r="AG35" s="799">
        <v>3702817</v>
      </c>
      <c r="AH35" s="799">
        <v>1883713</v>
      </c>
      <c r="AI35" s="799">
        <v>763123</v>
      </c>
      <c r="AJ35" s="799">
        <v>290830</v>
      </c>
      <c r="AK35" s="786">
        <v>765151</v>
      </c>
      <c r="AL35" s="799"/>
      <c r="AM35" s="799">
        <v>217102</v>
      </c>
      <c r="AN35" s="799">
        <v>304000</v>
      </c>
      <c r="AO35" s="799">
        <v>338080</v>
      </c>
      <c r="AP35" s="786">
        <v>859182</v>
      </c>
      <c r="AT35" s="800"/>
      <c r="AU35" s="786">
        <v>7857208</v>
      </c>
      <c r="AV35" s="800">
        <v>2745284</v>
      </c>
      <c r="AW35" s="800"/>
      <c r="AY35" s="835">
        <v>2116</v>
      </c>
      <c r="AZ35" s="836">
        <v>2029</v>
      </c>
      <c r="BA35"/>
      <c r="BB35" s="356"/>
      <c r="BC35" s="357"/>
      <c r="BD35" s="358"/>
      <c r="BE35" s="358"/>
      <c r="BF35" s="358"/>
      <c r="BG35" s="358"/>
      <c r="BH35" s="358"/>
      <c r="BI35" s="358"/>
      <c r="BJ35" s="358"/>
      <c r="BK35" s="358"/>
      <c r="BL35" s="358"/>
      <c r="BM35" s="358"/>
      <c r="BN35" s="358"/>
      <c r="BO35" s="358"/>
      <c r="BP35" s="358"/>
      <c r="BQ35" s="358"/>
      <c r="BR35" s="358"/>
      <c r="BS35" s="359"/>
      <c r="BT35"/>
      <c r="BU35"/>
      <c r="BV35"/>
      <c r="BW35" s="1381" t="s">
        <v>2218</v>
      </c>
      <c r="BX35" s="1382" t="s">
        <v>1233</v>
      </c>
      <c r="BY35" s="1383">
        <v>0</v>
      </c>
      <c r="BZ35" s="1383">
        <v>0</v>
      </c>
      <c r="CA35" s="1383">
        <v>59</v>
      </c>
      <c r="CB35" s="1383">
        <v>45</v>
      </c>
      <c r="CC35" s="1383">
        <v>66</v>
      </c>
      <c r="CD35" s="1383">
        <v>71</v>
      </c>
      <c r="CE35" s="1383">
        <v>62</v>
      </c>
      <c r="CF35" s="1383">
        <v>68</v>
      </c>
      <c r="CG35" s="1383">
        <v>0</v>
      </c>
      <c r="CH35" s="1383">
        <v>0</v>
      </c>
      <c r="CI35" s="1383">
        <v>0</v>
      </c>
      <c r="CJ35" s="1383">
        <v>0</v>
      </c>
      <c r="CK35" s="1383">
        <v>0</v>
      </c>
      <c r="CL35" s="1383">
        <v>0</v>
      </c>
      <c r="CM35" s="1383">
        <v>0</v>
      </c>
      <c r="CN35" s="1384">
        <v>371</v>
      </c>
      <c r="CO35"/>
      <c r="CP35"/>
      <c r="CQ35" s="1381" t="s">
        <v>2219</v>
      </c>
      <c r="CR35" s="1382" t="s">
        <v>2220</v>
      </c>
      <c r="CS35" s="1383">
        <v>0</v>
      </c>
      <c r="CT35" s="1383">
        <v>0</v>
      </c>
      <c r="CU35" s="1383">
        <v>0</v>
      </c>
      <c r="CV35" s="1383">
        <v>0</v>
      </c>
      <c r="CW35" s="1383">
        <v>0</v>
      </c>
      <c r="CX35" s="1383">
        <v>0</v>
      </c>
      <c r="CY35" s="1383">
        <v>0</v>
      </c>
      <c r="CZ35" s="1383">
        <v>0</v>
      </c>
      <c r="DA35" s="1383">
        <v>0</v>
      </c>
      <c r="DB35" s="1383">
        <v>0</v>
      </c>
      <c r="DC35" s="1383">
        <v>0</v>
      </c>
      <c r="DD35" s="1383">
        <v>1</v>
      </c>
      <c r="DE35" s="1383">
        <v>0</v>
      </c>
      <c r="DF35" s="1383">
        <v>1</v>
      </c>
      <c r="DG35" s="1383">
        <v>2</v>
      </c>
      <c r="DH35" s="1384">
        <v>4</v>
      </c>
      <c r="DI35"/>
      <c r="DJ35"/>
    </row>
    <row r="36" spans="1:114">
      <c r="A36" s="796" t="s">
        <v>1948</v>
      </c>
      <c r="B36" s="796">
        <v>12129749.163246576</v>
      </c>
      <c r="C36" s="796">
        <v>0</v>
      </c>
      <c r="D36" s="796">
        <v>0</v>
      </c>
      <c r="E36" s="796">
        <v>546514.44324657437</v>
      </c>
      <c r="F36" s="796">
        <v>462294</v>
      </c>
      <c r="G36" s="796">
        <v>2349596</v>
      </c>
      <c r="H36" s="796">
        <v>2204575.21</v>
      </c>
      <c r="I36" s="796">
        <v>433933.46</v>
      </c>
      <c r="J36" s="796">
        <v>1770641.75</v>
      </c>
      <c r="K36" s="796">
        <v>1770641.75</v>
      </c>
      <c r="L36" s="796">
        <v>657570</v>
      </c>
      <c r="M36" s="796">
        <v>363581</v>
      </c>
      <c r="N36" s="796">
        <v>15377903</v>
      </c>
      <c r="O36" s="796">
        <v>578954.25</v>
      </c>
      <c r="P36" s="796">
        <v>15956857.25</v>
      </c>
      <c r="Q36" s="796">
        <v>1475149</v>
      </c>
      <c r="R36" s="796">
        <v>0</v>
      </c>
      <c r="S36" s="796">
        <v>555750</v>
      </c>
      <c r="T36" s="796">
        <v>511346</v>
      </c>
      <c r="U36" s="796">
        <v>72469.719999999972</v>
      </c>
      <c r="V36" s="796"/>
      <c r="W36" s="796">
        <v>7713613</v>
      </c>
      <c r="X36" s="795">
        <v>1404357.25</v>
      </c>
      <c r="Y36" s="797">
        <v>382665</v>
      </c>
      <c r="Z36" s="796">
        <v>108000</v>
      </c>
      <c r="AA36" s="796">
        <v>83675</v>
      </c>
      <c r="AB36" s="796">
        <v>79035</v>
      </c>
      <c r="AC36" s="796">
        <v>235860</v>
      </c>
      <c r="AD36" s="796">
        <v>1146555</v>
      </c>
      <c r="AE36" s="798">
        <v>0</v>
      </c>
      <c r="AF36" s="801"/>
      <c r="AG36" s="799">
        <v>4196150</v>
      </c>
      <c r="AH36" s="799">
        <v>2349596</v>
      </c>
      <c r="AI36" s="799">
        <v>657570</v>
      </c>
      <c r="AJ36" s="799">
        <v>363581</v>
      </c>
      <c r="AK36" s="786">
        <v>825403</v>
      </c>
      <c r="AL36" s="799"/>
      <c r="AM36" s="799">
        <v>228918</v>
      </c>
      <c r="AN36" s="799">
        <v>555750</v>
      </c>
      <c r="AO36" s="799">
        <v>511346</v>
      </c>
      <c r="AP36" s="786">
        <v>1296014</v>
      </c>
      <c r="AT36" s="800"/>
      <c r="AU36" s="786">
        <v>7713613</v>
      </c>
      <c r="AV36" s="800">
        <v>2226183</v>
      </c>
      <c r="AW36" s="800"/>
      <c r="AY36" s="835">
        <v>2324</v>
      </c>
      <c r="AZ36" s="836">
        <v>2226.5</v>
      </c>
      <c r="BA36"/>
      <c r="BB36" s="356"/>
      <c r="BC36" s="357"/>
      <c r="BD36" s="358"/>
      <c r="BE36" s="358"/>
      <c r="BF36" s="358"/>
      <c r="BG36" s="358"/>
      <c r="BH36" s="358"/>
      <c r="BI36" s="360"/>
      <c r="BJ36" s="358"/>
      <c r="BK36" s="358"/>
      <c r="BL36" s="358"/>
      <c r="BM36" s="358"/>
      <c r="BN36" s="358"/>
      <c r="BO36" s="358"/>
      <c r="BP36" s="360"/>
      <c r="BQ36" s="358"/>
      <c r="BR36" s="358"/>
      <c r="BS36" s="359"/>
      <c r="BT36"/>
      <c r="BU36"/>
      <c r="BV36"/>
      <c r="BW36" s="1381" t="s">
        <v>2221</v>
      </c>
      <c r="BX36" s="1382" t="s">
        <v>1233</v>
      </c>
      <c r="BY36" s="1383">
        <v>0</v>
      </c>
      <c r="BZ36" s="1383">
        <v>0</v>
      </c>
      <c r="CA36" s="1383">
        <v>70</v>
      </c>
      <c r="CB36" s="1383">
        <v>83</v>
      </c>
      <c r="CC36" s="1383">
        <v>92</v>
      </c>
      <c r="CD36" s="1383">
        <v>98</v>
      </c>
      <c r="CE36" s="1383">
        <v>84</v>
      </c>
      <c r="CF36" s="1383">
        <v>78</v>
      </c>
      <c r="CG36" s="1383">
        <v>0</v>
      </c>
      <c r="CH36" s="1383">
        <v>0</v>
      </c>
      <c r="CI36" s="1383">
        <v>0</v>
      </c>
      <c r="CJ36" s="1383">
        <v>0</v>
      </c>
      <c r="CK36" s="1383">
        <v>0</v>
      </c>
      <c r="CL36" s="1383">
        <v>0</v>
      </c>
      <c r="CM36" s="1383">
        <v>0</v>
      </c>
      <c r="CN36" s="1384">
        <v>505</v>
      </c>
      <c r="CO36"/>
      <c r="CP36"/>
      <c r="CQ36" s="1381" t="s">
        <v>2222</v>
      </c>
      <c r="CR36" s="1382" t="s">
        <v>2223</v>
      </c>
      <c r="CS36" s="1383">
        <v>0</v>
      </c>
      <c r="CT36" s="1383">
        <v>0</v>
      </c>
      <c r="CU36" s="1383">
        <v>7</v>
      </c>
      <c r="CV36" s="1383">
        <v>11</v>
      </c>
      <c r="CW36" s="1383">
        <v>9</v>
      </c>
      <c r="CX36" s="1383">
        <v>13</v>
      </c>
      <c r="CY36" s="1383">
        <v>11</v>
      </c>
      <c r="CZ36" s="1383">
        <v>6</v>
      </c>
      <c r="DA36" s="1383">
        <v>8</v>
      </c>
      <c r="DB36" s="1383">
        <v>9</v>
      </c>
      <c r="DC36" s="1383">
        <v>7</v>
      </c>
      <c r="DD36" s="1383">
        <v>0</v>
      </c>
      <c r="DE36" s="1383">
        <v>0</v>
      </c>
      <c r="DF36" s="1383">
        <v>0</v>
      </c>
      <c r="DG36" s="1383">
        <v>0</v>
      </c>
      <c r="DH36" s="1384">
        <v>81</v>
      </c>
      <c r="DI36"/>
      <c r="DJ36"/>
    </row>
    <row r="37" spans="1:114">
      <c r="A37" s="795" t="s">
        <v>1949</v>
      </c>
      <c r="B37" s="795">
        <v>98392865.480000004</v>
      </c>
      <c r="C37" s="795">
        <v>27878132</v>
      </c>
      <c r="D37" s="795">
        <v>3036165</v>
      </c>
      <c r="E37" s="795">
        <v>0</v>
      </c>
      <c r="F37" s="795">
        <v>3094093</v>
      </c>
      <c r="G37" s="795">
        <v>23479682</v>
      </c>
      <c r="H37" s="795">
        <v>17699429.420000002</v>
      </c>
      <c r="I37" s="795">
        <v>347726.71</v>
      </c>
      <c r="J37" s="795">
        <v>17351702.710000001</v>
      </c>
      <c r="K37" s="795">
        <v>17351702.710000001</v>
      </c>
      <c r="L37" s="795">
        <v>730620</v>
      </c>
      <c r="M37" s="795">
        <v>1875240</v>
      </c>
      <c r="N37" s="795">
        <v>70693596</v>
      </c>
      <c r="O37" s="795">
        <v>6127979.2899999991</v>
      </c>
      <c r="P37" s="795">
        <v>76821575.289999992</v>
      </c>
      <c r="Q37" s="795">
        <v>1927055</v>
      </c>
      <c r="R37" s="795">
        <v>0</v>
      </c>
      <c r="S37" s="795">
        <v>4062200</v>
      </c>
      <c r="T37" s="795">
        <v>4187966</v>
      </c>
      <c r="U37" s="795">
        <v>532345.48000000045</v>
      </c>
      <c r="V37" s="796"/>
      <c r="W37" s="795">
        <v>49206504</v>
      </c>
      <c r="X37" s="795">
        <v>11585480.289999999</v>
      </c>
      <c r="Y37" s="797">
        <v>2465825</v>
      </c>
      <c r="Z37" s="795">
        <v>864000</v>
      </c>
      <c r="AA37" s="795">
        <v>1064325</v>
      </c>
      <c r="AB37" s="795">
        <v>779488</v>
      </c>
      <c r="AC37" s="795">
        <v>1212608</v>
      </c>
      <c r="AD37" s="795">
        <v>6861375</v>
      </c>
      <c r="AE37" s="798">
        <v>126500</v>
      </c>
      <c r="AF37" s="801"/>
      <c r="AG37" s="799">
        <v>31543043</v>
      </c>
      <c r="AH37" s="799">
        <v>23479682</v>
      </c>
      <c r="AI37" s="799">
        <v>730620</v>
      </c>
      <c r="AJ37" s="799">
        <v>1875240</v>
      </c>
      <c r="AK37" s="786">
        <v>5457501</v>
      </c>
      <c r="AL37" s="799"/>
      <c r="AM37" s="799">
        <v>1204260</v>
      </c>
      <c r="AN37" s="799">
        <v>4062200</v>
      </c>
      <c r="AO37" s="799">
        <v>4177401</v>
      </c>
      <c r="AP37" s="786">
        <v>9443861</v>
      </c>
      <c r="AQ37" s="799"/>
      <c r="AR37" s="786">
        <v>817218</v>
      </c>
      <c r="AT37" s="800"/>
      <c r="AU37" s="786">
        <v>49206504</v>
      </c>
      <c r="AV37" s="800">
        <v>19218512</v>
      </c>
      <c r="AW37" s="800"/>
      <c r="AY37" s="835">
        <v>16830</v>
      </c>
      <c r="AZ37" s="836">
        <v>16203.8</v>
      </c>
      <c r="BA37"/>
      <c r="BB37"/>
      <c r="BC37"/>
      <c r="BD37"/>
      <c r="BE37"/>
      <c r="BF37"/>
      <c r="BG37"/>
      <c r="BH37"/>
      <c r="BI37"/>
      <c r="BJ37"/>
      <c r="BK37"/>
      <c r="BL37"/>
      <c r="BM37"/>
      <c r="BN37"/>
      <c r="BO37"/>
      <c r="BP37"/>
      <c r="BQ37"/>
      <c r="BR37"/>
      <c r="BS37"/>
      <c r="BT37"/>
      <c r="BU37"/>
      <c r="BV37"/>
      <c r="BW37" s="1381" t="s">
        <v>2224</v>
      </c>
      <c r="BX37" s="1382" t="s">
        <v>1233</v>
      </c>
      <c r="BY37" s="1383">
        <v>0</v>
      </c>
      <c r="BZ37" s="1383">
        <v>0</v>
      </c>
      <c r="CA37" s="1383">
        <v>0</v>
      </c>
      <c r="CB37" s="1383">
        <v>0</v>
      </c>
      <c r="CC37" s="1383">
        <v>0</v>
      </c>
      <c r="CD37" s="1383">
        <v>0</v>
      </c>
      <c r="CE37" s="1383">
        <v>0</v>
      </c>
      <c r="CF37" s="1383">
        <v>0</v>
      </c>
      <c r="CG37" s="1383">
        <v>0</v>
      </c>
      <c r="CH37" s="1383">
        <v>0</v>
      </c>
      <c r="CI37" s="1383">
        <v>6</v>
      </c>
      <c r="CJ37" s="1383">
        <v>10</v>
      </c>
      <c r="CK37" s="1383">
        <v>5</v>
      </c>
      <c r="CL37" s="1383">
        <v>6</v>
      </c>
      <c r="CM37" s="1383">
        <v>4</v>
      </c>
      <c r="CN37" s="1384">
        <v>31</v>
      </c>
      <c r="CO37"/>
      <c r="CP37"/>
      <c r="CQ37" s="1385" t="s">
        <v>2225</v>
      </c>
      <c r="CR37" s="1386" t="s">
        <v>2226</v>
      </c>
      <c r="CS37" s="1387">
        <v>0</v>
      </c>
      <c r="CT37" s="1387">
        <v>0</v>
      </c>
      <c r="CU37" s="1387">
        <v>0</v>
      </c>
      <c r="CV37" s="1387">
        <v>0</v>
      </c>
      <c r="CW37" s="1387">
        <v>1</v>
      </c>
      <c r="CX37" s="1387">
        <v>2</v>
      </c>
      <c r="CY37" s="1387">
        <v>0</v>
      </c>
      <c r="CZ37" s="1387">
        <v>0</v>
      </c>
      <c r="DA37" s="1387">
        <v>1</v>
      </c>
      <c r="DB37" s="1387">
        <v>1</v>
      </c>
      <c r="DC37" s="1387">
        <v>1</v>
      </c>
      <c r="DD37" s="1387">
        <v>0</v>
      </c>
      <c r="DE37" s="1387">
        <v>0</v>
      </c>
      <c r="DF37" s="1387">
        <v>0</v>
      </c>
      <c r="DG37" s="1387">
        <v>0</v>
      </c>
      <c r="DH37" s="1388">
        <v>6</v>
      </c>
      <c r="DI37"/>
      <c r="DJ37"/>
    </row>
    <row r="38" spans="1:114">
      <c r="A38" s="796" t="s">
        <v>446</v>
      </c>
      <c r="B38" s="796">
        <v>9270972.8000000007</v>
      </c>
      <c r="C38" s="796">
        <v>234088</v>
      </c>
      <c r="D38" s="796">
        <v>0</v>
      </c>
      <c r="E38" s="796">
        <v>493091.00598324428</v>
      </c>
      <c r="F38" s="796">
        <v>364186</v>
      </c>
      <c r="G38" s="796">
        <v>2307331</v>
      </c>
      <c r="H38" s="796">
        <v>1731432.78</v>
      </c>
      <c r="I38" s="796">
        <v>3086.35</v>
      </c>
      <c r="J38" s="796">
        <v>1728346.43</v>
      </c>
      <c r="K38" s="796">
        <v>1728346.43</v>
      </c>
      <c r="L38" s="796">
        <v>717685</v>
      </c>
      <c r="M38" s="796">
        <v>260879</v>
      </c>
      <c r="N38" s="796">
        <v>10263222</v>
      </c>
      <c r="O38" s="796">
        <v>578984.57000000007</v>
      </c>
      <c r="P38" s="796">
        <v>10842206.57</v>
      </c>
      <c r="Q38" s="796">
        <v>891036</v>
      </c>
      <c r="R38" s="796">
        <v>0</v>
      </c>
      <c r="S38" s="796">
        <v>294500</v>
      </c>
      <c r="T38" s="796">
        <v>126780</v>
      </c>
      <c r="U38" s="796">
        <v>45621.799999999988</v>
      </c>
      <c r="V38" s="796"/>
      <c r="W38" s="796">
        <v>6022714</v>
      </c>
      <c r="X38" s="795">
        <v>1100920.57</v>
      </c>
      <c r="Y38" s="797">
        <v>321899</v>
      </c>
      <c r="Z38" s="796">
        <v>74000</v>
      </c>
      <c r="AA38" s="796">
        <v>33500</v>
      </c>
      <c r="AB38" s="796">
        <v>39545</v>
      </c>
      <c r="AC38" s="796">
        <v>177192</v>
      </c>
      <c r="AD38" s="796">
        <v>1155105</v>
      </c>
      <c r="AE38" s="798">
        <v>0</v>
      </c>
      <c r="AF38" s="801"/>
      <c r="AG38" s="799">
        <v>3807831</v>
      </c>
      <c r="AH38" s="799">
        <v>2307331</v>
      </c>
      <c r="AI38" s="799">
        <v>717685</v>
      </c>
      <c r="AJ38" s="799">
        <v>260879</v>
      </c>
      <c r="AK38" s="786">
        <v>521936</v>
      </c>
      <c r="AL38" s="799"/>
      <c r="AM38" s="799">
        <v>173394</v>
      </c>
      <c r="AN38" s="799">
        <v>294500</v>
      </c>
      <c r="AO38" s="799">
        <v>126780</v>
      </c>
      <c r="AP38" s="786">
        <v>594674</v>
      </c>
      <c r="AT38" s="800"/>
      <c r="AU38" s="786">
        <v>6022714</v>
      </c>
      <c r="AV38" s="800">
        <v>2506950</v>
      </c>
      <c r="AW38" s="800"/>
      <c r="AY38" s="835">
        <v>1699</v>
      </c>
      <c r="AZ38" s="836">
        <v>1623.5</v>
      </c>
      <c r="BA38"/>
      <c r="BB38"/>
      <c r="BC38"/>
      <c r="BD38"/>
      <c r="BE38"/>
      <c r="BF38"/>
      <c r="BG38"/>
      <c r="BH38"/>
      <c r="BI38"/>
      <c r="BJ38"/>
      <c r="BK38"/>
      <c r="BL38"/>
      <c r="BM38"/>
      <c r="BN38"/>
      <c r="BO38"/>
      <c r="BP38"/>
      <c r="BQ38"/>
      <c r="BR38"/>
      <c r="BS38"/>
      <c r="BT38"/>
      <c r="BU38"/>
      <c r="BV38"/>
      <c r="BW38" s="1381" t="s">
        <v>2227</v>
      </c>
      <c r="BX38" s="1382" t="s">
        <v>1233</v>
      </c>
      <c r="BY38" s="1383">
        <v>0</v>
      </c>
      <c r="BZ38" s="1383">
        <v>0</v>
      </c>
      <c r="CA38" s="1383">
        <v>11</v>
      </c>
      <c r="CB38" s="1383">
        <v>16</v>
      </c>
      <c r="CC38" s="1383">
        <v>21</v>
      </c>
      <c r="CD38" s="1383">
        <v>21</v>
      </c>
      <c r="CE38" s="1383">
        <v>24</v>
      </c>
      <c r="CF38" s="1383">
        <v>25</v>
      </c>
      <c r="CG38" s="1383">
        <v>74</v>
      </c>
      <c r="CH38" s="1383">
        <v>95</v>
      </c>
      <c r="CI38" s="1383">
        <v>75</v>
      </c>
      <c r="CJ38" s="1383">
        <v>0</v>
      </c>
      <c r="CK38" s="1383">
        <v>0</v>
      </c>
      <c r="CL38" s="1383">
        <v>0</v>
      </c>
      <c r="CM38" s="1383">
        <v>0</v>
      </c>
      <c r="CN38" s="1384">
        <v>362</v>
      </c>
      <c r="CO38"/>
      <c r="CP38"/>
      <c r="CQ38" s="1389" t="s">
        <v>2228</v>
      </c>
      <c r="CR38" s="1390" t="s">
        <v>2229</v>
      </c>
      <c r="CS38" s="1391">
        <v>0</v>
      </c>
      <c r="CT38" s="1391">
        <v>0</v>
      </c>
      <c r="CU38" s="1391">
        <v>1</v>
      </c>
      <c r="CV38" s="1391">
        <v>1</v>
      </c>
      <c r="CW38" s="1391">
        <v>2</v>
      </c>
      <c r="CX38" s="1391">
        <v>3</v>
      </c>
      <c r="CY38" s="1391">
        <v>0</v>
      </c>
      <c r="CZ38" s="1391">
        <v>0</v>
      </c>
      <c r="DA38" s="1391">
        <v>3</v>
      </c>
      <c r="DB38" s="1391">
        <v>1</v>
      </c>
      <c r="DC38" s="1391">
        <v>0</v>
      </c>
      <c r="DD38" s="1391">
        <v>18</v>
      </c>
      <c r="DE38" s="1391">
        <v>17</v>
      </c>
      <c r="DF38" s="1391">
        <v>19</v>
      </c>
      <c r="DG38" s="1391">
        <v>24</v>
      </c>
      <c r="DH38" s="1392">
        <v>89</v>
      </c>
      <c r="DI38"/>
      <c r="DJ38"/>
    </row>
    <row r="39" spans="1:114">
      <c r="A39" s="795" t="s">
        <v>1950</v>
      </c>
      <c r="B39" s="795">
        <v>30490046.989033777</v>
      </c>
      <c r="C39" s="795">
        <v>10556419</v>
      </c>
      <c r="D39" s="795">
        <v>0</v>
      </c>
      <c r="E39" s="795">
        <v>283619.24903377634</v>
      </c>
      <c r="F39" s="795">
        <v>834832</v>
      </c>
      <c r="G39" s="795">
        <v>5206340</v>
      </c>
      <c r="H39" s="795">
        <v>4940942.25</v>
      </c>
      <c r="I39" s="795">
        <v>1003427.4</v>
      </c>
      <c r="J39" s="795">
        <v>3937514.85</v>
      </c>
      <c r="K39" s="795">
        <v>3937514.85</v>
      </c>
      <c r="L39" s="795">
        <v>1027660</v>
      </c>
      <c r="M39" s="795">
        <v>483165</v>
      </c>
      <c r="N39" s="795">
        <v>18204829</v>
      </c>
      <c r="O39" s="795">
        <v>1268825.1499999999</v>
      </c>
      <c r="P39" s="795">
        <v>19473654.149999999</v>
      </c>
      <c r="Q39" s="795">
        <v>1736172</v>
      </c>
      <c r="R39" s="795">
        <v>0</v>
      </c>
      <c r="S39" s="795">
        <v>1240700</v>
      </c>
      <c r="T39" s="795">
        <v>961415</v>
      </c>
      <c r="U39" s="795">
        <v>138541.73999999976</v>
      </c>
      <c r="V39" s="796"/>
      <c r="W39" s="795">
        <v>13420388</v>
      </c>
      <c r="X39" s="795">
        <v>2593470.15</v>
      </c>
      <c r="Y39" s="797">
        <v>589823</v>
      </c>
      <c r="Z39" s="795">
        <v>396000</v>
      </c>
      <c r="AA39" s="795">
        <v>140250</v>
      </c>
      <c r="AB39" s="795">
        <v>163213</v>
      </c>
      <c r="AC39" s="795">
        <v>413924</v>
      </c>
      <c r="AD39" s="795">
        <v>1698885</v>
      </c>
      <c r="AE39" s="798">
        <v>0</v>
      </c>
      <c r="AF39" s="801"/>
      <c r="AG39" s="799">
        <v>8041810</v>
      </c>
      <c r="AH39" s="799">
        <v>5206340</v>
      </c>
      <c r="AI39" s="799">
        <v>1027660</v>
      </c>
      <c r="AJ39" s="799">
        <v>483165</v>
      </c>
      <c r="AK39" s="786">
        <v>1324645</v>
      </c>
      <c r="AL39" s="799"/>
      <c r="AM39" s="799">
        <v>410630</v>
      </c>
      <c r="AN39" s="799">
        <v>1240700</v>
      </c>
      <c r="AO39" s="799">
        <v>952963</v>
      </c>
      <c r="AP39" s="786">
        <v>2604293</v>
      </c>
      <c r="AT39" s="800"/>
      <c r="AU39" s="786">
        <v>13420388</v>
      </c>
      <c r="AV39" s="800">
        <v>4143699</v>
      </c>
      <c r="AW39" s="800"/>
      <c r="AY39" s="835">
        <v>4479</v>
      </c>
      <c r="AZ39" s="836">
        <v>4277.3999999999996</v>
      </c>
      <c r="BA39"/>
      <c r="BB39"/>
      <c r="BC39"/>
      <c r="BD39"/>
      <c r="BE39"/>
      <c r="BF39"/>
      <c r="BG39"/>
      <c r="BH39"/>
      <c r="BI39"/>
      <c r="BJ39"/>
      <c r="BK39"/>
      <c r="BL39"/>
      <c r="BM39"/>
      <c r="BN39"/>
      <c r="BO39"/>
      <c r="BP39"/>
      <c r="BQ39"/>
      <c r="BR39"/>
      <c r="BS39"/>
      <c r="BT39"/>
      <c r="BU39"/>
      <c r="BV39"/>
      <c r="BW39" s="1381" t="s">
        <v>2230</v>
      </c>
      <c r="BX39" s="1382" t="s">
        <v>1233</v>
      </c>
      <c r="BY39" s="1383">
        <v>0</v>
      </c>
      <c r="BZ39" s="1383">
        <v>0</v>
      </c>
      <c r="CA39" s="1383">
        <v>0</v>
      </c>
      <c r="CB39" s="1383">
        <v>0</v>
      </c>
      <c r="CC39" s="1383">
        <v>0</v>
      </c>
      <c r="CD39" s="1383">
        <v>0</v>
      </c>
      <c r="CE39" s="1383">
        <v>0</v>
      </c>
      <c r="CF39" s="1383">
        <v>0</v>
      </c>
      <c r="CG39" s="1383">
        <v>146</v>
      </c>
      <c r="CH39" s="1383">
        <v>141</v>
      </c>
      <c r="CI39" s="1383">
        <v>133</v>
      </c>
      <c r="CJ39" s="1383">
        <v>0</v>
      </c>
      <c r="CK39" s="1383">
        <v>0</v>
      </c>
      <c r="CL39" s="1383">
        <v>0</v>
      </c>
      <c r="CM39" s="1383">
        <v>0</v>
      </c>
      <c r="CN39" s="1384">
        <v>420</v>
      </c>
      <c r="CO39"/>
      <c r="CP39"/>
      <c r="CQ39" s="363" t="s">
        <v>2231</v>
      </c>
      <c r="CR39" s="1382" t="s">
        <v>2232</v>
      </c>
      <c r="CS39" s="364">
        <v>0</v>
      </c>
      <c r="CT39" s="364">
        <v>0</v>
      </c>
      <c r="CU39" s="364">
        <v>0</v>
      </c>
      <c r="CV39" s="364">
        <v>1</v>
      </c>
      <c r="CW39" s="364">
        <v>0</v>
      </c>
      <c r="CX39" s="364">
        <v>0</v>
      </c>
      <c r="CY39" s="364">
        <v>1</v>
      </c>
      <c r="CZ39" s="364">
        <v>2</v>
      </c>
      <c r="DA39" s="364">
        <v>2</v>
      </c>
      <c r="DB39" s="364">
        <v>2</v>
      </c>
      <c r="DC39" s="364">
        <v>1</v>
      </c>
      <c r="DD39" s="364">
        <v>1</v>
      </c>
      <c r="DE39" s="364">
        <v>0</v>
      </c>
      <c r="DF39" s="364">
        <v>0</v>
      </c>
      <c r="DG39" s="364">
        <v>0</v>
      </c>
      <c r="DH39" s="365">
        <v>10</v>
      </c>
      <c r="DI39"/>
      <c r="DJ39"/>
    </row>
    <row r="40" spans="1:114">
      <c r="A40" s="796" t="s">
        <v>1951</v>
      </c>
      <c r="B40" s="796">
        <v>79772285.939999998</v>
      </c>
      <c r="C40" s="796">
        <v>30479792</v>
      </c>
      <c r="D40" s="796">
        <v>4111702</v>
      </c>
      <c r="E40" s="796">
        <v>0</v>
      </c>
      <c r="F40" s="796">
        <v>2237252</v>
      </c>
      <c r="G40" s="796">
        <v>12532523</v>
      </c>
      <c r="H40" s="796">
        <v>9390551.7899999991</v>
      </c>
      <c r="I40" s="796">
        <v>23687.48</v>
      </c>
      <c r="J40" s="796">
        <v>9366864.3099999987</v>
      </c>
      <c r="K40" s="796">
        <v>9366864.3099999987</v>
      </c>
      <c r="L40" s="796">
        <v>2675152</v>
      </c>
      <c r="M40" s="796">
        <v>1275171</v>
      </c>
      <c r="N40" s="796">
        <v>49325069</v>
      </c>
      <c r="O40" s="796">
        <v>3165658.6900000013</v>
      </c>
      <c r="P40" s="796">
        <v>52490727.689999998</v>
      </c>
      <c r="Q40" s="796">
        <v>1111962</v>
      </c>
      <c r="R40" s="796">
        <v>0</v>
      </c>
      <c r="S40" s="796">
        <v>2265750</v>
      </c>
      <c r="T40" s="796">
        <v>3180065</v>
      </c>
      <c r="U40" s="796">
        <v>369857.94000000041</v>
      </c>
      <c r="V40" s="796"/>
      <c r="W40" s="796">
        <v>33470984</v>
      </c>
      <c r="X40" s="795">
        <v>6862818.6900000013</v>
      </c>
      <c r="Y40" s="797">
        <v>1391815</v>
      </c>
      <c r="Z40" s="796">
        <v>359500</v>
      </c>
      <c r="AA40" s="796">
        <v>761525</v>
      </c>
      <c r="AB40" s="796">
        <v>546095</v>
      </c>
      <c r="AC40" s="796">
        <v>848708</v>
      </c>
      <c r="AD40" s="796">
        <v>3736350</v>
      </c>
      <c r="AE40" s="798">
        <v>0</v>
      </c>
      <c r="AF40" s="801"/>
      <c r="AG40" s="799">
        <v>20180006</v>
      </c>
      <c r="AH40" s="799">
        <v>12532523</v>
      </c>
      <c r="AI40" s="799">
        <v>2675152</v>
      </c>
      <c r="AJ40" s="799">
        <v>1275171</v>
      </c>
      <c r="AK40" s="786">
        <v>3697160</v>
      </c>
      <c r="AL40" s="799"/>
      <c r="AM40" s="799">
        <v>844928</v>
      </c>
      <c r="AN40" s="799">
        <v>2265750</v>
      </c>
      <c r="AO40" s="799">
        <v>3180065</v>
      </c>
      <c r="AP40" s="786">
        <v>6290743</v>
      </c>
      <c r="AT40" s="800"/>
      <c r="AU40" s="786">
        <v>33470984</v>
      </c>
      <c r="AV40" s="800">
        <v>10998354</v>
      </c>
      <c r="AW40" s="800"/>
      <c r="AY40" s="835">
        <v>11734</v>
      </c>
      <c r="AZ40" s="836">
        <v>11298.7</v>
      </c>
      <c r="BA40"/>
      <c r="BB40"/>
      <c r="BC40"/>
      <c r="BD40"/>
      <c r="BE40"/>
      <c r="BF40"/>
      <c r="BG40"/>
      <c r="BH40"/>
      <c r="BI40"/>
      <c r="BJ40"/>
      <c r="BK40"/>
      <c r="BL40"/>
      <c r="BM40"/>
      <c r="BN40"/>
      <c r="BO40"/>
      <c r="BP40"/>
      <c r="BQ40"/>
      <c r="BR40"/>
      <c r="BS40"/>
      <c r="BT40"/>
      <c r="BU40"/>
      <c r="BV40"/>
      <c r="BW40" s="1381" t="s">
        <v>2233</v>
      </c>
      <c r="BX40" s="1382" t="s">
        <v>1233</v>
      </c>
      <c r="BY40" s="1383">
        <v>0</v>
      </c>
      <c r="BZ40" s="1383">
        <v>0</v>
      </c>
      <c r="CA40" s="1383">
        <v>58</v>
      </c>
      <c r="CB40" s="1383">
        <v>60</v>
      </c>
      <c r="CC40" s="1383">
        <v>67</v>
      </c>
      <c r="CD40" s="1383">
        <v>69</v>
      </c>
      <c r="CE40" s="1383">
        <v>72</v>
      </c>
      <c r="CF40" s="1383">
        <v>57</v>
      </c>
      <c r="CG40" s="1383">
        <v>0</v>
      </c>
      <c r="CH40" s="1383">
        <v>0</v>
      </c>
      <c r="CI40" s="1383">
        <v>0</v>
      </c>
      <c r="CJ40" s="1383">
        <v>0</v>
      </c>
      <c r="CK40" s="1383">
        <v>0</v>
      </c>
      <c r="CL40" s="1383">
        <v>0</v>
      </c>
      <c r="CM40" s="1383">
        <v>0</v>
      </c>
      <c r="CN40" s="1384">
        <v>383</v>
      </c>
      <c r="CO40"/>
      <c r="CP40"/>
      <c r="CQ40" s="1381" t="s">
        <v>2234</v>
      </c>
      <c r="CR40" s="1382" t="s">
        <v>2235</v>
      </c>
      <c r="CS40" s="1383">
        <v>0</v>
      </c>
      <c r="CT40" s="1383">
        <v>0</v>
      </c>
      <c r="CU40" s="1383">
        <v>0</v>
      </c>
      <c r="CV40" s="1383">
        <v>3</v>
      </c>
      <c r="CW40" s="1383">
        <v>3</v>
      </c>
      <c r="CX40" s="1383">
        <v>1</v>
      </c>
      <c r="CY40" s="1383">
        <v>3</v>
      </c>
      <c r="CZ40" s="1383">
        <v>2</v>
      </c>
      <c r="DA40" s="1383">
        <v>2</v>
      </c>
      <c r="DB40" s="1383">
        <v>1</v>
      </c>
      <c r="DC40" s="1383">
        <v>3</v>
      </c>
      <c r="DD40" s="1383">
        <v>0</v>
      </c>
      <c r="DE40" s="1383">
        <v>1</v>
      </c>
      <c r="DF40" s="1383">
        <v>0</v>
      </c>
      <c r="DG40" s="1383">
        <v>0</v>
      </c>
      <c r="DH40" s="1384">
        <v>19</v>
      </c>
      <c r="DI40"/>
      <c r="DJ40"/>
    </row>
    <row r="41" spans="1:114">
      <c r="A41" s="795" t="s">
        <v>1952</v>
      </c>
      <c r="B41" s="795">
        <v>8387938.859607432</v>
      </c>
      <c r="C41" s="795">
        <v>0</v>
      </c>
      <c r="D41" s="795">
        <v>0</v>
      </c>
      <c r="E41" s="795">
        <v>684458.11960743228</v>
      </c>
      <c r="F41" s="795">
        <v>342080</v>
      </c>
      <c r="G41" s="795">
        <v>1656711</v>
      </c>
      <c r="H41" s="795">
        <v>1240344.6399999999</v>
      </c>
      <c r="I41" s="795">
        <v>2457.37</v>
      </c>
      <c r="J41" s="795">
        <v>1237887.2699999998</v>
      </c>
      <c r="K41" s="795">
        <v>1237887.2699999998</v>
      </c>
      <c r="L41" s="795">
        <v>712439</v>
      </c>
      <c r="M41" s="795">
        <v>286259</v>
      </c>
      <c r="N41" s="795">
        <v>12148246</v>
      </c>
      <c r="O41" s="795">
        <v>418823.73000000021</v>
      </c>
      <c r="P41" s="795">
        <v>12567069.73</v>
      </c>
      <c r="Q41" s="795">
        <v>1034636</v>
      </c>
      <c r="R41" s="795">
        <v>0</v>
      </c>
      <c r="S41" s="795">
        <v>217550</v>
      </c>
      <c r="T41" s="795">
        <v>211300</v>
      </c>
      <c r="U41" s="795">
        <v>41988.739999999991</v>
      </c>
      <c r="V41" s="796"/>
      <c r="W41" s="795">
        <v>5473342</v>
      </c>
      <c r="X41" s="795">
        <v>944142.73000000021</v>
      </c>
      <c r="Y41" s="797">
        <v>317543</v>
      </c>
      <c r="Z41" s="795">
        <v>36000</v>
      </c>
      <c r="AA41" s="795">
        <v>55700</v>
      </c>
      <c r="AB41" s="795">
        <v>32505</v>
      </c>
      <c r="AC41" s="795">
        <v>162465</v>
      </c>
      <c r="AD41" s="795">
        <v>1027710</v>
      </c>
      <c r="AE41" s="798">
        <v>0</v>
      </c>
      <c r="AF41" s="801"/>
      <c r="AG41" s="799">
        <v>3180728</v>
      </c>
      <c r="AH41" s="799">
        <v>1656711</v>
      </c>
      <c r="AI41" s="799">
        <v>712439</v>
      </c>
      <c r="AJ41" s="799">
        <v>286259</v>
      </c>
      <c r="AK41" s="786">
        <v>525319</v>
      </c>
      <c r="AL41" s="799"/>
      <c r="AM41" s="799">
        <v>160456</v>
      </c>
      <c r="AN41" s="799">
        <v>217550</v>
      </c>
      <c r="AO41" s="799">
        <v>211300</v>
      </c>
      <c r="AP41" s="786">
        <v>589306</v>
      </c>
      <c r="AT41" s="800"/>
      <c r="AU41" s="786">
        <v>5473342</v>
      </c>
      <c r="AV41" s="800">
        <v>2029162</v>
      </c>
      <c r="AW41" s="800"/>
      <c r="AY41" s="835">
        <v>1565</v>
      </c>
      <c r="AZ41" s="836">
        <v>1497</v>
      </c>
      <c r="BA41"/>
      <c r="BB41"/>
      <c r="BC41"/>
      <c r="BD41"/>
      <c r="BE41"/>
      <c r="BF41"/>
      <c r="BG41"/>
      <c r="BH41"/>
      <c r="BI41"/>
      <c r="BJ41"/>
      <c r="BK41"/>
      <c r="BL41"/>
      <c r="BM41"/>
      <c r="BN41"/>
      <c r="BO41"/>
      <c r="BP41"/>
      <c r="BQ41"/>
      <c r="BR41"/>
      <c r="BS41"/>
      <c r="BT41"/>
      <c r="BU41"/>
      <c r="BV41"/>
      <c r="BW41" s="1381" t="s">
        <v>2236</v>
      </c>
      <c r="BX41" s="1382" t="s">
        <v>1233</v>
      </c>
      <c r="BY41" s="1383">
        <v>28</v>
      </c>
      <c r="BZ41" s="1383">
        <v>0</v>
      </c>
      <c r="CA41" s="1383">
        <v>0</v>
      </c>
      <c r="CB41" s="1383">
        <v>0</v>
      </c>
      <c r="CC41" s="1383">
        <v>0</v>
      </c>
      <c r="CD41" s="1383">
        <v>0</v>
      </c>
      <c r="CE41" s="1383">
        <v>0</v>
      </c>
      <c r="CF41" s="1383">
        <v>0</v>
      </c>
      <c r="CG41" s="1383">
        <v>0</v>
      </c>
      <c r="CH41" s="1383">
        <v>0</v>
      </c>
      <c r="CI41" s="1383">
        <v>0</v>
      </c>
      <c r="CJ41" s="1383">
        <v>310</v>
      </c>
      <c r="CK41" s="1383">
        <v>293</v>
      </c>
      <c r="CL41" s="1383">
        <v>282</v>
      </c>
      <c r="CM41" s="1383">
        <v>324</v>
      </c>
      <c r="CN41" s="1384">
        <v>1237</v>
      </c>
      <c r="CO41"/>
      <c r="CP41"/>
      <c r="CQ41" s="1381" t="s">
        <v>2237</v>
      </c>
      <c r="CR41" s="1382" t="s">
        <v>2238</v>
      </c>
      <c r="CS41" s="1383">
        <v>0</v>
      </c>
      <c r="CT41" s="1383">
        <v>0</v>
      </c>
      <c r="CU41" s="1383">
        <v>2</v>
      </c>
      <c r="CV41" s="1383">
        <v>2</v>
      </c>
      <c r="CW41" s="1383">
        <v>0</v>
      </c>
      <c r="CX41" s="1383">
        <v>4</v>
      </c>
      <c r="CY41" s="1383">
        <v>1</v>
      </c>
      <c r="CZ41" s="1383">
        <v>2</v>
      </c>
      <c r="DA41" s="1383">
        <v>1</v>
      </c>
      <c r="DB41" s="1383">
        <v>2</v>
      </c>
      <c r="DC41" s="1383">
        <v>1</v>
      </c>
      <c r="DD41" s="1383">
        <v>0</v>
      </c>
      <c r="DE41" s="1383">
        <v>0</v>
      </c>
      <c r="DF41" s="1383">
        <v>0</v>
      </c>
      <c r="DG41" s="1383">
        <v>0</v>
      </c>
      <c r="DH41" s="1384">
        <v>15</v>
      </c>
      <c r="DI41"/>
      <c r="DJ41"/>
    </row>
    <row r="42" spans="1:114">
      <c r="A42" s="796" t="s">
        <v>1304</v>
      </c>
      <c r="B42" s="796">
        <v>37820133.527859598</v>
      </c>
      <c r="C42" s="796">
        <v>2916405</v>
      </c>
      <c r="D42" s="796">
        <v>0</v>
      </c>
      <c r="E42" s="796">
        <v>476002.42785959871</v>
      </c>
      <c r="F42" s="796">
        <v>1680998</v>
      </c>
      <c r="G42" s="796">
        <v>12566855</v>
      </c>
      <c r="H42" s="796">
        <v>9360794.5099999998</v>
      </c>
      <c r="I42" s="796">
        <v>107456.02</v>
      </c>
      <c r="J42" s="796">
        <v>9253338.4900000002</v>
      </c>
      <c r="K42" s="796">
        <v>9253338.4900000002</v>
      </c>
      <c r="L42" s="796">
        <v>1752288</v>
      </c>
      <c r="M42" s="796">
        <v>1346854</v>
      </c>
      <c r="N42" s="796">
        <v>53852826</v>
      </c>
      <c r="O42" s="796">
        <v>3313516.51</v>
      </c>
      <c r="P42" s="796">
        <v>57166342.509999998</v>
      </c>
      <c r="Q42" s="796">
        <v>724422</v>
      </c>
      <c r="R42" s="796">
        <v>0</v>
      </c>
      <c r="S42" s="796">
        <v>2474750</v>
      </c>
      <c r="T42" s="796">
        <v>1743225</v>
      </c>
      <c r="U42" s="796">
        <v>266973.10000000056</v>
      </c>
      <c r="V42" s="796"/>
      <c r="W42" s="796">
        <v>25305365</v>
      </c>
      <c r="X42" s="795">
        <v>6500875.5099999998</v>
      </c>
      <c r="Y42" s="797">
        <v>1459050</v>
      </c>
      <c r="Z42" s="796">
        <v>370000</v>
      </c>
      <c r="AA42" s="796">
        <v>537450</v>
      </c>
      <c r="AB42" s="796">
        <v>539990</v>
      </c>
      <c r="AC42" s="796">
        <v>604418</v>
      </c>
      <c r="AD42" s="796">
        <v>4153590</v>
      </c>
      <c r="AE42" s="798">
        <v>119500</v>
      </c>
      <c r="AF42" s="801"/>
      <c r="AG42" s="799">
        <v>18853356</v>
      </c>
      <c r="AH42" s="799">
        <v>12566855</v>
      </c>
      <c r="AI42" s="799">
        <v>1752288</v>
      </c>
      <c r="AJ42" s="799">
        <v>1346854</v>
      </c>
      <c r="AK42" s="786">
        <v>3187359</v>
      </c>
      <c r="AL42" s="799"/>
      <c r="AM42" s="799">
        <v>601410</v>
      </c>
      <c r="AN42" s="799">
        <v>2474750</v>
      </c>
      <c r="AO42" s="799">
        <v>1679835</v>
      </c>
      <c r="AP42" s="786">
        <v>4755995</v>
      </c>
      <c r="AT42" s="800"/>
      <c r="AU42" s="786">
        <v>25305365</v>
      </c>
      <c r="AV42" s="800">
        <v>7942073</v>
      </c>
      <c r="AW42" s="800"/>
      <c r="AY42" s="835">
        <v>8431</v>
      </c>
      <c r="AZ42" s="836">
        <v>8132.5</v>
      </c>
      <c r="BA42"/>
      <c r="BB42"/>
      <c r="BC42"/>
      <c r="BD42"/>
      <c r="BE42"/>
      <c r="BF42"/>
      <c r="BG42"/>
      <c r="BH42"/>
      <c r="BI42"/>
      <c r="BJ42"/>
      <c r="BK42"/>
      <c r="BL42"/>
      <c r="BM42"/>
      <c r="BN42"/>
      <c r="BO42"/>
      <c r="BP42"/>
      <c r="BQ42"/>
      <c r="BR42"/>
      <c r="BS42"/>
      <c r="BT42"/>
      <c r="BU42"/>
      <c r="BV42"/>
      <c r="BW42" s="1381" t="s">
        <v>2239</v>
      </c>
      <c r="BX42" s="1382" t="s">
        <v>1233</v>
      </c>
      <c r="BY42" s="1383">
        <v>0</v>
      </c>
      <c r="BZ42" s="1383">
        <v>0</v>
      </c>
      <c r="CA42" s="1383">
        <v>9</v>
      </c>
      <c r="CB42" s="1383">
        <v>24</v>
      </c>
      <c r="CC42" s="1383">
        <v>18</v>
      </c>
      <c r="CD42" s="1383">
        <v>20</v>
      </c>
      <c r="CE42" s="1383">
        <v>19</v>
      </c>
      <c r="CF42" s="1383">
        <v>20</v>
      </c>
      <c r="CG42" s="1383">
        <v>0</v>
      </c>
      <c r="CH42" s="1383">
        <v>0</v>
      </c>
      <c r="CI42" s="1383">
        <v>0</v>
      </c>
      <c r="CJ42" s="1383">
        <v>0</v>
      </c>
      <c r="CK42" s="1383">
        <v>0</v>
      </c>
      <c r="CL42" s="1383">
        <v>0</v>
      </c>
      <c r="CM42" s="1383">
        <v>0</v>
      </c>
      <c r="CN42" s="1384">
        <v>110</v>
      </c>
      <c r="CO42"/>
      <c r="CP42"/>
      <c r="CQ42" s="1381" t="s">
        <v>2240</v>
      </c>
      <c r="CR42" s="1382" t="s">
        <v>2241</v>
      </c>
      <c r="CS42" s="1383">
        <v>0</v>
      </c>
      <c r="CT42" s="1383">
        <v>0</v>
      </c>
      <c r="CU42" s="1383">
        <v>6</v>
      </c>
      <c r="CV42" s="1383">
        <v>6</v>
      </c>
      <c r="CW42" s="1383">
        <v>13</v>
      </c>
      <c r="CX42" s="1383">
        <v>3</v>
      </c>
      <c r="CY42" s="1383">
        <v>4</v>
      </c>
      <c r="CZ42" s="1383">
        <v>3</v>
      </c>
      <c r="DA42" s="1383">
        <v>6</v>
      </c>
      <c r="DB42" s="1383">
        <v>9</v>
      </c>
      <c r="DC42" s="1383">
        <v>4</v>
      </c>
      <c r="DD42" s="1383">
        <v>3</v>
      </c>
      <c r="DE42" s="1383">
        <v>0</v>
      </c>
      <c r="DF42" s="1383">
        <v>0</v>
      </c>
      <c r="DG42" s="1383">
        <v>0</v>
      </c>
      <c r="DH42" s="1384">
        <v>57</v>
      </c>
      <c r="DI42"/>
      <c r="DJ42"/>
    </row>
    <row r="43" spans="1:114">
      <c r="A43" s="795" t="s">
        <v>447</v>
      </c>
      <c r="B43" s="795">
        <v>25683300.679668833</v>
      </c>
      <c r="C43" s="795">
        <v>3466099</v>
      </c>
      <c r="D43" s="795">
        <v>0</v>
      </c>
      <c r="E43" s="795">
        <v>447544.1796688317</v>
      </c>
      <c r="F43" s="795">
        <v>1001310</v>
      </c>
      <c r="G43" s="795">
        <v>7518501</v>
      </c>
      <c r="H43" s="795">
        <v>5762300.7599999998</v>
      </c>
      <c r="I43" s="795">
        <v>93850.48</v>
      </c>
      <c r="J43" s="795">
        <v>5668450.2799999993</v>
      </c>
      <c r="K43" s="795">
        <v>5668450.2799999993</v>
      </c>
      <c r="L43" s="795">
        <v>1465584</v>
      </c>
      <c r="M43" s="795">
        <v>788034</v>
      </c>
      <c r="N43" s="795">
        <v>30906628</v>
      </c>
      <c r="O43" s="795">
        <v>1850050.7200000007</v>
      </c>
      <c r="P43" s="795">
        <v>32756678.719999999</v>
      </c>
      <c r="Q43" s="795">
        <v>2855651</v>
      </c>
      <c r="R43" s="795">
        <v>0</v>
      </c>
      <c r="S43" s="795">
        <v>946200</v>
      </c>
      <c r="T43" s="795">
        <v>1176941</v>
      </c>
      <c r="U43" s="795">
        <v>144167.5</v>
      </c>
      <c r="V43" s="796"/>
      <c r="W43" s="795">
        <v>14475999</v>
      </c>
      <c r="X43" s="795">
        <v>3530932.7200000007</v>
      </c>
      <c r="Y43" s="797">
        <v>757627</v>
      </c>
      <c r="Z43" s="795">
        <v>254500</v>
      </c>
      <c r="AA43" s="795">
        <v>113275</v>
      </c>
      <c r="AB43" s="795">
        <v>164066</v>
      </c>
      <c r="AC43" s="795">
        <v>483254</v>
      </c>
      <c r="AD43" s="795">
        <v>2124675</v>
      </c>
      <c r="AE43" s="798">
        <v>0</v>
      </c>
      <c r="AF43" s="801"/>
      <c r="AG43" s="799">
        <v>11453001</v>
      </c>
      <c r="AH43" s="799">
        <v>7518501</v>
      </c>
      <c r="AI43" s="799">
        <v>1465584</v>
      </c>
      <c r="AJ43" s="799">
        <v>788034</v>
      </c>
      <c r="AK43" s="786">
        <v>1680882</v>
      </c>
      <c r="AL43" s="799"/>
      <c r="AM43" s="799">
        <v>474604</v>
      </c>
      <c r="AN43" s="799">
        <v>946200</v>
      </c>
      <c r="AO43" s="799">
        <v>1176941</v>
      </c>
      <c r="AP43" s="786">
        <v>2597745</v>
      </c>
      <c r="AT43" s="800"/>
      <c r="AU43" s="786">
        <v>14475999</v>
      </c>
      <c r="AV43" s="800">
        <v>5152896</v>
      </c>
      <c r="AW43" s="800"/>
      <c r="AY43" s="835">
        <v>4677</v>
      </c>
      <c r="AZ43" s="836">
        <v>4479.3999999999996</v>
      </c>
      <c r="BA43"/>
      <c r="BB43"/>
      <c r="BC43"/>
      <c r="BD43"/>
      <c r="BE43"/>
      <c r="BF43"/>
      <c r="BG43"/>
      <c r="BH43"/>
      <c r="BI43"/>
      <c r="BJ43"/>
      <c r="BK43"/>
      <c r="BL43"/>
      <c r="BM43"/>
      <c r="BN43"/>
      <c r="BO43"/>
      <c r="BP43"/>
      <c r="BQ43"/>
      <c r="BR43"/>
      <c r="BS43"/>
      <c r="BT43"/>
      <c r="BU43"/>
      <c r="BV43"/>
      <c r="BW43" s="1381" t="s">
        <v>2242</v>
      </c>
      <c r="BX43" s="1382" t="s">
        <v>1233</v>
      </c>
      <c r="BY43" s="1383">
        <v>0</v>
      </c>
      <c r="BZ43" s="1383">
        <v>0</v>
      </c>
      <c r="CA43" s="1383">
        <v>34</v>
      </c>
      <c r="CB43" s="1383">
        <v>33</v>
      </c>
      <c r="CC43" s="1383">
        <v>28</v>
      </c>
      <c r="CD43" s="1383">
        <v>21</v>
      </c>
      <c r="CE43" s="1383">
        <v>34</v>
      </c>
      <c r="CF43" s="1383">
        <v>33</v>
      </c>
      <c r="CG43" s="1383">
        <v>0</v>
      </c>
      <c r="CH43" s="1383">
        <v>0</v>
      </c>
      <c r="CI43" s="1383">
        <v>0</v>
      </c>
      <c r="CJ43" s="1383">
        <v>0</v>
      </c>
      <c r="CK43" s="1383">
        <v>0</v>
      </c>
      <c r="CL43" s="1383">
        <v>0</v>
      </c>
      <c r="CM43" s="1383">
        <v>0</v>
      </c>
      <c r="CN43" s="1384">
        <v>183</v>
      </c>
      <c r="CO43"/>
      <c r="CP43"/>
      <c r="CQ43" s="1393" t="s">
        <v>2243</v>
      </c>
      <c r="CR43" s="1382" t="s">
        <v>2244</v>
      </c>
      <c r="CS43" s="1394">
        <v>0</v>
      </c>
      <c r="CT43" s="1383">
        <v>0</v>
      </c>
      <c r="CU43" s="1383">
        <v>8</v>
      </c>
      <c r="CV43" s="1383">
        <v>10</v>
      </c>
      <c r="CW43" s="1383">
        <v>20</v>
      </c>
      <c r="CX43" s="1383">
        <v>21</v>
      </c>
      <c r="CY43" s="1383">
        <v>12</v>
      </c>
      <c r="CZ43" s="1383">
        <v>21</v>
      </c>
      <c r="DA43" s="1383">
        <v>15</v>
      </c>
      <c r="DB43" s="1383">
        <v>17</v>
      </c>
      <c r="DC43" s="1383">
        <v>14</v>
      </c>
      <c r="DD43" s="1383">
        <v>16</v>
      </c>
      <c r="DE43" s="1383">
        <v>14</v>
      </c>
      <c r="DF43" s="1383">
        <v>11</v>
      </c>
      <c r="DG43" s="1383">
        <v>8</v>
      </c>
      <c r="DH43" s="1384">
        <v>187</v>
      </c>
      <c r="DI43"/>
      <c r="DJ43" t="s">
        <v>2245</v>
      </c>
    </row>
    <row r="44" spans="1:114">
      <c r="A44" s="796" t="s">
        <v>1953</v>
      </c>
      <c r="B44" s="796">
        <v>10694406.619999999</v>
      </c>
      <c r="C44" s="796">
        <v>2510147</v>
      </c>
      <c r="D44" s="796">
        <v>557431</v>
      </c>
      <c r="E44" s="796">
        <v>0</v>
      </c>
      <c r="F44" s="796">
        <v>270000</v>
      </c>
      <c r="G44" s="796">
        <v>1630495</v>
      </c>
      <c r="H44" s="796">
        <v>1226133.69</v>
      </c>
      <c r="I44" s="796">
        <v>0</v>
      </c>
      <c r="J44" s="796">
        <v>1226133.69</v>
      </c>
      <c r="K44" s="796">
        <v>1226133.69</v>
      </c>
      <c r="L44" s="796">
        <v>994366</v>
      </c>
      <c r="M44" s="796">
        <v>282720</v>
      </c>
      <c r="N44" s="796">
        <v>6512762</v>
      </c>
      <c r="O44" s="796">
        <v>404361.31000000006</v>
      </c>
      <c r="P44" s="796">
        <v>6917123.3100000005</v>
      </c>
      <c r="Q44" s="796">
        <v>1004202</v>
      </c>
      <c r="R44" s="796">
        <v>0</v>
      </c>
      <c r="S44" s="796">
        <v>356250</v>
      </c>
      <c r="T44" s="796">
        <v>221865</v>
      </c>
      <c r="U44" s="796">
        <v>42478.619999999995</v>
      </c>
      <c r="V44" s="796"/>
      <c r="W44" s="796">
        <v>4623969</v>
      </c>
      <c r="X44" s="795">
        <v>937111.31</v>
      </c>
      <c r="Y44" s="797">
        <v>290707</v>
      </c>
      <c r="Z44" s="796">
        <v>146000</v>
      </c>
      <c r="AA44" s="796">
        <v>2250</v>
      </c>
      <c r="AB44" s="796">
        <v>175450</v>
      </c>
      <c r="AC44" s="796">
        <v>141101</v>
      </c>
      <c r="AD44" s="796">
        <v>878085</v>
      </c>
      <c r="AE44" s="798">
        <v>0</v>
      </c>
      <c r="AF44" s="801"/>
      <c r="AG44" s="799">
        <v>3440331</v>
      </c>
      <c r="AH44" s="799">
        <v>1630495</v>
      </c>
      <c r="AI44" s="799">
        <v>994366</v>
      </c>
      <c r="AJ44" s="799">
        <v>282720</v>
      </c>
      <c r="AK44" s="786">
        <v>532750</v>
      </c>
      <c r="AL44" s="799"/>
      <c r="AM44" s="799">
        <v>142664</v>
      </c>
      <c r="AN44" s="799">
        <v>356250</v>
      </c>
      <c r="AO44" s="799">
        <v>221865</v>
      </c>
      <c r="AP44" s="786">
        <v>720779</v>
      </c>
      <c r="AT44" s="800"/>
      <c r="AU44" s="786">
        <v>4623969</v>
      </c>
      <c r="AV44" s="800">
        <v>1880695</v>
      </c>
      <c r="AW44" s="800"/>
      <c r="AY44" s="835">
        <v>1394</v>
      </c>
      <c r="AZ44" s="836">
        <v>1348.8</v>
      </c>
      <c r="BA44"/>
      <c r="BB44"/>
      <c r="BC44"/>
      <c r="BD44"/>
      <c r="BE44"/>
      <c r="BF44"/>
      <c r="BG44"/>
      <c r="BH44"/>
      <c r="BI44"/>
      <c r="BJ44"/>
      <c r="BK44"/>
      <c r="BL44"/>
      <c r="BM44"/>
      <c r="BN44"/>
      <c r="BO44"/>
      <c r="BP44"/>
      <c r="BQ44"/>
      <c r="BR44"/>
      <c r="BS44"/>
      <c r="BT44"/>
      <c r="BU44"/>
      <c r="BV44"/>
      <c r="BW44" s="1381" t="s">
        <v>2246</v>
      </c>
      <c r="BX44" s="1382" t="s">
        <v>1233</v>
      </c>
      <c r="BY44" s="1383">
        <v>10</v>
      </c>
      <c r="BZ44" s="1383">
        <v>0</v>
      </c>
      <c r="CA44" s="1383">
        <v>0</v>
      </c>
      <c r="CB44" s="1383">
        <v>0</v>
      </c>
      <c r="CC44" s="1383">
        <v>0</v>
      </c>
      <c r="CD44" s="1383">
        <v>0</v>
      </c>
      <c r="CE44" s="1383">
        <v>0</v>
      </c>
      <c r="CF44" s="1383">
        <v>0</v>
      </c>
      <c r="CG44" s="1383">
        <v>0</v>
      </c>
      <c r="CH44" s="1383">
        <v>0</v>
      </c>
      <c r="CI44" s="1383">
        <v>0</v>
      </c>
      <c r="CJ44" s="1383">
        <v>177</v>
      </c>
      <c r="CK44" s="1383">
        <v>182</v>
      </c>
      <c r="CL44" s="1383">
        <v>192</v>
      </c>
      <c r="CM44" s="1383">
        <v>201</v>
      </c>
      <c r="CN44" s="1384">
        <v>762</v>
      </c>
      <c r="CO44"/>
      <c r="CP44"/>
      <c r="CQ44" s="1362" t="s">
        <v>2247</v>
      </c>
      <c r="CR44" s="1362" t="s">
        <v>2248</v>
      </c>
      <c r="CS44" s="1363">
        <v>0</v>
      </c>
      <c r="CT44" s="1363">
        <v>0</v>
      </c>
      <c r="CU44" s="1363">
        <v>217</v>
      </c>
      <c r="CV44" s="1363">
        <v>212</v>
      </c>
      <c r="CW44" s="1363">
        <v>259</v>
      </c>
      <c r="CX44" s="1363">
        <v>239</v>
      </c>
      <c r="CY44" s="1363">
        <v>259</v>
      </c>
      <c r="CZ44" s="1363">
        <v>256</v>
      </c>
      <c r="DA44" s="1363">
        <v>260</v>
      </c>
      <c r="DB44" s="1363">
        <v>257</v>
      </c>
      <c r="DC44" s="1363">
        <v>231</v>
      </c>
      <c r="DD44" s="1363">
        <v>183</v>
      </c>
      <c r="DE44" s="1363">
        <v>200</v>
      </c>
      <c r="DF44" s="1363">
        <v>155</v>
      </c>
      <c r="DG44" s="1363">
        <v>152</v>
      </c>
      <c r="DH44" s="1363">
        <v>2880</v>
      </c>
      <c r="DI44"/>
      <c r="DJ44" s="599">
        <f>SUM(CU44:CX44)</f>
        <v>927</v>
      </c>
    </row>
    <row r="45" spans="1:114">
      <c r="A45" s="795" t="s">
        <v>1954</v>
      </c>
      <c r="B45" s="795">
        <v>5512803.7999999998</v>
      </c>
      <c r="C45" s="795">
        <v>62546</v>
      </c>
      <c r="D45" s="795">
        <v>0</v>
      </c>
      <c r="E45" s="795">
        <v>499786.92926002899</v>
      </c>
      <c r="F45" s="795">
        <v>214843</v>
      </c>
      <c r="G45" s="795">
        <v>1294652</v>
      </c>
      <c r="H45" s="795">
        <v>961894.81</v>
      </c>
      <c r="I45" s="795">
        <v>0</v>
      </c>
      <c r="J45" s="795">
        <v>961894.81</v>
      </c>
      <c r="K45" s="795">
        <v>961894.81</v>
      </c>
      <c r="L45" s="795">
        <v>0</v>
      </c>
      <c r="M45" s="795">
        <v>150634</v>
      </c>
      <c r="N45" s="795">
        <v>6327859</v>
      </c>
      <c r="O45" s="795">
        <v>332757.18999999994</v>
      </c>
      <c r="P45" s="795">
        <v>6660616.1899999995</v>
      </c>
      <c r="Q45" s="795">
        <v>560011</v>
      </c>
      <c r="R45" s="795">
        <v>0</v>
      </c>
      <c r="S45" s="795">
        <v>210900</v>
      </c>
      <c r="T45" s="795">
        <v>63390</v>
      </c>
      <c r="U45" s="795">
        <v>28743.799999999988</v>
      </c>
      <c r="V45" s="796"/>
      <c r="W45" s="795">
        <v>3520540</v>
      </c>
      <c r="X45" s="795">
        <v>882504.19</v>
      </c>
      <c r="Y45" s="797">
        <v>182598</v>
      </c>
      <c r="Z45" s="795">
        <v>27000</v>
      </c>
      <c r="AA45" s="795">
        <v>67450</v>
      </c>
      <c r="AB45" s="795">
        <v>20240</v>
      </c>
      <c r="AC45" s="795">
        <v>109718</v>
      </c>
      <c r="AD45" s="795">
        <v>581400</v>
      </c>
      <c r="AE45" s="798">
        <v>0</v>
      </c>
      <c r="AF45" s="801"/>
      <c r="AG45" s="799">
        <v>1995033</v>
      </c>
      <c r="AH45" s="799">
        <v>1294652</v>
      </c>
      <c r="AI45" s="786">
        <v>0</v>
      </c>
      <c r="AJ45" s="799">
        <v>150634</v>
      </c>
      <c r="AK45" s="786">
        <v>549747</v>
      </c>
      <c r="AL45" s="799"/>
      <c r="AM45" s="799">
        <v>108271</v>
      </c>
      <c r="AN45" s="799">
        <v>210900</v>
      </c>
      <c r="AO45" s="799">
        <v>63390</v>
      </c>
      <c r="AP45" s="786">
        <v>382561</v>
      </c>
      <c r="AT45" s="800"/>
      <c r="AU45" s="786">
        <v>3520540</v>
      </c>
      <c r="AV45" s="800">
        <v>780049</v>
      </c>
      <c r="AW45" s="800"/>
      <c r="AY45" s="835">
        <v>1043</v>
      </c>
      <c r="AZ45" s="836">
        <v>1002.5</v>
      </c>
      <c r="BA45"/>
      <c r="BB45"/>
      <c r="BC45"/>
      <c r="BD45"/>
      <c r="BE45"/>
      <c r="BF45"/>
      <c r="BG45"/>
      <c r="BH45"/>
      <c r="BI45"/>
      <c r="BJ45"/>
      <c r="BK45"/>
      <c r="BL45"/>
      <c r="BM45"/>
      <c r="BN45"/>
      <c r="BO45"/>
      <c r="BP45"/>
      <c r="BQ45"/>
      <c r="BR45"/>
      <c r="BS45"/>
      <c r="BT45"/>
      <c r="BU45"/>
      <c r="BV45"/>
      <c r="BW45" s="1381" t="s">
        <v>2249</v>
      </c>
      <c r="BX45" s="1382" t="s">
        <v>1233</v>
      </c>
      <c r="BY45" s="1383">
        <v>0</v>
      </c>
      <c r="BZ45" s="1383">
        <v>0</v>
      </c>
      <c r="CA45" s="1383">
        <v>15</v>
      </c>
      <c r="CB45" s="1383">
        <v>15</v>
      </c>
      <c r="CC45" s="1383">
        <v>11</v>
      </c>
      <c r="CD45" s="1383">
        <v>22</v>
      </c>
      <c r="CE45" s="1383">
        <v>16</v>
      </c>
      <c r="CF45" s="1383">
        <v>14</v>
      </c>
      <c r="CG45" s="1383">
        <v>0</v>
      </c>
      <c r="CH45" s="1383">
        <v>0</v>
      </c>
      <c r="CI45" s="1383">
        <v>0</v>
      </c>
      <c r="CJ45" s="1383">
        <v>0</v>
      </c>
      <c r="CK45" s="1383">
        <v>0</v>
      </c>
      <c r="CL45" s="1383">
        <v>0</v>
      </c>
      <c r="CM45" s="1383">
        <v>0</v>
      </c>
      <c r="CN45" s="1384">
        <v>93</v>
      </c>
      <c r="CO45"/>
      <c r="CP45" s="2" t="s">
        <v>2250</v>
      </c>
      <c r="CQ45"/>
      <c r="CR45"/>
      <c r="CS45"/>
      <c r="CT45"/>
      <c r="CU45"/>
      <c r="CV45"/>
      <c r="CW45"/>
      <c r="CX45"/>
      <c r="CY45"/>
      <c r="CZ45"/>
      <c r="DA45"/>
      <c r="DB45"/>
      <c r="DC45"/>
      <c r="DD45"/>
      <c r="DE45"/>
      <c r="DF45"/>
      <c r="DG45"/>
      <c r="DH45"/>
      <c r="DI45"/>
      <c r="DJ45"/>
    </row>
    <row r="46" spans="1:114">
      <c r="A46" s="796" t="s">
        <v>448</v>
      </c>
      <c r="B46" s="796">
        <v>6972400.6399999997</v>
      </c>
      <c r="C46" s="796">
        <v>2180602</v>
      </c>
      <c r="D46" s="796">
        <v>434059</v>
      </c>
      <c r="E46" s="796">
        <v>0</v>
      </c>
      <c r="F46" s="796">
        <v>163000</v>
      </c>
      <c r="G46" s="796">
        <v>707555</v>
      </c>
      <c r="H46" s="796">
        <v>542758.65</v>
      </c>
      <c r="I46" s="796">
        <v>16030.65</v>
      </c>
      <c r="J46" s="796">
        <v>526728</v>
      </c>
      <c r="K46" s="796">
        <v>526728</v>
      </c>
      <c r="L46" s="796">
        <v>263938</v>
      </c>
      <c r="M46" s="796">
        <v>131460</v>
      </c>
      <c r="N46" s="796">
        <v>2937428</v>
      </c>
      <c r="O46" s="796">
        <v>180827</v>
      </c>
      <c r="P46" s="796">
        <v>3118255</v>
      </c>
      <c r="Q46" s="796">
        <v>749503</v>
      </c>
      <c r="R46" s="796">
        <v>0</v>
      </c>
      <c r="S46" s="796">
        <v>262200</v>
      </c>
      <c r="T46" s="796">
        <v>84520</v>
      </c>
      <c r="U46" s="796">
        <v>22900.640000000014</v>
      </c>
      <c r="V46" s="796"/>
      <c r="W46" s="796">
        <v>2785382</v>
      </c>
      <c r="X46" s="795">
        <v>540327</v>
      </c>
      <c r="Y46" s="797">
        <v>180707</v>
      </c>
      <c r="Z46" s="796">
        <v>99000</v>
      </c>
      <c r="AA46" s="796">
        <v>12250</v>
      </c>
      <c r="AB46" s="796">
        <v>18178</v>
      </c>
      <c r="AC46" s="796">
        <v>75646</v>
      </c>
      <c r="AD46" s="796">
        <v>597645</v>
      </c>
      <c r="AE46" s="798">
        <v>0</v>
      </c>
      <c r="AF46" s="801"/>
      <c r="AG46" s="799">
        <v>1462453</v>
      </c>
      <c r="AH46" s="799">
        <v>707555</v>
      </c>
      <c r="AI46" s="799">
        <v>263938</v>
      </c>
      <c r="AJ46" s="799">
        <v>131460</v>
      </c>
      <c r="AK46" s="786">
        <v>359500</v>
      </c>
      <c r="AL46" s="799"/>
      <c r="AM46" s="799">
        <v>75014</v>
      </c>
      <c r="AN46" s="799">
        <v>262200</v>
      </c>
      <c r="AO46" s="799">
        <v>84520</v>
      </c>
      <c r="AP46" s="786">
        <v>421734</v>
      </c>
      <c r="AT46" s="800"/>
      <c r="AU46" s="786">
        <v>2785382</v>
      </c>
      <c r="AV46" s="800">
        <v>953533</v>
      </c>
      <c r="AW46" s="800"/>
      <c r="AY46" s="835">
        <v>723</v>
      </c>
      <c r="AZ46" s="836">
        <v>688.2</v>
      </c>
      <c r="BA46"/>
      <c r="BB46"/>
      <c r="BC46"/>
      <c r="BD46"/>
      <c r="BE46"/>
      <c r="BF46"/>
      <c r="BG46"/>
      <c r="BH46"/>
      <c r="BI46"/>
      <c r="BJ46"/>
      <c r="BK46"/>
      <c r="BL46"/>
      <c r="BM46"/>
      <c r="BN46"/>
      <c r="BO46"/>
      <c r="BP46"/>
      <c r="BQ46"/>
      <c r="BR46"/>
      <c r="BS46"/>
      <c r="BT46"/>
      <c r="BU46"/>
      <c r="BV46"/>
      <c r="BW46" s="1423" t="s">
        <v>2251</v>
      </c>
      <c r="BX46" s="1424" t="s">
        <v>1233</v>
      </c>
      <c r="BY46" s="1425">
        <v>0</v>
      </c>
      <c r="BZ46" s="1425">
        <v>0</v>
      </c>
      <c r="CA46" s="1425">
        <v>32</v>
      </c>
      <c r="CB46" s="1425">
        <v>25</v>
      </c>
      <c r="CC46" s="1425">
        <v>35</v>
      </c>
      <c r="CD46" s="1425">
        <v>22</v>
      </c>
      <c r="CE46" s="1425">
        <v>20</v>
      </c>
      <c r="CF46" s="1425">
        <v>30</v>
      </c>
      <c r="CG46" s="1425">
        <v>0</v>
      </c>
      <c r="CH46" s="1425">
        <v>0</v>
      </c>
      <c r="CI46" s="1425">
        <v>0</v>
      </c>
      <c r="CJ46" s="1425">
        <v>0</v>
      </c>
      <c r="CK46" s="1425">
        <v>0</v>
      </c>
      <c r="CL46" s="1425">
        <v>0</v>
      </c>
      <c r="CM46" s="1425">
        <v>0</v>
      </c>
      <c r="CN46" s="1426">
        <v>164</v>
      </c>
      <c r="CO46"/>
      <c r="CP46" s="599">
        <f>CL56+CM56</f>
        <v>2704</v>
      </c>
      <c r="CQ46"/>
      <c r="CR46"/>
      <c r="CS46"/>
      <c r="CT46"/>
      <c r="CU46"/>
      <c r="CV46"/>
      <c r="CW46"/>
      <c r="CX46"/>
      <c r="CY46"/>
      <c r="CZ46"/>
      <c r="DA46"/>
      <c r="DB46"/>
      <c r="DC46"/>
      <c r="DD46"/>
      <c r="DE46"/>
      <c r="DF46"/>
      <c r="DG46"/>
      <c r="DH46"/>
      <c r="DI46"/>
      <c r="DJ46"/>
    </row>
    <row r="47" spans="1:114">
      <c r="A47" s="795" t="s">
        <v>1955</v>
      </c>
      <c r="B47" s="795">
        <v>12877498.608886153</v>
      </c>
      <c r="C47" s="795">
        <v>4511125</v>
      </c>
      <c r="D47" s="795">
        <v>0</v>
      </c>
      <c r="E47" s="795">
        <v>270362.92888615216</v>
      </c>
      <c r="F47" s="795">
        <v>323235</v>
      </c>
      <c r="G47" s="795">
        <v>2105588</v>
      </c>
      <c r="H47" s="795">
        <v>1587246.28</v>
      </c>
      <c r="I47" s="795">
        <v>0</v>
      </c>
      <c r="J47" s="795">
        <v>1587246.28</v>
      </c>
      <c r="K47" s="795">
        <v>1587246.28</v>
      </c>
      <c r="L47" s="795">
        <v>0</v>
      </c>
      <c r="M47" s="795">
        <v>190495</v>
      </c>
      <c r="N47" s="795">
        <v>7538037</v>
      </c>
      <c r="O47" s="795">
        <v>518341.72</v>
      </c>
      <c r="P47" s="795">
        <v>8056378.7199999997</v>
      </c>
      <c r="Q47" s="795">
        <v>526053</v>
      </c>
      <c r="R47" s="795">
        <v>0</v>
      </c>
      <c r="S47" s="795">
        <v>299250</v>
      </c>
      <c r="T47" s="795">
        <v>169040</v>
      </c>
      <c r="U47" s="795">
        <v>53872.679999999993</v>
      </c>
      <c r="V47" s="796"/>
      <c r="W47" s="795">
        <v>5874481</v>
      </c>
      <c r="X47" s="795">
        <v>909676.72</v>
      </c>
      <c r="Y47" s="797">
        <v>226451</v>
      </c>
      <c r="Z47" s="795">
        <v>27000</v>
      </c>
      <c r="AA47" s="795">
        <v>266700</v>
      </c>
      <c r="AB47" s="795">
        <v>68365</v>
      </c>
      <c r="AC47" s="795">
        <v>171607</v>
      </c>
      <c r="AD47" s="795">
        <v>613035</v>
      </c>
      <c r="AE47" s="798">
        <v>0</v>
      </c>
      <c r="AF47" s="801"/>
      <c r="AG47" s="799">
        <v>2687418</v>
      </c>
      <c r="AH47" s="799">
        <v>2105588</v>
      </c>
      <c r="AI47" s="786">
        <v>0</v>
      </c>
      <c r="AJ47" s="799">
        <v>190495</v>
      </c>
      <c r="AK47" s="786">
        <v>391335</v>
      </c>
      <c r="AL47" s="799"/>
      <c r="AM47" s="799">
        <v>164982</v>
      </c>
      <c r="AN47" s="799">
        <v>299250</v>
      </c>
      <c r="AO47" s="799">
        <v>169040</v>
      </c>
      <c r="AP47" s="786">
        <v>633272</v>
      </c>
      <c r="AT47" s="800"/>
      <c r="AU47" s="786">
        <v>5874481</v>
      </c>
      <c r="AV47" s="800">
        <v>1652358</v>
      </c>
      <c r="AW47" s="800"/>
      <c r="AY47" s="835">
        <v>2009</v>
      </c>
      <c r="AZ47" s="836">
        <v>1921.5</v>
      </c>
      <c r="BA47"/>
      <c r="BB47"/>
      <c r="BC47"/>
      <c r="BD47"/>
      <c r="BE47"/>
      <c r="BF47"/>
      <c r="BG47"/>
      <c r="BH47"/>
      <c r="BI47"/>
      <c r="BJ47"/>
      <c r="BK47"/>
      <c r="BL47"/>
      <c r="BM47"/>
      <c r="BN47"/>
      <c r="BO47"/>
      <c r="BP47"/>
      <c r="BQ47"/>
      <c r="BR47"/>
      <c r="BS47"/>
      <c r="BT47"/>
      <c r="BU47"/>
      <c r="BV47"/>
      <c r="BW47" s="1381" t="s">
        <v>2252</v>
      </c>
      <c r="BX47" s="1382" t="s">
        <v>1233</v>
      </c>
      <c r="BY47" s="1383">
        <v>0</v>
      </c>
      <c r="BZ47" s="1383">
        <v>0</v>
      </c>
      <c r="CA47" s="1383">
        <v>47</v>
      </c>
      <c r="CB47" s="1383">
        <v>50</v>
      </c>
      <c r="CC47" s="1383">
        <v>49</v>
      </c>
      <c r="CD47" s="1383">
        <v>63</v>
      </c>
      <c r="CE47" s="1383">
        <v>34</v>
      </c>
      <c r="CF47" s="1383">
        <v>55</v>
      </c>
      <c r="CG47" s="1383">
        <v>0</v>
      </c>
      <c r="CH47" s="1383">
        <v>0</v>
      </c>
      <c r="CI47" s="1383">
        <v>0</v>
      </c>
      <c r="CJ47" s="1383">
        <v>0</v>
      </c>
      <c r="CK47" s="1383">
        <v>0</v>
      </c>
      <c r="CL47" s="1383">
        <v>0</v>
      </c>
      <c r="CM47" s="1383">
        <v>0</v>
      </c>
      <c r="CN47" s="1384">
        <v>298</v>
      </c>
      <c r="CO47"/>
      <c r="CP47"/>
      <c r="CQ47"/>
      <c r="CR47"/>
      <c r="CS47"/>
      <c r="CT47"/>
      <c r="CU47"/>
      <c r="CV47"/>
      <c r="CW47"/>
      <c r="CX47"/>
      <c r="CY47"/>
      <c r="CZ47"/>
      <c r="DA47"/>
      <c r="DB47"/>
      <c r="DC47"/>
      <c r="DD47"/>
      <c r="DE47"/>
      <c r="DF47"/>
      <c r="DG47"/>
      <c r="DH47"/>
      <c r="DI47"/>
      <c r="DJ47"/>
    </row>
    <row r="48" spans="1:114">
      <c r="A48" s="796" t="s">
        <v>1956</v>
      </c>
      <c r="B48" s="796">
        <v>182253997.78</v>
      </c>
      <c r="C48" s="796">
        <v>48231325</v>
      </c>
      <c r="D48" s="796">
        <v>4863665</v>
      </c>
      <c r="E48" s="796">
        <v>0</v>
      </c>
      <c r="F48" s="796">
        <v>6008730</v>
      </c>
      <c r="G48" s="796">
        <v>29773984</v>
      </c>
      <c r="H48" s="796">
        <v>22152352.850000001</v>
      </c>
      <c r="I48" s="796">
        <v>271689.08</v>
      </c>
      <c r="J48" s="796">
        <v>21880663.770000003</v>
      </c>
      <c r="K48" s="796">
        <v>21880663.770000003</v>
      </c>
      <c r="L48" s="796">
        <v>4731448</v>
      </c>
      <c r="M48" s="796">
        <v>3987770</v>
      </c>
      <c r="N48" s="796">
        <v>167451665</v>
      </c>
      <c r="O48" s="796">
        <v>7893320.2299999967</v>
      </c>
      <c r="P48" s="796">
        <v>175344985.22999999</v>
      </c>
      <c r="Q48" s="796">
        <v>1411950</v>
      </c>
      <c r="R48" s="796">
        <v>0</v>
      </c>
      <c r="S48" s="796">
        <v>7412850</v>
      </c>
      <c r="T48" s="796">
        <v>6943318</v>
      </c>
      <c r="U48" s="796">
        <v>961798.78000000119</v>
      </c>
      <c r="V48" s="796"/>
      <c r="W48" s="796">
        <v>96273837</v>
      </c>
      <c r="X48" s="795">
        <v>27798441.229999997</v>
      </c>
      <c r="Y48" s="797">
        <v>5063569</v>
      </c>
      <c r="Z48" s="796">
        <v>2392500</v>
      </c>
      <c r="AA48" s="796">
        <v>2183565</v>
      </c>
      <c r="AB48" s="796">
        <v>1589335</v>
      </c>
      <c r="AC48" s="796">
        <v>2172990</v>
      </c>
      <c r="AD48" s="796">
        <v>14166495</v>
      </c>
      <c r="AE48" s="798">
        <v>115000</v>
      </c>
      <c r="AF48" s="801"/>
      <c r="AG48" s="799">
        <v>58398323</v>
      </c>
      <c r="AH48" s="799">
        <v>29773984</v>
      </c>
      <c r="AI48" s="799">
        <v>4731448</v>
      </c>
      <c r="AJ48" s="799">
        <v>3987770</v>
      </c>
      <c r="AK48" s="786">
        <v>19905121</v>
      </c>
      <c r="AL48" s="799"/>
      <c r="AM48" s="799">
        <v>2195498</v>
      </c>
      <c r="AN48" s="799">
        <v>7412850</v>
      </c>
      <c r="AO48" s="799">
        <v>6922188</v>
      </c>
      <c r="AP48" s="786">
        <v>16530536</v>
      </c>
      <c r="AT48" s="800"/>
      <c r="AU48" s="786">
        <v>96273837</v>
      </c>
      <c r="AV48" s="800">
        <v>38625206</v>
      </c>
      <c r="AW48" s="800"/>
      <c r="AY48" s="835">
        <v>30903</v>
      </c>
      <c r="AZ48" s="836">
        <v>29406.1</v>
      </c>
      <c r="BA48"/>
      <c r="BB48"/>
      <c r="BC48"/>
      <c r="BD48"/>
      <c r="BE48"/>
      <c r="BF48"/>
      <c r="BG48"/>
      <c r="BH48"/>
      <c r="BI48"/>
      <c r="BJ48"/>
      <c r="BK48"/>
      <c r="BL48"/>
      <c r="BM48"/>
      <c r="BN48"/>
      <c r="BO48"/>
      <c r="BP48"/>
      <c r="BQ48"/>
      <c r="BR48"/>
      <c r="BS48"/>
      <c r="BT48"/>
      <c r="BU48"/>
      <c r="BV48"/>
      <c r="BW48" s="1381" t="s">
        <v>2253</v>
      </c>
      <c r="BX48" s="1382" t="s">
        <v>1233</v>
      </c>
      <c r="BY48" s="1383">
        <v>0</v>
      </c>
      <c r="BZ48" s="1383">
        <v>0</v>
      </c>
      <c r="CA48" s="1383">
        <v>23</v>
      </c>
      <c r="CB48" s="1383">
        <v>25</v>
      </c>
      <c r="CC48" s="1383">
        <v>32</v>
      </c>
      <c r="CD48" s="1383">
        <v>35</v>
      </c>
      <c r="CE48" s="1383">
        <v>38</v>
      </c>
      <c r="CF48" s="1383">
        <v>29</v>
      </c>
      <c r="CG48" s="1383">
        <v>0</v>
      </c>
      <c r="CH48" s="1383">
        <v>0</v>
      </c>
      <c r="CI48" s="1383">
        <v>0</v>
      </c>
      <c r="CJ48" s="1383">
        <v>0</v>
      </c>
      <c r="CK48" s="1383">
        <v>0</v>
      </c>
      <c r="CL48" s="1383">
        <v>0</v>
      </c>
      <c r="CM48" s="1383">
        <v>0</v>
      </c>
      <c r="CN48" s="1384">
        <v>182</v>
      </c>
      <c r="CO48"/>
      <c r="CP48"/>
      <c r="CQ48"/>
      <c r="CR48"/>
      <c r="CS48"/>
      <c r="CT48"/>
      <c r="CU48"/>
      <c r="CV48"/>
      <c r="CW48"/>
      <c r="CX48"/>
      <c r="CY48"/>
      <c r="CZ48"/>
      <c r="DA48"/>
      <c r="DB48"/>
      <c r="DC48"/>
      <c r="DD48"/>
      <c r="DE48"/>
      <c r="DF48"/>
      <c r="DG48"/>
      <c r="DH48"/>
      <c r="DI48"/>
      <c r="DJ48"/>
    </row>
    <row r="49" spans="1:114" ht="16" thickBot="1">
      <c r="A49" s="795" t="s">
        <v>1958</v>
      </c>
      <c r="B49" s="795">
        <v>866823.78</v>
      </c>
      <c r="C49" s="795">
        <v>0</v>
      </c>
      <c r="D49" s="795">
        <v>0</v>
      </c>
      <c r="E49" s="795">
        <v>0</v>
      </c>
      <c r="F49" s="795">
        <v>44559</v>
      </c>
      <c r="G49" s="795">
        <v>406874</v>
      </c>
      <c r="H49" s="795">
        <v>305780.55</v>
      </c>
      <c r="I49" s="795">
        <v>0</v>
      </c>
      <c r="J49" s="795">
        <v>305780.55</v>
      </c>
      <c r="K49" s="795">
        <v>305780.55</v>
      </c>
      <c r="L49" s="795">
        <v>22588</v>
      </c>
      <c r="M49" s="795">
        <v>36681</v>
      </c>
      <c r="N49" s="795">
        <v>2095755</v>
      </c>
      <c r="O49" s="795">
        <v>101093.45000000001</v>
      </c>
      <c r="P49" s="795">
        <v>2196848.4500000002</v>
      </c>
      <c r="Q49" s="795">
        <v>1571</v>
      </c>
      <c r="R49" s="795">
        <v>0</v>
      </c>
      <c r="S49" s="795">
        <v>28500</v>
      </c>
      <c r="T49" s="795">
        <v>42260</v>
      </c>
      <c r="U49" s="795">
        <v>5620.7799999999988</v>
      </c>
      <c r="V49" s="796"/>
      <c r="W49" s="795">
        <v>620925</v>
      </c>
      <c r="X49" s="795">
        <v>212854.45</v>
      </c>
      <c r="Y49" s="802">
        <v>73056</v>
      </c>
      <c r="Z49" s="795">
        <v>0</v>
      </c>
      <c r="AA49" s="795">
        <v>0</v>
      </c>
      <c r="AB49" s="795">
        <v>5170</v>
      </c>
      <c r="AC49" s="795">
        <v>20532</v>
      </c>
      <c r="AD49" s="795">
        <v>229995</v>
      </c>
      <c r="AE49" s="798">
        <v>0</v>
      </c>
      <c r="AF49" s="801"/>
      <c r="AG49" s="799">
        <v>577904</v>
      </c>
      <c r="AH49" s="799">
        <v>406874</v>
      </c>
      <c r="AI49" s="799">
        <v>22588</v>
      </c>
      <c r="AJ49" s="799">
        <v>36681</v>
      </c>
      <c r="AK49" s="786">
        <v>111761</v>
      </c>
      <c r="AL49" s="799"/>
      <c r="AM49" s="799">
        <v>18216</v>
      </c>
      <c r="AN49" s="799">
        <v>28500</v>
      </c>
      <c r="AO49" s="799">
        <v>42260</v>
      </c>
      <c r="AP49" s="786">
        <v>88976</v>
      </c>
      <c r="AU49" s="786">
        <v>620925</v>
      </c>
      <c r="AV49" s="800">
        <v>400730</v>
      </c>
      <c r="AW49" s="800"/>
      <c r="AY49" s="839">
        <v>199</v>
      </c>
      <c r="AZ49" s="840">
        <v>190</v>
      </c>
      <c r="BA49"/>
      <c r="BB49"/>
      <c r="BC49"/>
      <c r="BD49"/>
      <c r="BE49"/>
      <c r="BF49"/>
      <c r="BG49"/>
      <c r="BH49"/>
      <c r="BI49"/>
      <c r="BJ49"/>
      <c r="BK49"/>
      <c r="BL49"/>
      <c r="BM49"/>
      <c r="BN49"/>
      <c r="BO49"/>
      <c r="BP49"/>
      <c r="BQ49"/>
      <c r="BR49"/>
      <c r="BS49"/>
      <c r="BT49"/>
      <c r="BU49"/>
      <c r="BV49"/>
      <c r="BW49" s="1381" t="s">
        <v>2254</v>
      </c>
      <c r="BX49" s="1382" t="s">
        <v>1233</v>
      </c>
      <c r="BY49" s="1383">
        <v>17</v>
      </c>
      <c r="BZ49" s="1383">
        <v>0</v>
      </c>
      <c r="CA49" s="1383">
        <v>0</v>
      </c>
      <c r="CB49" s="1383">
        <v>0</v>
      </c>
      <c r="CC49" s="1383">
        <v>0</v>
      </c>
      <c r="CD49" s="1383">
        <v>0</v>
      </c>
      <c r="CE49" s="1383">
        <v>0</v>
      </c>
      <c r="CF49" s="1383">
        <v>0</v>
      </c>
      <c r="CG49" s="1383">
        <v>0</v>
      </c>
      <c r="CH49" s="1383">
        <v>0</v>
      </c>
      <c r="CI49" s="1383">
        <v>0</v>
      </c>
      <c r="CJ49" s="1383">
        <v>260</v>
      </c>
      <c r="CK49" s="1383">
        <v>272</v>
      </c>
      <c r="CL49" s="1383">
        <v>291</v>
      </c>
      <c r="CM49" s="1383">
        <v>298</v>
      </c>
      <c r="CN49" s="1384">
        <v>1138</v>
      </c>
      <c r="CO49"/>
      <c r="CP49"/>
      <c r="CQ49"/>
      <c r="CR49"/>
      <c r="CS49"/>
      <c r="CT49"/>
      <c r="CU49"/>
      <c r="CV49"/>
      <c r="CW49"/>
      <c r="CX49"/>
      <c r="CY49"/>
      <c r="CZ49"/>
      <c r="DA49"/>
      <c r="DB49"/>
      <c r="DC49"/>
      <c r="DD49"/>
      <c r="DE49"/>
      <c r="DF49"/>
      <c r="DG49"/>
      <c r="DH49"/>
      <c r="DI49"/>
      <c r="DJ49"/>
    </row>
    <row r="50" spans="1:114">
      <c r="A50" s="803" t="s">
        <v>2255</v>
      </c>
      <c r="B50" s="803">
        <v>1111580415.9590487</v>
      </c>
      <c r="C50" s="803">
        <v>287032417</v>
      </c>
      <c r="D50" s="803">
        <v>23922974</v>
      </c>
      <c r="E50" s="803">
        <v>10714938.937256362</v>
      </c>
      <c r="F50" s="803">
        <v>35675383</v>
      </c>
      <c r="G50" s="803">
        <v>209808876</v>
      </c>
      <c r="H50" s="803">
        <v>156168359.05000004</v>
      </c>
      <c r="I50" s="803">
        <v>4937430.580000001</v>
      </c>
      <c r="J50" s="803">
        <v>151230928.47000003</v>
      </c>
      <c r="K50" s="803">
        <v>156168359.05000004</v>
      </c>
      <c r="L50" s="803">
        <v>37415317</v>
      </c>
      <c r="M50" s="803">
        <v>22787481</v>
      </c>
      <c r="N50" s="803">
        <v>910768929</v>
      </c>
      <c r="O50" s="803">
        <v>53640516.949999981</v>
      </c>
      <c r="P50" s="803">
        <v>964409445.95000005</v>
      </c>
      <c r="Q50" s="803">
        <v>43496007</v>
      </c>
      <c r="R50" s="803">
        <v>220800</v>
      </c>
      <c r="S50" s="803">
        <v>38838850</v>
      </c>
      <c r="T50" s="803">
        <v>37621965</v>
      </c>
      <c r="U50" s="803">
        <v>5516371.6200000029</v>
      </c>
      <c r="V50" s="803"/>
      <c r="W50" s="803">
        <v>562536904</v>
      </c>
      <c r="X50" s="795">
        <v>152080709.94999999</v>
      </c>
      <c r="Y50" s="804">
        <v>29833360</v>
      </c>
      <c r="Z50" s="803">
        <v>10362250</v>
      </c>
      <c r="AA50" s="803">
        <v>12318140</v>
      </c>
      <c r="AB50" s="803">
        <v>8584407</v>
      </c>
      <c r="AC50" s="803">
        <v>14893749</v>
      </c>
      <c r="AD50" s="803">
        <v>85502565</v>
      </c>
      <c r="AE50" s="803">
        <v>550000</v>
      </c>
      <c r="AF50" s="801"/>
      <c r="AG50" s="799"/>
      <c r="AJ50" s="799"/>
      <c r="AM50" s="786">
        <v>0</v>
      </c>
      <c r="AN50" s="786">
        <v>0</v>
      </c>
      <c r="AO50" s="786">
        <v>0</v>
      </c>
      <c r="AP50" s="786">
        <v>0</v>
      </c>
      <c r="AU50" s="786">
        <v>562536904</v>
      </c>
      <c r="AY50" s="37"/>
      <c r="AZ50" s="37"/>
      <c r="BA50"/>
      <c r="BB50"/>
      <c r="BC50"/>
      <c r="BD50"/>
      <c r="BE50"/>
      <c r="BF50"/>
      <c r="BG50"/>
      <c r="BH50"/>
      <c r="BI50"/>
      <c r="BJ50"/>
      <c r="BK50"/>
      <c r="BL50"/>
      <c r="BM50"/>
      <c r="BN50"/>
      <c r="BO50"/>
      <c r="BP50"/>
      <c r="BQ50"/>
      <c r="BR50"/>
      <c r="BS50"/>
      <c r="BT50"/>
      <c r="BU50"/>
      <c r="BV50"/>
      <c r="BW50" s="1381" t="s">
        <v>2256</v>
      </c>
      <c r="BX50" s="1382" t="s">
        <v>2158</v>
      </c>
      <c r="BY50" s="1383">
        <v>0</v>
      </c>
      <c r="BZ50" s="1383">
        <v>0</v>
      </c>
      <c r="CA50" s="1383">
        <v>0</v>
      </c>
      <c r="CB50" s="1383">
        <v>0</v>
      </c>
      <c r="CC50" s="1383">
        <v>0</v>
      </c>
      <c r="CD50" s="1383">
        <v>0</v>
      </c>
      <c r="CE50" s="1383">
        <v>0</v>
      </c>
      <c r="CF50" s="1383">
        <v>0</v>
      </c>
      <c r="CG50" s="1383">
        <v>76</v>
      </c>
      <c r="CH50" s="1383">
        <v>77</v>
      </c>
      <c r="CI50" s="1383">
        <v>82</v>
      </c>
      <c r="CJ50" s="1383">
        <v>0</v>
      </c>
      <c r="CK50" s="1383">
        <v>0</v>
      </c>
      <c r="CL50" s="1383">
        <v>0</v>
      </c>
      <c r="CM50" s="1383">
        <v>0</v>
      </c>
      <c r="CN50" s="1384">
        <v>235</v>
      </c>
      <c r="CO50"/>
      <c r="CP50"/>
      <c r="CQ50"/>
      <c r="CR50"/>
      <c r="CS50"/>
      <c r="CT50"/>
      <c r="CU50"/>
      <c r="CV50"/>
      <c r="CW50"/>
      <c r="CX50"/>
      <c r="CY50"/>
      <c r="CZ50"/>
      <c r="DA50"/>
      <c r="DB50"/>
      <c r="DC50"/>
      <c r="DD50"/>
      <c r="DE50"/>
      <c r="DF50"/>
      <c r="DG50"/>
      <c r="DH50"/>
      <c r="DI50"/>
      <c r="DJ50"/>
    </row>
    <row r="51" spans="1:114" ht="16" thickBot="1">
      <c r="A51" s="805"/>
      <c r="B51" s="806"/>
      <c r="C51" s="806"/>
      <c r="D51" s="806"/>
      <c r="E51" s="806"/>
      <c r="F51" s="806"/>
      <c r="G51" s="806"/>
      <c r="H51" s="806"/>
      <c r="I51" s="806"/>
      <c r="J51" s="806"/>
      <c r="K51" s="806"/>
      <c r="L51" s="806"/>
      <c r="M51" s="806"/>
      <c r="N51" s="806"/>
      <c r="O51" s="806"/>
      <c r="P51" s="806"/>
      <c r="Q51" s="806"/>
      <c r="R51" s="806"/>
      <c r="S51" s="806"/>
      <c r="T51" s="806"/>
      <c r="U51" s="806"/>
      <c r="V51" s="806"/>
      <c r="W51" s="806"/>
      <c r="X51" s="806"/>
      <c r="Y51" s="806"/>
      <c r="Z51" s="806"/>
      <c r="AA51" s="806"/>
      <c r="AB51" s="806"/>
      <c r="AC51" s="806"/>
      <c r="AD51" s="806"/>
      <c r="AE51" s="806"/>
      <c r="AF51" s="803"/>
      <c r="AG51" s="799">
        <v>368451867</v>
      </c>
      <c r="AH51" s="799">
        <v>209808876</v>
      </c>
      <c r="AI51" s="799">
        <v>37415317</v>
      </c>
      <c r="AJ51" s="799">
        <v>22787481</v>
      </c>
      <c r="AK51" s="786">
        <v>98440193</v>
      </c>
      <c r="AL51" s="799"/>
      <c r="AM51" s="799">
        <v>14770760</v>
      </c>
      <c r="AN51" s="799">
        <v>38838850</v>
      </c>
      <c r="AO51" s="799">
        <v>37378955</v>
      </c>
      <c r="AP51" s="786">
        <v>90988565</v>
      </c>
      <c r="AU51" s="786">
        <v>0</v>
      </c>
      <c r="AV51" s="786">
        <v>218611652</v>
      </c>
      <c r="AY51" s="37">
        <v>182239</v>
      </c>
      <c r="AZ51" s="37">
        <v>174773.6</v>
      </c>
      <c r="BA51"/>
      <c r="BB51"/>
      <c r="BC51"/>
      <c r="BD51"/>
      <c r="BE51"/>
      <c r="BF51"/>
      <c r="BG51"/>
      <c r="BH51"/>
      <c r="BI51"/>
      <c r="BJ51"/>
      <c r="BK51"/>
      <c r="BL51"/>
      <c r="BM51"/>
      <c r="BN51"/>
      <c r="BO51"/>
      <c r="BP51"/>
      <c r="BQ51"/>
      <c r="BR51"/>
      <c r="BS51"/>
      <c r="BT51"/>
      <c r="BU51"/>
      <c r="BV51"/>
      <c r="BW51" s="1381" t="s">
        <v>2257</v>
      </c>
      <c r="BX51" s="1382" t="s">
        <v>1233</v>
      </c>
      <c r="BY51" s="1383">
        <v>0</v>
      </c>
      <c r="BZ51" s="1383">
        <v>0</v>
      </c>
      <c r="CA51" s="1383">
        <v>13</v>
      </c>
      <c r="CB51" s="1383">
        <v>12</v>
      </c>
      <c r="CC51" s="1383">
        <v>15</v>
      </c>
      <c r="CD51" s="1383">
        <v>21</v>
      </c>
      <c r="CE51" s="1383">
        <v>19</v>
      </c>
      <c r="CF51" s="1383">
        <v>16</v>
      </c>
      <c r="CG51" s="1383">
        <v>0</v>
      </c>
      <c r="CH51" s="1383">
        <v>0</v>
      </c>
      <c r="CI51" s="1383">
        <v>0</v>
      </c>
      <c r="CJ51" s="1383">
        <v>0</v>
      </c>
      <c r="CK51" s="1383">
        <v>0</v>
      </c>
      <c r="CL51" s="1383">
        <v>0</v>
      </c>
      <c r="CM51" s="1383">
        <v>0</v>
      </c>
      <c r="CN51" s="1384">
        <v>96</v>
      </c>
      <c r="CO51"/>
      <c r="CP51"/>
      <c r="CQ51"/>
      <c r="CR51"/>
      <c r="CS51"/>
      <c r="CT51"/>
      <c r="CU51"/>
      <c r="CV51"/>
      <c r="CW51"/>
      <c r="CX51"/>
      <c r="CY51"/>
      <c r="CZ51"/>
      <c r="DA51"/>
      <c r="DB51"/>
      <c r="DC51"/>
      <c r="DD51"/>
      <c r="DE51"/>
      <c r="DF51"/>
      <c r="DG51"/>
      <c r="DH51"/>
      <c r="DI51"/>
      <c r="DJ51"/>
    </row>
    <row r="52" spans="1:114" ht="16" thickTop="1">
      <c r="A52" s="805"/>
      <c r="B52" s="807"/>
      <c r="C52" s="807"/>
      <c r="D52" s="807"/>
      <c r="E52" s="807"/>
      <c r="F52" s="807"/>
      <c r="G52" s="807"/>
      <c r="H52" s="807"/>
      <c r="I52" s="807"/>
      <c r="J52" s="807"/>
      <c r="K52" s="807"/>
      <c r="L52" s="807"/>
      <c r="M52" s="807"/>
      <c r="N52" s="807"/>
      <c r="O52" s="807"/>
      <c r="P52" s="807"/>
      <c r="Q52" s="807"/>
      <c r="R52" s="807"/>
      <c r="S52" s="807"/>
      <c r="T52" s="807"/>
      <c r="U52" s="807"/>
      <c r="V52" s="807"/>
      <c r="W52" s="807"/>
      <c r="X52" s="807"/>
      <c r="Y52" s="807"/>
      <c r="Z52" s="807"/>
      <c r="AA52" s="807"/>
      <c r="AB52" s="807"/>
      <c r="AC52" s="807"/>
      <c r="AD52" s="807"/>
      <c r="AE52" s="807"/>
      <c r="AY52" s="37"/>
      <c r="AZ52" s="37"/>
      <c r="BA52"/>
      <c r="BB52"/>
      <c r="BC52"/>
      <c r="BD52"/>
      <c r="BE52"/>
      <c r="BF52"/>
      <c r="BG52"/>
      <c r="BH52"/>
      <c r="BI52"/>
      <c r="BJ52"/>
      <c r="BK52"/>
      <c r="BL52"/>
      <c r="BM52"/>
      <c r="BN52"/>
      <c r="BO52"/>
      <c r="BP52"/>
      <c r="BQ52"/>
      <c r="BR52"/>
      <c r="BS52"/>
      <c r="BT52"/>
      <c r="BU52"/>
      <c r="BV52"/>
      <c r="BW52" s="1381" t="s">
        <v>2258</v>
      </c>
      <c r="BX52" s="1382" t="s">
        <v>1233</v>
      </c>
      <c r="BY52" s="1383">
        <v>10</v>
      </c>
      <c r="BZ52" s="1383">
        <v>0</v>
      </c>
      <c r="CA52" s="1383">
        <v>0</v>
      </c>
      <c r="CB52" s="1383">
        <v>0</v>
      </c>
      <c r="CC52" s="1383">
        <v>0</v>
      </c>
      <c r="CD52" s="1383">
        <v>0</v>
      </c>
      <c r="CE52" s="1383">
        <v>0</v>
      </c>
      <c r="CF52" s="1383">
        <v>0</v>
      </c>
      <c r="CG52" s="1383">
        <v>0</v>
      </c>
      <c r="CH52" s="1383">
        <v>0</v>
      </c>
      <c r="CI52" s="1383">
        <v>0</v>
      </c>
      <c r="CJ52" s="1383">
        <v>151</v>
      </c>
      <c r="CK52" s="1383">
        <v>131</v>
      </c>
      <c r="CL52" s="1383">
        <v>128</v>
      </c>
      <c r="CM52" s="1383">
        <v>198</v>
      </c>
      <c r="CN52" s="1384">
        <v>618</v>
      </c>
      <c r="CO52"/>
      <c r="CP52"/>
      <c r="CQ52"/>
      <c r="CR52"/>
      <c r="CS52"/>
      <c r="CT52"/>
      <c r="CU52"/>
      <c r="CV52"/>
      <c r="CW52"/>
      <c r="CX52"/>
      <c r="CY52"/>
      <c r="CZ52"/>
      <c r="DA52"/>
      <c r="DB52"/>
      <c r="DC52"/>
      <c r="DD52"/>
      <c r="DE52"/>
      <c r="DF52"/>
      <c r="DG52"/>
      <c r="DH52"/>
      <c r="DI52"/>
      <c r="DJ52"/>
    </row>
    <row r="53" spans="1:114">
      <c r="A53" s="1154"/>
      <c r="B53" s="1154">
        <v>1099776843</v>
      </c>
      <c r="C53" s="1154">
        <v>294071903</v>
      </c>
      <c r="D53" s="1154">
        <v>23922974</v>
      </c>
      <c r="E53" s="1154"/>
      <c r="F53" s="1154">
        <v>34889648</v>
      </c>
      <c r="G53" s="1154">
        <v>211112965</v>
      </c>
      <c r="H53" s="1154"/>
      <c r="I53" s="1154"/>
      <c r="J53" s="1154"/>
      <c r="K53" s="1154"/>
      <c r="L53" s="1154">
        <v>37392292</v>
      </c>
      <c r="M53" s="1154"/>
      <c r="N53" s="1154"/>
      <c r="O53" s="1154"/>
      <c r="P53" s="1154">
        <v>906870246</v>
      </c>
      <c r="Q53" s="1154">
        <v>43470657</v>
      </c>
      <c r="R53" s="1154">
        <v>228000</v>
      </c>
      <c r="S53" s="1154">
        <v>38810350</v>
      </c>
      <c r="T53" s="1154">
        <v>37336695</v>
      </c>
      <c r="U53" s="1155"/>
      <c r="V53" s="808">
        <v>128384000</v>
      </c>
      <c r="W53" s="1154">
        <v>558320929</v>
      </c>
      <c r="X53" s="1154">
        <v>105255612</v>
      </c>
      <c r="Y53" s="1154">
        <v>29748182</v>
      </c>
      <c r="Z53" s="1154">
        <v>10362250</v>
      </c>
      <c r="AA53" s="1154">
        <v>12278965</v>
      </c>
      <c r="AB53" s="1154">
        <v>8355834</v>
      </c>
      <c r="AC53" s="1154">
        <v>14752544</v>
      </c>
      <c r="AD53" s="1154">
        <v>85267465</v>
      </c>
      <c r="AE53" s="1154">
        <v>550000</v>
      </c>
      <c r="AG53" s="799"/>
      <c r="AH53" s="799"/>
      <c r="AI53" s="799"/>
      <c r="AJ53" s="799"/>
      <c r="AL53" s="799"/>
      <c r="AM53" s="799">
        <v>14752544</v>
      </c>
      <c r="AN53" s="799">
        <v>38810350</v>
      </c>
      <c r="AO53" s="799">
        <v>37336695</v>
      </c>
      <c r="AP53" s="786">
        <v>90899589</v>
      </c>
      <c r="AU53" s="786">
        <v>558320929</v>
      </c>
      <c r="AV53" s="786">
        <v>218210922</v>
      </c>
      <c r="AY53" s="37"/>
      <c r="AZ53" s="37"/>
      <c r="BA53"/>
      <c r="BB53"/>
      <c r="BC53"/>
      <c r="BD53"/>
      <c r="BE53"/>
      <c r="BF53"/>
      <c r="BG53"/>
      <c r="BH53"/>
      <c r="BI53"/>
      <c r="BJ53"/>
      <c r="BK53"/>
      <c r="BL53"/>
      <c r="BM53"/>
      <c r="BN53"/>
      <c r="BO53"/>
      <c r="BP53"/>
      <c r="BQ53"/>
      <c r="BR53"/>
      <c r="BS53"/>
      <c r="BT53"/>
      <c r="BU53"/>
      <c r="BV53"/>
      <c r="BW53" s="1381" t="s">
        <v>2259</v>
      </c>
      <c r="BX53" s="1382" t="s">
        <v>1233</v>
      </c>
      <c r="BY53" s="1383">
        <v>0</v>
      </c>
      <c r="BZ53" s="1383">
        <v>0</v>
      </c>
      <c r="CA53" s="1383">
        <v>0</v>
      </c>
      <c r="CB53" s="1383">
        <v>0</v>
      </c>
      <c r="CC53" s="1383">
        <v>0</v>
      </c>
      <c r="CD53" s="1383">
        <v>0</v>
      </c>
      <c r="CE53" s="1383">
        <v>0</v>
      </c>
      <c r="CF53" s="1383">
        <v>0</v>
      </c>
      <c r="CG53" s="1383">
        <v>138</v>
      </c>
      <c r="CH53" s="1383">
        <v>151</v>
      </c>
      <c r="CI53" s="1383">
        <v>150</v>
      </c>
      <c r="CJ53" s="1383">
        <v>0</v>
      </c>
      <c r="CK53" s="1383">
        <v>0</v>
      </c>
      <c r="CL53" s="1383">
        <v>0</v>
      </c>
      <c r="CM53" s="1383">
        <v>0</v>
      </c>
      <c r="CN53" s="1384">
        <v>439</v>
      </c>
      <c r="CO53"/>
      <c r="CP53"/>
      <c r="CQ53"/>
      <c r="CR53"/>
      <c r="CS53"/>
      <c r="CT53"/>
      <c r="CU53"/>
      <c r="CV53"/>
      <c r="CW53"/>
      <c r="CX53"/>
      <c r="CY53"/>
      <c r="CZ53"/>
      <c r="DA53"/>
      <c r="DB53"/>
      <c r="DC53"/>
      <c r="DD53"/>
      <c r="DE53"/>
      <c r="DF53"/>
      <c r="DG53"/>
      <c r="DH53"/>
      <c r="DI53"/>
      <c r="DJ53"/>
    </row>
    <row r="54" spans="1:114">
      <c r="AY54" s="37"/>
      <c r="AZ54" s="37"/>
      <c r="BA54"/>
      <c r="BB54"/>
      <c r="BC54"/>
      <c r="BD54"/>
      <c r="BE54"/>
      <c r="BF54"/>
      <c r="BG54"/>
      <c r="BH54"/>
      <c r="BI54"/>
      <c r="BJ54"/>
      <c r="BK54"/>
      <c r="BL54"/>
      <c r="BM54"/>
      <c r="BN54"/>
      <c r="BO54"/>
      <c r="BP54"/>
      <c r="BQ54"/>
      <c r="BR54"/>
      <c r="BS54"/>
      <c r="BT54"/>
      <c r="BU54"/>
      <c r="BV54"/>
      <c r="BW54" s="1381" t="s">
        <v>2260</v>
      </c>
      <c r="BX54" s="1382" t="s">
        <v>1233</v>
      </c>
      <c r="BY54" s="1383">
        <v>0</v>
      </c>
      <c r="BZ54" s="1383">
        <v>0</v>
      </c>
      <c r="CA54" s="1383">
        <v>31</v>
      </c>
      <c r="CB54" s="1383">
        <v>42</v>
      </c>
      <c r="CC54" s="1383">
        <v>39</v>
      </c>
      <c r="CD54" s="1383">
        <v>34</v>
      </c>
      <c r="CE54" s="1383">
        <v>60</v>
      </c>
      <c r="CF54" s="1383">
        <v>53</v>
      </c>
      <c r="CG54" s="1383">
        <v>0</v>
      </c>
      <c r="CH54" s="1383">
        <v>0</v>
      </c>
      <c r="CI54" s="1383">
        <v>0</v>
      </c>
      <c r="CJ54" s="1383">
        <v>0</v>
      </c>
      <c r="CK54" s="1383">
        <v>0</v>
      </c>
      <c r="CL54" s="1383">
        <v>0</v>
      </c>
      <c r="CM54" s="1383">
        <v>0</v>
      </c>
      <c r="CN54" s="1384">
        <v>259</v>
      </c>
      <c r="CO54"/>
      <c r="CP54"/>
      <c r="CQ54"/>
      <c r="CR54"/>
      <c r="CS54"/>
      <c r="CT54"/>
      <c r="CU54"/>
      <c r="CV54"/>
      <c r="CW54"/>
      <c r="CX54"/>
      <c r="CY54"/>
      <c r="CZ54"/>
      <c r="DA54"/>
      <c r="DB54"/>
      <c r="DC54"/>
      <c r="DD54"/>
      <c r="DE54"/>
      <c r="DF54"/>
      <c r="DG54"/>
      <c r="DH54"/>
      <c r="DI54"/>
      <c r="DJ54"/>
    </row>
    <row r="55" spans="1:114">
      <c r="AY55" s="37"/>
      <c r="AZ55" s="37"/>
      <c r="BA55"/>
      <c r="BB55"/>
      <c r="BC55"/>
      <c r="BD55"/>
      <c r="BE55"/>
      <c r="BF55"/>
      <c r="BG55"/>
      <c r="BH55"/>
      <c r="BI55"/>
      <c r="BJ55"/>
      <c r="BK55"/>
      <c r="BL55"/>
      <c r="BM55"/>
      <c r="BN55"/>
      <c r="BO55"/>
      <c r="BP55"/>
      <c r="BQ55"/>
      <c r="BR55"/>
      <c r="BS55"/>
      <c r="BT55"/>
      <c r="BU55"/>
      <c r="BV55"/>
      <c r="BW55" s="1393" t="s">
        <v>2261</v>
      </c>
      <c r="BX55" s="1382" t="s">
        <v>1233</v>
      </c>
      <c r="BY55" s="1394">
        <v>0</v>
      </c>
      <c r="BZ55" s="1394">
        <v>0</v>
      </c>
      <c r="CA55" s="1394">
        <v>36</v>
      </c>
      <c r="CB55" s="1394">
        <v>27</v>
      </c>
      <c r="CC55" s="1394">
        <v>37</v>
      </c>
      <c r="CD55" s="1394">
        <v>30</v>
      </c>
      <c r="CE55" s="1394">
        <v>34</v>
      </c>
      <c r="CF55" s="1394">
        <v>27</v>
      </c>
      <c r="CG55" s="1394">
        <v>0</v>
      </c>
      <c r="CH55" s="1394">
        <v>0</v>
      </c>
      <c r="CI55" s="1394">
        <v>0</v>
      </c>
      <c r="CJ55" s="1394">
        <v>0</v>
      </c>
      <c r="CK55" s="1394">
        <v>0</v>
      </c>
      <c r="CL55" s="1394">
        <v>0</v>
      </c>
      <c r="CM55" s="1394">
        <v>0</v>
      </c>
      <c r="CN55" s="1403">
        <v>191</v>
      </c>
      <c r="CO55"/>
      <c r="CP55"/>
      <c r="CQ55"/>
      <c r="CR55"/>
      <c r="CS55"/>
      <c r="CT55"/>
      <c r="CU55"/>
      <c r="CV55"/>
      <c r="CW55"/>
      <c r="CX55"/>
      <c r="CY55"/>
      <c r="CZ55"/>
      <c r="DA55"/>
      <c r="DB55"/>
      <c r="DC55"/>
      <c r="DD55"/>
      <c r="DE55"/>
      <c r="DF55"/>
      <c r="DG55"/>
      <c r="DH55"/>
      <c r="DI55"/>
      <c r="DJ55"/>
    </row>
    <row r="56" spans="1:114">
      <c r="AY56" s="37"/>
      <c r="AZ56" s="37"/>
      <c r="BA56"/>
      <c r="BB56"/>
      <c r="BC56"/>
      <c r="BD56"/>
      <c r="BE56"/>
      <c r="BF56"/>
      <c r="BG56"/>
      <c r="BH56"/>
      <c r="BI56"/>
      <c r="BJ56"/>
      <c r="BK56"/>
      <c r="BL56"/>
      <c r="BM56"/>
      <c r="BN56"/>
      <c r="BO56"/>
      <c r="BP56"/>
      <c r="BQ56"/>
      <c r="BR56"/>
      <c r="BS56"/>
      <c r="BT56"/>
      <c r="BU56"/>
      <c r="BV56"/>
      <c r="BW56" s="1362" t="s">
        <v>2262</v>
      </c>
      <c r="BX56" s="1362" t="s">
        <v>2263</v>
      </c>
      <c r="BY56" s="1363">
        <v>75</v>
      </c>
      <c r="BZ56" s="1363">
        <v>0</v>
      </c>
      <c r="CA56" s="1363">
        <v>1167</v>
      </c>
      <c r="CB56" s="1363">
        <v>1205</v>
      </c>
      <c r="CC56" s="1363">
        <v>1254</v>
      </c>
      <c r="CD56" s="1363">
        <v>1286</v>
      </c>
      <c r="CE56" s="1363">
        <v>1210</v>
      </c>
      <c r="CF56" s="1363">
        <v>1195</v>
      </c>
      <c r="CG56" s="1363">
        <v>1249</v>
      </c>
      <c r="CH56" s="1363">
        <v>1225</v>
      </c>
      <c r="CI56" s="1363">
        <v>1257</v>
      </c>
      <c r="CJ56" s="1363">
        <v>1304</v>
      </c>
      <c r="CK56" s="1363">
        <v>1268</v>
      </c>
      <c r="CL56" s="1363">
        <v>1264</v>
      </c>
      <c r="CM56" s="1363">
        <v>1440</v>
      </c>
      <c r="CN56" s="1363">
        <v>16399</v>
      </c>
      <c r="CO56"/>
      <c r="CP56"/>
      <c r="CQ56"/>
      <c r="CR56"/>
      <c r="CS56"/>
      <c r="CT56"/>
      <c r="CU56"/>
      <c r="CV56"/>
      <c r="CW56"/>
      <c r="CX56"/>
      <c r="CY56"/>
      <c r="CZ56"/>
      <c r="DA56"/>
      <c r="DB56"/>
      <c r="DC56"/>
      <c r="DD56"/>
      <c r="DE56"/>
      <c r="DF56"/>
      <c r="DG56"/>
      <c r="DH56"/>
      <c r="DI56"/>
      <c r="DJ56"/>
    </row>
  </sheetData>
  <mergeCells count="13">
    <mergeCell ref="AY9:AZ9"/>
    <mergeCell ref="BB9:BS9"/>
    <mergeCell ref="BW9:CN9"/>
    <mergeCell ref="AG8:AJ8"/>
    <mergeCell ref="AL8:AO8"/>
    <mergeCell ref="BB30:BS30"/>
    <mergeCell ref="BB31:BS32"/>
    <mergeCell ref="CQ9:DH9"/>
    <mergeCell ref="BB10:BS10"/>
    <mergeCell ref="BW10:CN10"/>
    <mergeCell ref="CQ10:DH10"/>
    <mergeCell ref="BW12:CN12"/>
    <mergeCell ref="CQ12:DH1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51"/>
  <sheetViews>
    <sheetView workbookViewId="0">
      <selection activeCell="H28" sqref="H28"/>
    </sheetView>
  </sheetViews>
  <sheetFormatPr baseColWidth="10" defaultColWidth="9" defaultRowHeight="14"/>
  <cols>
    <col min="1" max="1" width="16.796875" customWidth="1"/>
    <col min="3" max="6" width="18.19921875" style="37" customWidth="1"/>
    <col min="7" max="7" width="6.19921875" style="37" customWidth="1"/>
    <col min="8" max="8" width="14.796875" style="37" customWidth="1"/>
    <col min="9" max="10" width="9.19921875" style="37"/>
    <col min="11" max="11" width="15" style="37" customWidth="1"/>
    <col min="12" max="13" width="15" style="26" customWidth="1"/>
    <col min="14" max="14" width="13" customWidth="1"/>
    <col min="15" max="15" width="14.796875" customWidth="1"/>
    <col min="16" max="16" width="16" customWidth="1"/>
    <col min="17" max="17" width="17.3984375" customWidth="1"/>
    <col min="25" max="25" width="16.796875" customWidth="1"/>
  </cols>
  <sheetData>
    <row r="1" spans="1:16" ht="20">
      <c r="A1" s="402" t="s">
        <v>2034</v>
      </c>
      <c r="B1" s="402"/>
      <c r="C1" s="402"/>
      <c r="D1" s="402"/>
      <c r="E1" s="402"/>
      <c r="F1" s="402"/>
      <c r="G1" s="402"/>
      <c r="H1" s="402"/>
      <c r="K1" s="579"/>
    </row>
    <row r="2" spans="1:16">
      <c r="A2" s="3"/>
      <c r="B2" s="3"/>
      <c r="C2" s="3"/>
      <c r="D2" s="3"/>
      <c r="E2" s="3"/>
      <c r="F2" s="3"/>
      <c r="G2" s="3"/>
      <c r="H2" s="3"/>
    </row>
    <row r="3" spans="1:16" ht="15">
      <c r="A3" s="3"/>
      <c r="B3" s="1766" t="s">
        <v>2264</v>
      </c>
      <c r="C3" s="1787"/>
      <c r="D3" s="1787"/>
      <c r="E3" s="1787"/>
      <c r="F3" s="1787"/>
      <c r="G3" s="1787"/>
      <c r="H3" s="1768"/>
      <c r="K3" s="567" t="s">
        <v>2265</v>
      </c>
      <c r="P3" s="1364" t="s">
        <v>433</v>
      </c>
    </row>
    <row r="4" spans="1:16" ht="15">
      <c r="A4" s="5"/>
      <c r="B4" s="1766" t="s">
        <v>2266</v>
      </c>
      <c r="C4" s="1787"/>
      <c r="D4" s="1787"/>
      <c r="E4" s="1787"/>
      <c r="F4" s="1787"/>
      <c r="G4" s="1787"/>
      <c r="H4" s="1768"/>
      <c r="K4" s="37" t="s">
        <v>2267</v>
      </c>
      <c r="P4" s="204" t="s">
        <v>439</v>
      </c>
    </row>
    <row r="5" spans="1:16" ht="16" thickBot="1">
      <c r="A5" s="5"/>
      <c r="B5" s="54"/>
      <c r="C5" s="54"/>
      <c r="D5" s="54"/>
      <c r="E5" s="54"/>
      <c r="F5" s="54"/>
      <c r="G5" s="54"/>
      <c r="H5" s="54"/>
      <c r="P5" s="205">
        <v>10.7639</v>
      </c>
    </row>
    <row r="6" spans="1:16" ht="16" thickBot="1">
      <c r="A6" s="5"/>
      <c r="B6" s="54"/>
      <c r="C6" s="54"/>
      <c r="D6" s="6" t="s">
        <v>2037</v>
      </c>
      <c r="E6" s="6" t="s">
        <v>2037</v>
      </c>
      <c r="F6" s="6"/>
      <c r="G6" s="54"/>
      <c r="H6" s="1769" t="s">
        <v>1890</v>
      </c>
      <c r="I6" s="1770"/>
    </row>
    <row r="7" spans="1:16" ht="15">
      <c r="C7" s="5" t="s">
        <v>322</v>
      </c>
      <c r="D7" s="6" t="s">
        <v>2039</v>
      </c>
      <c r="E7" s="6" t="s">
        <v>1463</v>
      </c>
      <c r="F7" s="1788" t="s">
        <v>2268</v>
      </c>
      <c r="H7" s="63" t="s">
        <v>2040</v>
      </c>
      <c r="I7" s="64" t="s">
        <v>2041</v>
      </c>
      <c r="K7" s="11" t="s">
        <v>2042</v>
      </c>
      <c r="L7" s="576" t="s">
        <v>2043</v>
      </c>
      <c r="M7" s="580" t="s">
        <v>2044</v>
      </c>
      <c r="N7" s="3"/>
      <c r="O7" s="57" t="s">
        <v>72</v>
      </c>
      <c r="P7" s="57" t="s">
        <v>2038</v>
      </c>
    </row>
    <row r="8" spans="1:16" ht="15">
      <c r="C8" s="5" t="s">
        <v>2269</v>
      </c>
      <c r="D8" s="6" t="s">
        <v>2046</v>
      </c>
      <c r="E8" s="6" t="s">
        <v>2047</v>
      </c>
      <c r="F8" s="1788"/>
      <c r="H8" s="63" t="s">
        <v>2049</v>
      </c>
      <c r="I8" s="64" t="s">
        <v>2050</v>
      </c>
      <c r="K8" s="5" t="s">
        <v>5</v>
      </c>
      <c r="L8" s="577" t="s">
        <v>2051</v>
      </c>
      <c r="M8" s="580" t="s">
        <v>2051</v>
      </c>
      <c r="N8" s="3"/>
      <c r="O8" s="57" t="s">
        <v>2052</v>
      </c>
      <c r="P8" s="57" t="s">
        <v>2053</v>
      </c>
    </row>
    <row r="9" spans="1:16" ht="15">
      <c r="A9" s="178" t="s">
        <v>429</v>
      </c>
      <c r="B9" s="73"/>
      <c r="C9" s="178" t="s">
        <v>2270</v>
      </c>
      <c r="D9" s="179"/>
      <c r="E9" s="179"/>
      <c r="F9" s="179"/>
      <c r="H9" s="180" t="s">
        <v>2054</v>
      </c>
      <c r="I9" s="181" t="s">
        <v>2055</v>
      </c>
      <c r="K9" s="182"/>
      <c r="L9" s="578"/>
      <c r="M9" s="581"/>
      <c r="N9" s="182"/>
      <c r="O9" s="184"/>
      <c r="P9" s="182"/>
    </row>
    <row r="10" spans="1:16" ht="15">
      <c r="A10" s="4" t="s">
        <v>2056</v>
      </c>
      <c r="C10" s="37">
        <v>276403</v>
      </c>
      <c r="D10" s="7">
        <v>0</v>
      </c>
      <c r="E10" s="7"/>
      <c r="F10" s="7">
        <f>C10-D10-E10</f>
        <v>276403</v>
      </c>
      <c r="H10" s="65">
        <v>2796.67</v>
      </c>
      <c r="I10" s="64" t="s">
        <v>682</v>
      </c>
      <c r="K10" s="37">
        <f>'E.2. 18-19 FRAME Budget'!M8</f>
        <v>889200</v>
      </c>
      <c r="L10" s="26">
        <f>K10/C10</f>
        <v>3.2170417831933809</v>
      </c>
      <c r="M10" s="26">
        <f t="shared" ref="M10:M45" si="0">L10*$P$5</f>
        <v>34.627916050115232</v>
      </c>
      <c r="O10" s="34">
        <f t="shared" ref="O10:O45" si="1">C10/$P$5</f>
        <v>25678.703815531546</v>
      </c>
      <c r="P10" s="37">
        <f>F10/$P$5</f>
        <v>25678.703815531546</v>
      </c>
    </row>
    <row r="11" spans="1:16" ht="15">
      <c r="A11" s="4" t="s">
        <v>844</v>
      </c>
      <c r="C11" s="37">
        <v>390464</v>
      </c>
      <c r="D11" s="7">
        <v>0</v>
      </c>
      <c r="E11" s="7"/>
      <c r="F11" s="7">
        <f t="shared" ref="F11:F45" si="2">C11-D11-E11</f>
        <v>390464</v>
      </c>
      <c r="H11" s="65">
        <v>4875.6499999999996</v>
      </c>
      <c r="I11" s="64" t="s">
        <v>2057</v>
      </c>
      <c r="K11" s="37">
        <f>'E.2. 18-19 FRAME Budget'!M9</f>
        <v>1220085</v>
      </c>
      <c r="L11" s="26">
        <f t="shared" ref="L11:L45" si="3">K11/C11</f>
        <v>3.1247054786100641</v>
      </c>
      <c r="M11" s="26">
        <f t="shared" si="0"/>
        <v>33.634017301210868</v>
      </c>
      <c r="O11" s="34">
        <f t="shared" si="1"/>
        <v>36275.327715790743</v>
      </c>
      <c r="P11" s="37">
        <f t="shared" ref="P11:P47" si="4">F11/$P$5</f>
        <v>36275.327715790743</v>
      </c>
    </row>
    <row r="12" spans="1:16" ht="15">
      <c r="A12" s="4" t="s">
        <v>845</v>
      </c>
      <c r="C12" s="37">
        <v>1053001</v>
      </c>
      <c r="D12" s="7">
        <v>37624</v>
      </c>
      <c r="E12" s="7"/>
      <c r="F12" s="7">
        <f t="shared" si="2"/>
        <v>1015377</v>
      </c>
      <c r="H12" s="65">
        <v>1345.84</v>
      </c>
      <c r="I12" s="64" t="s">
        <v>682</v>
      </c>
      <c r="K12" s="37">
        <f>'E.2. 18-19 FRAME Budget'!M10</f>
        <v>3005300</v>
      </c>
      <c r="L12" s="26">
        <f t="shared" si="3"/>
        <v>2.8540333769863468</v>
      </c>
      <c r="M12" s="26">
        <f t="shared" si="0"/>
        <v>30.720529866543338</v>
      </c>
      <c r="O12" s="34">
        <f t="shared" si="1"/>
        <v>97827.088694618127</v>
      </c>
      <c r="P12" s="37">
        <f t="shared" si="4"/>
        <v>94331.701335017977</v>
      </c>
    </row>
    <row r="13" spans="1:16" ht="15">
      <c r="A13" s="4" t="s">
        <v>1936</v>
      </c>
      <c r="C13" s="37">
        <v>988333</v>
      </c>
      <c r="D13" s="7">
        <v>0</v>
      </c>
      <c r="E13" s="7"/>
      <c r="F13" s="7">
        <f t="shared" si="2"/>
        <v>988333</v>
      </c>
      <c r="H13" s="65">
        <v>15921.72</v>
      </c>
      <c r="I13" s="64" t="s">
        <v>2057</v>
      </c>
      <c r="K13" s="37">
        <f>'E.2. 18-19 FRAME Budget'!M11</f>
        <v>2743695</v>
      </c>
      <c r="L13" s="26">
        <f t="shared" si="3"/>
        <v>2.7760835669759079</v>
      </c>
      <c r="M13" s="26">
        <f t="shared" si="0"/>
        <v>29.881485906571974</v>
      </c>
      <c r="O13" s="34">
        <f t="shared" si="1"/>
        <v>91819.229089828033</v>
      </c>
      <c r="P13" s="37">
        <f t="shared" si="4"/>
        <v>91819.229089828033</v>
      </c>
    </row>
    <row r="14" spans="1:16" ht="15">
      <c r="A14" s="4" t="s">
        <v>846</v>
      </c>
      <c r="C14" s="37">
        <v>291254</v>
      </c>
      <c r="D14" s="7">
        <v>0</v>
      </c>
      <c r="E14" s="7"/>
      <c r="F14" s="7">
        <f t="shared" si="2"/>
        <v>291254</v>
      </c>
      <c r="H14" s="65">
        <v>2424.23</v>
      </c>
      <c r="I14" s="64" t="s">
        <v>682</v>
      </c>
      <c r="K14" s="37">
        <f>'E.2. 18-19 FRAME Budget'!M12</f>
        <v>847305</v>
      </c>
      <c r="L14" s="26">
        <f t="shared" si="3"/>
        <v>2.9091617625852351</v>
      </c>
      <c r="M14" s="26">
        <f t="shared" si="0"/>
        <v>31.313926296291211</v>
      </c>
      <c r="O14" s="34">
        <f t="shared" si="1"/>
        <v>27058.408197772183</v>
      </c>
      <c r="P14" s="37">
        <f t="shared" si="4"/>
        <v>27058.408197772183</v>
      </c>
    </row>
    <row r="15" spans="1:16" ht="15">
      <c r="A15" s="4" t="s">
        <v>1704</v>
      </c>
      <c r="C15" s="37">
        <v>209745</v>
      </c>
      <c r="D15" s="7">
        <v>0</v>
      </c>
      <c r="E15" s="7"/>
      <c r="F15" s="7">
        <f t="shared" si="2"/>
        <v>209745</v>
      </c>
      <c r="H15" s="65">
        <v>14.89</v>
      </c>
      <c r="I15" s="64" t="s">
        <v>682</v>
      </c>
      <c r="K15" s="37">
        <f>'E.2. 18-19 FRAME Budget'!M13</f>
        <v>591660</v>
      </c>
      <c r="L15" s="26">
        <f t="shared" si="3"/>
        <v>2.8208538940141601</v>
      </c>
      <c r="M15" s="26">
        <f t="shared" si="0"/>
        <v>30.363389229779017</v>
      </c>
      <c r="O15" s="34">
        <f t="shared" si="1"/>
        <v>19485.966982227634</v>
      </c>
      <c r="P15" s="37">
        <f t="shared" si="4"/>
        <v>19485.966982227634</v>
      </c>
    </row>
    <row r="16" spans="1:16" ht="15">
      <c r="A16" s="4" t="s">
        <v>847</v>
      </c>
      <c r="C16" s="37">
        <v>262183</v>
      </c>
      <c r="D16" s="7">
        <v>0</v>
      </c>
      <c r="E16" s="7"/>
      <c r="F16" s="7">
        <f t="shared" si="2"/>
        <v>262183</v>
      </c>
      <c r="H16" s="65">
        <v>4384.8500000000004</v>
      </c>
      <c r="I16" s="64" t="s">
        <v>2057</v>
      </c>
      <c r="K16" s="37">
        <f>'E.2. 18-19 FRAME Budget'!M14</f>
        <v>846450</v>
      </c>
      <c r="L16" s="26">
        <f t="shared" si="3"/>
        <v>3.2284701906683502</v>
      </c>
      <c r="M16" s="26">
        <f t="shared" si="0"/>
        <v>34.750930285335052</v>
      </c>
      <c r="O16" s="34">
        <f t="shared" si="1"/>
        <v>24357.621308261878</v>
      </c>
      <c r="P16" s="37">
        <f t="shared" si="4"/>
        <v>24357.621308261878</v>
      </c>
    </row>
    <row r="17" spans="1:16" ht="15">
      <c r="A17" s="4" t="s">
        <v>1463</v>
      </c>
      <c r="C17" s="37">
        <v>1454398</v>
      </c>
      <c r="D17" s="7">
        <v>41496</v>
      </c>
      <c r="E17" s="7">
        <v>252609</v>
      </c>
      <c r="F17" s="7">
        <f t="shared" si="2"/>
        <v>1160293</v>
      </c>
      <c r="H17" s="65">
        <v>520650.09</v>
      </c>
      <c r="I17" s="64" t="s">
        <v>2057</v>
      </c>
      <c r="K17" s="37">
        <f>'E.2. 18-19 FRAME Budget'!M15</f>
        <v>4177530</v>
      </c>
      <c r="L17" s="26">
        <f t="shared" si="3"/>
        <v>2.8723430587775836</v>
      </c>
      <c r="M17" s="26">
        <f t="shared" si="0"/>
        <v>30.917613450376031</v>
      </c>
      <c r="O17" s="34">
        <f t="shared" si="1"/>
        <v>135118.12632967604</v>
      </c>
      <c r="P17" s="37">
        <f t="shared" si="4"/>
        <v>107794.85130854059</v>
      </c>
    </row>
    <row r="18" spans="1:16" ht="15">
      <c r="A18" s="4" t="s">
        <v>2058</v>
      </c>
      <c r="C18" s="37">
        <v>640381</v>
      </c>
      <c r="D18" s="7">
        <v>2400</v>
      </c>
      <c r="E18" s="7"/>
      <c r="F18" s="7">
        <f t="shared" si="2"/>
        <v>637981</v>
      </c>
      <c r="H18" s="65">
        <v>706.42</v>
      </c>
      <c r="I18" s="64" t="s">
        <v>682</v>
      </c>
      <c r="K18" s="37">
        <f>'E.2. 18-19 FRAME Budget'!M16</f>
        <v>1686060</v>
      </c>
      <c r="L18" s="26">
        <f t="shared" si="3"/>
        <v>2.6329013509145338</v>
      </c>
      <c r="M18" s="26">
        <f t="shared" si="0"/>
        <v>28.340286851108949</v>
      </c>
      <c r="O18" s="34">
        <f t="shared" si="1"/>
        <v>59493.399232620148</v>
      </c>
      <c r="P18" s="37">
        <f t="shared" si="4"/>
        <v>59270.431720844681</v>
      </c>
    </row>
    <row r="19" spans="1:16" ht="15">
      <c r="A19" s="4" t="s">
        <v>848</v>
      </c>
      <c r="C19" s="37">
        <v>1053566</v>
      </c>
      <c r="D19" s="7">
        <v>1900</v>
      </c>
      <c r="E19" s="7"/>
      <c r="F19" s="7">
        <f t="shared" si="2"/>
        <v>1051666</v>
      </c>
      <c r="H19" s="65">
        <v>1175</v>
      </c>
      <c r="I19" s="64" t="s">
        <v>682</v>
      </c>
      <c r="K19" s="37">
        <f>'E.2. 18-19 FRAME Budget'!M17</f>
        <v>2791575</v>
      </c>
      <c r="L19" s="26">
        <f t="shared" si="3"/>
        <v>2.6496441608783883</v>
      </c>
      <c r="M19" s="26">
        <f t="shared" si="0"/>
        <v>28.520504783278881</v>
      </c>
      <c r="O19" s="34">
        <f t="shared" si="1"/>
        <v>97879.578963015272</v>
      </c>
      <c r="P19" s="37">
        <f t="shared" si="4"/>
        <v>97703.063016193017</v>
      </c>
    </row>
    <row r="20" spans="1:16" ht="15">
      <c r="A20" s="4" t="s">
        <v>849</v>
      </c>
      <c r="C20" s="37">
        <v>459333.5</v>
      </c>
      <c r="D20" s="7">
        <v>2340</v>
      </c>
      <c r="E20" s="7"/>
      <c r="F20" s="7">
        <f t="shared" si="2"/>
        <v>456993.5</v>
      </c>
      <c r="H20" s="65">
        <v>2657.33</v>
      </c>
      <c r="I20" s="64" t="s">
        <v>682</v>
      </c>
      <c r="K20" s="37">
        <f>'E.2. 18-19 FRAME Budget'!M18</f>
        <v>1527030</v>
      </c>
      <c r="L20" s="26">
        <f t="shared" si="3"/>
        <v>3.3244472697941694</v>
      </c>
      <c r="M20" s="26">
        <f t="shared" si="0"/>
        <v>35.784017967337455</v>
      </c>
      <c r="O20" s="34">
        <f t="shared" si="1"/>
        <v>42673.519820882764</v>
      </c>
      <c r="P20" s="37">
        <f t="shared" si="4"/>
        <v>42456.126496901685</v>
      </c>
    </row>
    <row r="21" spans="1:16" ht="15">
      <c r="A21" s="4" t="s">
        <v>850</v>
      </c>
      <c r="C21" s="37">
        <v>340888</v>
      </c>
      <c r="D21" s="7">
        <v>0</v>
      </c>
      <c r="E21" s="7"/>
      <c r="F21" s="7">
        <f t="shared" si="2"/>
        <v>340888</v>
      </c>
      <c r="H21" s="65">
        <v>529.91</v>
      </c>
      <c r="I21" s="64" t="s">
        <v>682</v>
      </c>
      <c r="K21" s="37">
        <f>'E.2. 18-19 FRAME Budget'!M19</f>
        <v>919980</v>
      </c>
      <c r="L21" s="26">
        <f t="shared" si="3"/>
        <v>2.6987749642111192</v>
      </c>
      <c r="M21" s="26">
        <f t="shared" si="0"/>
        <v>29.049343837272065</v>
      </c>
      <c r="O21" s="34">
        <f t="shared" si="1"/>
        <v>31669.562147548753</v>
      </c>
      <c r="P21" s="37">
        <f t="shared" si="4"/>
        <v>31669.562147548753</v>
      </c>
    </row>
    <row r="22" spans="1:16" ht="15">
      <c r="A22" s="4" t="s">
        <v>851</v>
      </c>
      <c r="C22" s="37">
        <v>233256</v>
      </c>
      <c r="D22" s="7">
        <v>0</v>
      </c>
      <c r="E22" s="7"/>
      <c r="F22" s="7">
        <f t="shared" si="2"/>
        <v>233256</v>
      </c>
      <c r="H22" s="65">
        <v>6876.42</v>
      </c>
      <c r="I22" s="64" t="s">
        <v>2057</v>
      </c>
      <c r="K22" s="37">
        <f>'E.2. 18-19 FRAME Budget'!M20</f>
        <v>796860</v>
      </c>
      <c r="L22" s="26">
        <f t="shared" si="3"/>
        <v>3.4162465274205167</v>
      </c>
      <c r="M22" s="26">
        <f t="shared" si="0"/>
        <v>36.772135996501696</v>
      </c>
      <c r="O22" s="34">
        <f t="shared" si="1"/>
        <v>21670.212469458096</v>
      </c>
      <c r="P22" s="37">
        <f t="shared" si="4"/>
        <v>21670.212469458096</v>
      </c>
    </row>
    <row r="23" spans="1:16" ht="15">
      <c r="A23" s="4" t="s">
        <v>1384</v>
      </c>
      <c r="C23" s="37">
        <v>711729</v>
      </c>
      <c r="D23" s="7">
        <v>0</v>
      </c>
      <c r="E23" s="7"/>
      <c r="F23" s="7">
        <f t="shared" si="2"/>
        <v>711729</v>
      </c>
      <c r="H23" s="65">
        <v>1491.83</v>
      </c>
      <c r="I23" s="64" t="s">
        <v>2057</v>
      </c>
      <c r="K23" s="37">
        <f>'E.2. 18-19 FRAME Budget'!M21</f>
        <v>2008395</v>
      </c>
      <c r="L23" s="26">
        <f t="shared" si="3"/>
        <v>2.8218535425702762</v>
      </c>
      <c r="M23" s="26">
        <f t="shared" si="0"/>
        <v>30.374149346872194</v>
      </c>
      <c r="O23" s="34">
        <f t="shared" si="1"/>
        <v>66121.851745185297</v>
      </c>
      <c r="P23" s="37">
        <f t="shared" si="4"/>
        <v>66121.851745185297</v>
      </c>
    </row>
    <row r="24" spans="1:16" ht="15">
      <c r="A24" s="4" t="s">
        <v>852</v>
      </c>
      <c r="C24" s="37">
        <v>2316100</v>
      </c>
      <c r="D24" s="7">
        <v>2868</v>
      </c>
      <c r="E24" s="7"/>
      <c r="F24" s="7">
        <f t="shared" si="2"/>
        <v>2313232</v>
      </c>
      <c r="H24" s="65">
        <v>113.42</v>
      </c>
      <c r="I24" s="64" t="s">
        <v>682</v>
      </c>
      <c r="K24" s="37">
        <f>'E.2. 18-19 FRAME Budget'!M22</f>
        <v>6480045</v>
      </c>
      <c r="L24" s="26">
        <f t="shared" si="3"/>
        <v>2.7978260869565217</v>
      </c>
      <c r="M24" s="26">
        <f t="shared" si="0"/>
        <v>30.115520217391303</v>
      </c>
      <c r="O24" s="34">
        <f t="shared" si="1"/>
        <v>215172.93917632086</v>
      </c>
      <c r="P24" s="37">
        <f t="shared" si="4"/>
        <v>214906.49299974917</v>
      </c>
    </row>
    <row r="25" spans="1:16" ht="15">
      <c r="A25" s="4" t="s">
        <v>853</v>
      </c>
      <c r="C25" s="37">
        <v>769803</v>
      </c>
      <c r="D25" s="7">
        <v>0</v>
      </c>
      <c r="E25" s="7"/>
      <c r="F25" s="7">
        <f t="shared" si="2"/>
        <v>769803</v>
      </c>
      <c r="H25" s="65">
        <v>7999.8</v>
      </c>
      <c r="I25" s="64" t="s">
        <v>2057</v>
      </c>
      <c r="K25" s="37">
        <f>'E.2. 18-19 FRAME Budget'!M23</f>
        <v>2259765</v>
      </c>
      <c r="L25" s="26">
        <f t="shared" si="3"/>
        <v>2.935510773535567</v>
      </c>
      <c r="M25" s="26">
        <f t="shared" si="0"/>
        <v>31.597544415259488</v>
      </c>
      <c r="O25" s="34">
        <f t="shared" si="1"/>
        <v>71517.108111372276</v>
      </c>
      <c r="P25" s="37">
        <f t="shared" si="4"/>
        <v>71517.108111372276</v>
      </c>
    </row>
    <row r="26" spans="1:16" ht="15">
      <c r="A26" s="4" t="s">
        <v>854</v>
      </c>
      <c r="C26" s="37">
        <v>467621</v>
      </c>
      <c r="D26" s="7">
        <v>1610</v>
      </c>
      <c r="E26" s="7"/>
      <c r="F26" s="7">
        <f t="shared" si="2"/>
        <v>466011</v>
      </c>
      <c r="H26" s="65">
        <v>15.8</v>
      </c>
      <c r="I26" s="64" t="s">
        <v>682</v>
      </c>
      <c r="K26" s="37">
        <f>'E.2. 18-19 FRAME Budget'!M24</f>
        <v>1286775</v>
      </c>
      <c r="L26" s="26">
        <f t="shared" si="3"/>
        <v>2.7517476760025747</v>
      </c>
      <c r="M26" s="26">
        <f t="shared" si="0"/>
        <v>29.619536809724114</v>
      </c>
      <c r="O26" s="34">
        <f t="shared" si="1"/>
        <v>43443.454509982446</v>
      </c>
      <c r="P26" s="37">
        <f t="shared" si="4"/>
        <v>43293.880470833064</v>
      </c>
    </row>
    <row r="27" spans="1:16" ht="15">
      <c r="A27" s="4" t="s">
        <v>1454</v>
      </c>
      <c r="C27" s="37">
        <v>443271</v>
      </c>
      <c r="D27" s="7">
        <v>0</v>
      </c>
      <c r="E27" s="7"/>
      <c r="F27" s="7">
        <f t="shared" si="2"/>
        <v>443271</v>
      </c>
      <c r="H27" s="65">
        <v>7047.36</v>
      </c>
      <c r="I27" s="64" t="s">
        <v>682</v>
      </c>
      <c r="K27" s="37">
        <f>'E.2. 18-19 FRAME Budget'!M25</f>
        <v>1276515</v>
      </c>
      <c r="L27" s="26">
        <f t="shared" si="3"/>
        <v>2.8797620417306793</v>
      </c>
      <c r="M27" s="26">
        <f t="shared" si="0"/>
        <v>30.997470640984858</v>
      </c>
      <c r="O27" s="34">
        <f t="shared" si="1"/>
        <v>41181.263296760466</v>
      </c>
      <c r="P27" s="37">
        <f t="shared" si="4"/>
        <v>41181.263296760466</v>
      </c>
    </row>
    <row r="28" spans="1:16" ht="15">
      <c r="A28" s="4" t="s">
        <v>868</v>
      </c>
      <c r="C28" s="37">
        <v>1838306</v>
      </c>
      <c r="D28" s="7">
        <v>0</v>
      </c>
      <c r="E28" s="7"/>
      <c r="F28" s="7">
        <f t="shared" si="2"/>
        <v>1838306</v>
      </c>
      <c r="H28" s="65">
        <v>66.849999999999994</v>
      </c>
      <c r="I28" s="64" t="s">
        <v>682</v>
      </c>
      <c r="K28" s="37">
        <f>'E.2. 18-19 FRAME Budget'!M26</f>
        <v>5126580</v>
      </c>
      <c r="L28" s="26">
        <f t="shared" si="3"/>
        <v>2.7887522534333238</v>
      </c>
      <c r="M28" s="26">
        <f t="shared" si="0"/>
        <v>30.017850380730952</v>
      </c>
      <c r="O28" s="34">
        <f t="shared" si="1"/>
        <v>170784.38112580014</v>
      </c>
      <c r="P28" s="37">
        <f t="shared" si="4"/>
        <v>170784.38112580014</v>
      </c>
    </row>
    <row r="29" spans="1:16" ht="15">
      <c r="A29" s="4" t="s">
        <v>1645</v>
      </c>
      <c r="C29" s="37">
        <v>209725</v>
      </c>
      <c r="D29" s="7">
        <v>0</v>
      </c>
      <c r="E29" s="7"/>
      <c r="F29" s="7">
        <f t="shared" si="2"/>
        <v>209725</v>
      </c>
      <c r="H29" s="65">
        <v>2797.19</v>
      </c>
      <c r="I29" s="64" t="s">
        <v>682</v>
      </c>
      <c r="K29" s="37">
        <f>'E.2. 18-19 FRAME Budget'!M27</f>
        <v>789165</v>
      </c>
      <c r="L29" s="26">
        <f t="shared" si="3"/>
        <v>3.7628561211109788</v>
      </c>
      <c r="M29" s="26">
        <f t="shared" si="0"/>
        <v>40.503007002026465</v>
      </c>
      <c r="O29" s="34">
        <f t="shared" si="1"/>
        <v>19484.108919629503</v>
      </c>
      <c r="P29" s="37">
        <f t="shared" si="4"/>
        <v>19484.108919629503</v>
      </c>
    </row>
    <row r="30" spans="1:16" ht="15">
      <c r="A30" s="4" t="s">
        <v>856</v>
      </c>
      <c r="C30" s="37">
        <v>606504</v>
      </c>
      <c r="D30" s="7">
        <v>0</v>
      </c>
      <c r="E30" s="7"/>
      <c r="F30" s="7">
        <f t="shared" si="2"/>
        <v>606504</v>
      </c>
      <c r="H30" s="65">
        <v>1958.03</v>
      </c>
      <c r="I30" s="64" t="s">
        <v>682</v>
      </c>
      <c r="K30" s="37">
        <f>'E.2. 18-19 FRAME Budget'!M28</f>
        <v>1792935</v>
      </c>
      <c r="L30" s="26">
        <f t="shared" si="3"/>
        <v>2.9561800087056311</v>
      </c>
      <c r="M30" s="26">
        <f t="shared" si="0"/>
        <v>31.820025995706541</v>
      </c>
      <c r="O30" s="34">
        <f t="shared" si="1"/>
        <v>56346.119900779457</v>
      </c>
      <c r="P30" s="37">
        <f t="shared" si="4"/>
        <v>56346.119900779457</v>
      </c>
    </row>
    <row r="31" spans="1:16" ht="15">
      <c r="A31" s="4" t="s">
        <v>1594</v>
      </c>
      <c r="C31" s="37">
        <v>385624</v>
      </c>
      <c r="D31" s="7">
        <v>672</v>
      </c>
      <c r="E31" s="7"/>
      <c r="F31" s="7">
        <f t="shared" si="2"/>
        <v>384952</v>
      </c>
      <c r="H31" s="65">
        <v>3729.58</v>
      </c>
      <c r="I31" s="64" t="s">
        <v>682</v>
      </c>
      <c r="K31" s="37">
        <f>'E.2. 18-19 FRAME Budget'!M29</f>
        <v>1404765</v>
      </c>
      <c r="L31" s="26">
        <f t="shared" si="3"/>
        <v>3.6428360268033111</v>
      </c>
      <c r="M31" s="26">
        <f t="shared" si="0"/>
        <v>39.211122708908157</v>
      </c>
      <c r="O31" s="34">
        <f t="shared" si="1"/>
        <v>35825.676567043542</v>
      </c>
      <c r="P31" s="37">
        <f t="shared" si="4"/>
        <v>35763.245663746413</v>
      </c>
    </row>
    <row r="32" spans="1:16" ht="15">
      <c r="A32" s="4" t="s">
        <v>1573</v>
      </c>
      <c r="C32" s="37">
        <v>491955</v>
      </c>
      <c r="D32" s="7">
        <v>7920</v>
      </c>
      <c r="E32" s="7"/>
      <c r="F32" s="7">
        <f t="shared" si="2"/>
        <v>484035</v>
      </c>
      <c r="H32" s="65">
        <v>5935.25</v>
      </c>
      <c r="I32" s="64" t="s">
        <v>2057</v>
      </c>
      <c r="K32" s="37">
        <f>'E.2. 18-19 FRAME Budget'!M30</f>
        <v>1739925</v>
      </c>
      <c r="L32" s="26">
        <f t="shared" si="3"/>
        <v>3.5367564106473153</v>
      </c>
      <c r="M32" s="26">
        <f t="shared" si="0"/>
        <v>38.069292328566632</v>
      </c>
      <c r="O32" s="34">
        <f t="shared" si="1"/>
        <v>45704.159273125915</v>
      </c>
      <c r="P32" s="37">
        <f t="shared" si="4"/>
        <v>44968.366484266859</v>
      </c>
    </row>
    <row r="33" spans="1:16" ht="15">
      <c r="A33" s="4" t="s">
        <v>857</v>
      </c>
      <c r="C33" s="37">
        <v>377038</v>
      </c>
      <c r="D33" s="7">
        <v>3469</v>
      </c>
      <c r="E33" s="7"/>
      <c r="F33" s="7">
        <f t="shared" si="2"/>
        <v>373569</v>
      </c>
      <c r="H33" s="65">
        <v>2395.7399999999998</v>
      </c>
      <c r="I33" s="64" t="s">
        <v>682</v>
      </c>
      <c r="K33" s="37">
        <f>'E.2. 18-19 FRAME Budget'!M31</f>
        <v>1179900</v>
      </c>
      <c r="L33" s="26">
        <f t="shared" si="3"/>
        <v>3.1293927932993491</v>
      </c>
      <c r="M33" s="26">
        <f t="shared" si="0"/>
        <v>33.684471087794861</v>
      </c>
      <c r="O33" s="34">
        <f t="shared" si="1"/>
        <v>35028.010293666797</v>
      </c>
      <c r="P33" s="37">
        <f t="shared" si="4"/>
        <v>34705.72933602133</v>
      </c>
    </row>
    <row r="34" spans="1:16" ht="15">
      <c r="A34" s="4" t="s">
        <v>1388</v>
      </c>
      <c r="C34" s="37">
        <v>2453410</v>
      </c>
      <c r="D34" s="7">
        <v>1400</v>
      </c>
      <c r="E34" s="7"/>
      <c r="F34" s="7">
        <f t="shared" si="2"/>
        <v>2452010</v>
      </c>
      <c r="H34" s="65">
        <v>100.42</v>
      </c>
      <c r="I34" s="64" t="s">
        <v>682</v>
      </c>
      <c r="K34" s="37">
        <f>'E.2. 18-19 FRAME Budget'!M32</f>
        <v>6907545</v>
      </c>
      <c r="L34" s="26">
        <f t="shared" si="3"/>
        <v>2.8154874236267071</v>
      </c>
      <c r="M34" s="26">
        <f t="shared" si="0"/>
        <v>30.305625079175513</v>
      </c>
      <c r="O34" s="34">
        <f t="shared" si="1"/>
        <v>227929.46794377503</v>
      </c>
      <c r="P34" s="37">
        <f t="shared" si="4"/>
        <v>227799.40356190602</v>
      </c>
    </row>
    <row r="35" spans="1:16" ht="15">
      <c r="A35" s="4" t="s">
        <v>1666</v>
      </c>
      <c r="C35" s="37">
        <v>321899</v>
      </c>
      <c r="D35" s="7">
        <v>0</v>
      </c>
      <c r="E35" s="7"/>
      <c r="F35" s="7">
        <f t="shared" si="2"/>
        <v>321899</v>
      </c>
      <c r="H35" s="65">
        <v>3799.51</v>
      </c>
      <c r="I35" s="64" t="s">
        <v>2057</v>
      </c>
      <c r="K35" s="37">
        <f>'E.2. 18-19 FRAME Budget'!M33</f>
        <v>1158525</v>
      </c>
      <c r="L35" s="26">
        <f t="shared" si="3"/>
        <v>3.5990326158204904</v>
      </c>
      <c r="M35" s="26">
        <f t="shared" si="0"/>
        <v>38.739627173430172</v>
      </c>
      <c r="O35" s="34">
        <f t="shared" si="1"/>
        <v>29905.42461375524</v>
      </c>
      <c r="P35" s="37">
        <f t="shared" si="4"/>
        <v>29905.42461375524</v>
      </c>
    </row>
    <row r="36" spans="1:16" ht="15">
      <c r="A36" s="4" t="s">
        <v>1484</v>
      </c>
      <c r="C36" s="37">
        <v>587899</v>
      </c>
      <c r="D36" s="7">
        <v>2500</v>
      </c>
      <c r="E36" s="7"/>
      <c r="F36" s="7">
        <f t="shared" si="2"/>
        <v>585399</v>
      </c>
      <c r="H36" s="65">
        <v>2160.0500000000002</v>
      </c>
      <c r="I36" s="64" t="s">
        <v>682</v>
      </c>
      <c r="K36" s="37">
        <f>'E.2. 18-19 FRAME Budget'!M34</f>
        <v>1706580</v>
      </c>
      <c r="L36" s="26">
        <f t="shared" si="3"/>
        <v>2.9028455568048255</v>
      </c>
      <c r="M36" s="26">
        <f t="shared" si="0"/>
        <v>31.24593928889146</v>
      </c>
      <c r="O36" s="34">
        <f t="shared" si="1"/>
        <v>54617.657168870021</v>
      </c>
      <c r="P36" s="37">
        <f t="shared" si="4"/>
        <v>54385.399344103906</v>
      </c>
    </row>
    <row r="37" spans="1:16" ht="15">
      <c r="A37" s="4" t="s">
        <v>862</v>
      </c>
      <c r="C37" s="37">
        <v>1380050</v>
      </c>
      <c r="D37" s="7">
        <v>0</v>
      </c>
      <c r="E37" s="7"/>
      <c r="F37" s="7">
        <f t="shared" si="2"/>
        <v>1380050</v>
      </c>
      <c r="H37" s="65">
        <v>90.26</v>
      </c>
      <c r="I37" s="64" t="s">
        <v>682</v>
      </c>
      <c r="K37" s="37">
        <f>'E.2. 18-19 FRAME Budget'!M35</f>
        <v>3738060</v>
      </c>
      <c r="L37" s="26">
        <f t="shared" si="3"/>
        <v>2.7086409912684322</v>
      </c>
      <c r="M37" s="26">
        <f t="shared" si="0"/>
        <v>29.155540765914274</v>
      </c>
      <c r="O37" s="34">
        <f t="shared" si="1"/>
        <v>128210.96442739156</v>
      </c>
      <c r="P37" s="37">
        <f t="shared" si="4"/>
        <v>128210.96442739156</v>
      </c>
    </row>
    <row r="38" spans="1:16" ht="15">
      <c r="A38" s="4" t="s">
        <v>2059</v>
      </c>
      <c r="C38" s="37">
        <v>316103</v>
      </c>
      <c r="D38" s="7">
        <v>0</v>
      </c>
      <c r="E38" s="7"/>
      <c r="F38" s="7">
        <f t="shared" si="2"/>
        <v>316103</v>
      </c>
      <c r="H38" s="65">
        <v>6232.8</v>
      </c>
      <c r="I38" s="64" t="s">
        <v>682</v>
      </c>
      <c r="K38" s="37">
        <f>'E.2. 18-19 FRAME Budget'!M36</f>
        <v>1028565</v>
      </c>
      <c r="L38" s="26">
        <f t="shared" si="3"/>
        <v>3.2538919276311833</v>
      </c>
      <c r="M38" s="26">
        <f t="shared" si="0"/>
        <v>35.024567319829295</v>
      </c>
      <c r="O38" s="34">
        <f t="shared" si="1"/>
        <v>29366.958072817473</v>
      </c>
      <c r="P38" s="37">
        <f t="shared" si="4"/>
        <v>29366.958072817473</v>
      </c>
    </row>
    <row r="39" spans="1:16" ht="15">
      <c r="A39" s="4" t="s">
        <v>1405</v>
      </c>
      <c r="C39" s="37">
        <v>1422905</v>
      </c>
      <c r="D39" s="7">
        <v>0</v>
      </c>
      <c r="E39" s="7"/>
      <c r="F39" s="7">
        <f t="shared" si="2"/>
        <v>1422905</v>
      </c>
      <c r="H39" s="65">
        <v>135.4</v>
      </c>
      <c r="I39" s="64" t="s">
        <v>682</v>
      </c>
      <c r="K39" s="37">
        <f>'E.2. 18-19 FRAME Budget'!M37</f>
        <v>4111695</v>
      </c>
      <c r="L39" s="26">
        <f t="shared" si="3"/>
        <v>2.889648289942055</v>
      </c>
      <c r="M39" s="26">
        <f t="shared" si="0"/>
        <v>31.103885228107284</v>
      </c>
      <c r="O39" s="34">
        <f t="shared" si="1"/>
        <v>132192.32805953233</v>
      </c>
      <c r="P39" s="37">
        <f t="shared" si="4"/>
        <v>132192.32805953233</v>
      </c>
    </row>
    <row r="40" spans="1:16" ht="15">
      <c r="A40" s="4" t="s">
        <v>864</v>
      </c>
      <c r="C40" s="37">
        <v>727718</v>
      </c>
      <c r="D40" s="7">
        <v>3710</v>
      </c>
      <c r="E40" s="7"/>
      <c r="F40" s="7">
        <f t="shared" si="2"/>
        <v>724008</v>
      </c>
      <c r="H40" s="65">
        <v>7180.36</v>
      </c>
      <c r="I40" s="64" t="s">
        <v>2057</v>
      </c>
      <c r="K40" s="37">
        <f>'E.2. 18-19 FRAME Budget'!M38</f>
        <v>2074230</v>
      </c>
      <c r="L40" s="26">
        <f t="shared" si="3"/>
        <v>2.8503211408814955</v>
      </c>
      <c r="M40" s="26">
        <f t="shared" si="0"/>
        <v>30.680571728334328</v>
      </c>
      <c r="O40" s="34">
        <f t="shared" si="1"/>
        <v>67607.279889259473</v>
      </c>
      <c r="P40" s="37">
        <f t="shared" si="4"/>
        <v>67262.609277306561</v>
      </c>
    </row>
    <row r="41" spans="1:16" ht="15">
      <c r="A41" s="4" t="s">
        <v>865</v>
      </c>
      <c r="C41" s="37">
        <v>338347</v>
      </c>
      <c r="D41" s="7">
        <v>0</v>
      </c>
      <c r="E41" s="7"/>
      <c r="F41" s="7">
        <f t="shared" si="2"/>
        <v>338347</v>
      </c>
      <c r="H41" s="65">
        <v>3636.34</v>
      </c>
      <c r="I41" s="64" t="s">
        <v>682</v>
      </c>
      <c r="K41" s="37">
        <f>'E.2. 18-19 FRAME Budget'!M39</f>
        <v>1058490</v>
      </c>
      <c r="L41" s="26">
        <f t="shared" si="3"/>
        <v>3.1284155024279809</v>
      </c>
      <c r="M41" s="26">
        <f t="shared" si="0"/>
        <v>33.67395162658454</v>
      </c>
      <c r="O41" s="34">
        <f t="shared" si="1"/>
        <v>31433.495294456472</v>
      </c>
      <c r="P41" s="37">
        <f t="shared" si="4"/>
        <v>31433.495294456472</v>
      </c>
    </row>
    <row r="42" spans="1:16" ht="15">
      <c r="A42" s="4" t="s">
        <v>866</v>
      </c>
      <c r="C42" s="37">
        <v>182598</v>
      </c>
      <c r="D42" s="7">
        <v>0</v>
      </c>
      <c r="E42" s="7"/>
      <c r="F42" s="7">
        <f t="shared" si="2"/>
        <v>182598</v>
      </c>
      <c r="H42" s="65">
        <v>3223.68</v>
      </c>
      <c r="I42" s="64" t="s">
        <v>682</v>
      </c>
      <c r="K42" s="37">
        <f>'E.2. 18-19 FRAME Budget'!M40</f>
        <v>585675</v>
      </c>
      <c r="L42" s="26">
        <f t="shared" si="3"/>
        <v>3.207455722406598</v>
      </c>
      <c r="M42" s="26">
        <f t="shared" si="0"/>
        <v>34.524732650412382</v>
      </c>
      <c r="O42" s="34">
        <f t="shared" si="1"/>
        <v>16963.925714657329</v>
      </c>
      <c r="P42" s="37">
        <f t="shared" si="4"/>
        <v>16963.925714657329</v>
      </c>
    </row>
    <row r="43" spans="1:16" ht="15">
      <c r="A43" s="4" t="s">
        <v>2060</v>
      </c>
      <c r="C43" s="37">
        <v>180707</v>
      </c>
      <c r="D43" s="7">
        <v>0</v>
      </c>
      <c r="E43" s="7"/>
      <c r="F43" s="7">
        <f t="shared" si="2"/>
        <v>180707</v>
      </c>
      <c r="H43" s="65">
        <v>4195.78</v>
      </c>
      <c r="I43" s="64" t="s">
        <v>2057</v>
      </c>
      <c r="K43" s="37">
        <f>'E.2. 18-19 FRAME Budget'!M41</f>
        <v>601065</v>
      </c>
      <c r="L43" s="26">
        <f t="shared" si="3"/>
        <v>3.326185482576768</v>
      </c>
      <c r="M43" s="26">
        <f t="shared" si="0"/>
        <v>35.802727915908072</v>
      </c>
      <c r="O43" s="34">
        <f t="shared" si="1"/>
        <v>16788.245896004239</v>
      </c>
      <c r="P43" s="37">
        <f t="shared" si="4"/>
        <v>16788.245896004239</v>
      </c>
    </row>
    <row r="44" spans="1:16" ht="15">
      <c r="A44" s="4" t="s">
        <v>2061</v>
      </c>
      <c r="C44" s="37">
        <v>217069</v>
      </c>
      <c r="D44" s="7">
        <v>0</v>
      </c>
      <c r="E44" s="7"/>
      <c r="F44" s="7">
        <f t="shared" si="2"/>
        <v>217069</v>
      </c>
      <c r="H44" s="65">
        <v>559.44000000000005</v>
      </c>
      <c r="I44" s="64" t="s">
        <v>682</v>
      </c>
      <c r="K44" s="37">
        <f>'E.2. 18-19 FRAME Budget'!M42</f>
        <v>600210</v>
      </c>
      <c r="L44" s="26">
        <f t="shared" si="3"/>
        <v>2.7650654860896764</v>
      </c>
      <c r="M44" s="26">
        <f t="shared" si="0"/>
        <v>29.762888385720668</v>
      </c>
      <c r="O44" s="34">
        <f t="shared" si="1"/>
        <v>20166.389505662446</v>
      </c>
      <c r="P44" s="37">
        <f t="shared" si="4"/>
        <v>20166.389505662446</v>
      </c>
    </row>
    <row r="45" spans="1:16" ht="15">
      <c r="A45" s="4" t="s">
        <v>1233</v>
      </c>
      <c r="C45" s="37">
        <v>5050213</v>
      </c>
      <c r="D45" s="7">
        <v>26057</v>
      </c>
      <c r="E45" s="7"/>
      <c r="F45" s="7">
        <f t="shared" si="2"/>
        <v>5024156</v>
      </c>
      <c r="H45" s="65">
        <v>90.26</v>
      </c>
      <c r="I45" s="64" t="s">
        <v>682</v>
      </c>
      <c r="K45" s="37">
        <f>'E.2. 18-19 FRAME Budget'!M43</f>
        <v>14310135</v>
      </c>
      <c r="L45" s="26">
        <f t="shared" si="3"/>
        <v>2.8335705840525933</v>
      </c>
      <c r="M45" s="26">
        <f t="shared" si="0"/>
        <v>30.500270409683708</v>
      </c>
      <c r="O45" s="34">
        <f t="shared" si="1"/>
        <v>469180.59439422516</v>
      </c>
      <c r="P45" s="37">
        <f t="shared" si="4"/>
        <v>466759.81753825286</v>
      </c>
    </row>
    <row r="46" spans="1:16" ht="15">
      <c r="A46" s="4"/>
      <c r="H46" s="66"/>
      <c r="I46" s="24"/>
      <c r="O46" s="34"/>
      <c r="P46" s="37"/>
    </row>
    <row r="47" spans="1:16" ht="15">
      <c r="A47" s="5" t="s">
        <v>2062</v>
      </c>
      <c r="C47" s="37">
        <f>SUM(C10:C45)</f>
        <v>29449799.5</v>
      </c>
      <c r="D47" s="37">
        <f>SUM(D10:D45)</f>
        <v>135966</v>
      </c>
      <c r="E47" s="37">
        <f>SUM(E10:E45)</f>
        <v>252609</v>
      </c>
      <c r="F47" s="37">
        <f>SUM(F10:F45)</f>
        <v>29061224.5</v>
      </c>
      <c r="H47" s="67">
        <f>SUM(H10:H45)</f>
        <v>629314.17000000027</v>
      </c>
      <c r="I47" s="68">
        <f>SUMIF(I10:I45,"Yes",H10:H45)</f>
        <v>583311.26000000013</v>
      </c>
      <c r="K47" s="37">
        <f>SUM(K10:K45)</f>
        <v>85268270</v>
      </c>
      <c r="L47" s="26">
        <f>K47/C47</f>
        <v>2.8953769277784049</v>
      </c>
      <c r="M47" s="26">
        <f>L47*$P$5</f>
        <v>31.165547712913973</v>
      </c>
      <c r="O47" s="34">
        <f>C47/$P$5</f>
        <v>2735978.5486673047</v>
      </c>
      <c r="P47" s="37">
        <f t="shared" si="4"/>
        <v>2699878.7149639074</v>
      </c>
    </row>
    <row r="48" spans="1:16" ht="15">
      <c r="A48" s="4"/>
    </row>
    <row r="49" spans="1:15" ht="16">
      <c r="A49" s="197" t="s">
        <v>2063</v>
      </c>
      <c r="B49" s="200"/>
      <c r="C49" s="582"/>
      <c r="D49" s="582"/>
      <c r="E49" s="582"/>
      <c r="F49" s="582"/>
      <c r="G49" s="582"/>
      <c r="H49" s="582"/>
      <c r="I49" s="582"/>
      <c r="J49" s="582"/>
      <c r="K49" s="584">
        <v>85500000</v>
      </c>
      <c r="L49" s="583"/>
      <c r="M49" s="583">
        <f>(K49/C47)*P5</f>
        <v>31.250245014401539</v>
      </c>
      <c r="N49" s="200"/>
      <c r="O49" s="200"/>
    </row>
    <row r="51" spans="1:15" ht="15">
      <c r="A51" s="4" t="s">
        <v>2064</v>
      </c>
      <c r="C51" s="37">
        <v>73056</v>
      </c>
    </row>
  </sheetData>
  <mergeCells count="4">
    <mergeCell ref="B3:H3"/>
    <mergeCell ref="B4:H4"/>
    <mergeCell ref="H6:I6"/>
    <mergeCell ref="F7:F8"/>
  </mergeCells>
  <hyperlinks>
    <hyperlink ref="K3" r:id="rId1" xr:uid="{00000000-0004-0000-3E00-000000000000}"/>
  </hyperlinks>
  <pageMargins left="0.7" right="0.7" top="0.75" bottom="0.75" header="0.3" footer="0.3"/>
  <legacy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43"/>
  <sheetViews>
    <sheetView zoomScale="80" zoomScaleNormal="80" workbookViewId="0">
      <selection activeCell="L47" sqref="L47"/>
    </sheetView>
  </sheetViews>
  <sheetFormatPr baseColWidth="10" defaultColWidth="9" defaultRowHeight="14"/>
  <cols>
    <col min="1" max="1" width="20.3984375" customWidth="1"/>
    <col min="2" max="2" width="18.59765625" customWidth="1"/>
    <col min="3" max="3" width="15.796875" customWidth="1"/>
    <col min="4" max="5" width="20" customWidth="1"/>
    <col min="6" max="6" width="17" customWidth="1"/>
    <col min="7" max="10" width="19.59765625" customWidth="1"/>
    <col min="11" max="14" width="21.19921875" customWidth="1"/>
    <col min="15" max="15" width="4.19921875" customWidth="1"/>
  </cols>
  <sheetData>
    <row r="1" spans="1:14" ht="9.75" customHeight="1"/>
    <row r="2" spans="1:14" ht="19">
      <c r="A2" s="33" t="s">
        <v>2271</v>
      </c>
    </row>
    <row r="3" spans="1:14">
      <c r="A3" t="s">
        <v>2272</v>
      </c>
    </row>
    <row r="4" spans="1:14" ht="8.25" customHeight="1" thickBot="1">
      <c r="D4" s="194"/>
      <c r="E4" s="194"/>
      <c r="F4" s="194"/>
      <c r="G4" s="194"/>
      <c r="H4" s="194"/>
      <c r="I4" s="195"/>
      <c r="J4" s="195"/>
      <c r="K4" s="195"/>
      <c r="L4" s="195"/>
    </row>
    <row r="5" spans="1:14" ht="15">
      <c r="D5" s="96" t="s">
        <v>2273</v>
      </c>
      <c r="E5" s="73"/>
      <c r="F5" s="73"/>
      <c r="G5" s="73"/>
      <c r="H5" s="73"/>
      <c r="I5" s="96" t="s">
        <v>792</v>
      </c>
      <c r="J5" s="73"/>
      <c r="K5" s="73"/>
      <c r="L5" s="73"/>
    </row>
    <row r="6" spans="1:14" ht="42" customHeight="1">
      <c r="A6" s="117" t="s">
        <v>2274</v>
      </c>
      <c r="B6" s="114" t="s">
        <v>2275</v>
      </c>
      <c r="C6" s="114" t="s">
        <v>2276</v>
      </c>
      <c r="D6" s="114" t="s">
        <v>2087</v>
      </c>
      <c r="E6" s="114" t="s">
        <v>2277</v>
      </c>
      <c r="F6" s="114" t="s">
        <v>773</v>
      </c>
      <c r="G6" s="114" t="s">
        <v>793</v>
      </c>
      <c r="H6" s="114" t="s">
        <v>2278</v>
      </c>
      <c r="I6" s="196" t="s">
        <v>466</v>
      </c>
      <c r="J6" s="196" t="s">
        <v>469</v>
      </c>
      <c r="K6" s="196" t="s">
        <v>2279</v>
      </c>
      <c r="L6" s="196" t="s">
        <v>2280</v>
      </c>
      <c r="M6" s="132" t="s">
        <v>2281</v>
      </c>
      <c r="N6" s="132" t="s">
        <v>2282</v>
      </c>
    </row>
    <row r="7" spans="1:14" ht="15">
      <c r="A7" t="s">
        <v>1934</v>
      </c>
      <c r="B7" s="2" t="s">
        <v>2056</v>
      </c>
      <c r="C7" s="95">
        <f>'K. MB Funded Enrolment'!C7</f>
        <v>1756</v>
      </c>
      <c r="D7" s="87">
        <f>'E. 17-18 FRAME Budget'!D10</f>
        <v>10490045</v>
      </c>
      <c r="E7" s="87">
        <f>'E. 17-18 FRAME Budget'!AZ10</f>
        <v>300000</v>
      </c>
      <c r="F7" s="87">
        <f>'E. 17-18 FRAME Budget'!BA10</f>
        <v>1713568</v>
      </c>
      <c r="G7" s="87">
        <f>'E. 17-18 FRAME Budget'!BB10</f>
        <v>504331</v>
      </c>
      <c r="H7" s="87">
        <f>'E. 17-18 FRAME Budget'!CG10</f>
        <v>7070870</v>
      </c>
      <c r="I7" s="374">
        <f>'E. 17-18 FRAME Budget'!R10</f>
        <v>686013</v>
      </c>
      <c r="J7" s="374">
        <f>'E. 17-18 FRAME Budget'!S10</f>
        <v>0</v>
      </c>
      <c r="K7" s="374">
        <f>'E. 17-18 FRAME Budget'!U10</f>
        <v>294500</v>
      </c>
      <c r="L7" s="374">
        <f>'E. 17-18 FRAME Budget'!V10</f>
        <v>190170</v>
      </c>
      <c r="M7" s="74">
        <f>SUM(D7:H7)-SUM(I7:L7)</f>
        <v>18908131</v>
      </c>
      <c r="N7" s="84">
        <f>M7/C7</f>
        <v>10767.728359908884</v>
      </c>
    </row>
    <row r="8" spans="1:14" ht="15">
      <c r="A8" t="s">
        <v>438</v>
      </c>
      <c r="B8" s="2" t="s">
        <v>844</v>
      </c>
      <c r="C8" s="95">
        <f>'K. MB Funded Enrolment'!C8</f>
        <v>1984.8</v>
      </c>
      <c r="D8" s="87">
        <f>'E. 17-18 FRAME Budget'!D11</f>
        <v>15139060</v>
      </c>
      <c r="E8" s="87">
        <f>'E. 17-18 FRAME Budget'!AZ11</f>
        <v>482329</v>
      </c>
      <c r="F8" s="87">
        <f>'E. 17-18 FRAME Budget'!BA11</f>
        <v>2387092</v>
      </c>
      <c r="G8" s="87">
        <f>'E. 17-18 FRAME Budget'!BB11</f>
        <v>2718987</v>
      </c>
      <c r="H8" s="87">
        <f>'E. 17-18 FRAME Budget'!CG11</f>
        <v>11789336</v>
      </c>
      <c r="I8" s="374">
        <f>'E. 17-18 FRAME Budget'!R11</f>
        <v>1285705</v>
      </c>
      <c r="J8" s="374">
        <f>'E. 17-18 FRAME Budget'!S11</f>
        <v>0</v>
      </c>
      <c r="K8" s="374">
        <f>'E. 17-18 FRAME Budget'!U11</f>
        <v>475000</v>
      </c>
      <c r="L8" s="374">
        <f>'E. 17-18 FRAME Budget'!V11</f>
        <v>390905</v>
      </c>
      <c r="M8" s="74">
        <f t="shared" ref="M8:M42" si="0">SUM(D8:H8)-SUM(I8:L8)</f>
        <v>30365194</v>
      </c>
      <c r="N8" s="84">
        <f t="shared" ref="N8:N42" si="1">M8/C8</f>
        <v>15298.868399838775</v>
      </c>
    </row>
    <row r="9" spans="1:14" ht="15">
      <c r="A9" t="s">
        <v>1935</v>
      </c>
      <c r="B9" s="2" t="s">
        <v>845</v>
      </c>
      <c r="C9" s="95">
        <f>'K. MB Funded Enrolment'!C9</f>
        <v>8327.2999999999993</v>
      </c>
      <c r="D9" s="87">
        <f>'E. 17-18 FRAME Budget'!D12</f>
        <v>49298700</v>
      </c>
      <c r="E9" s="87">
        <f>'E. 17-18 FRAME Budget'!AZ12</f>
        <v>1759700</v>
      </c>
      <c r="F9" s="87">
        <f>'E. 17-18 FRAME Budget'!BA12</f>
        <v>7618689</v>
      </c>
      <c r="G9" s="87">
        <f>'E. 17-18 FRAME Budget'!BB12</f>
        <v>1819775</v>
      </c>
      <c r="H9" s="87">
        <f>'E. 17-18 FRAME Budget'!CG12</f>
        <v>38900936</v>
      </c>
      <c r="I9" s="374">
        <f>'E. 17-18 FRAME Budget'!R12</f>
        <v>1110100</v>
      </c>
      <c r="J9" s="374">
        <f>'E. 17-18 FRAME Budget'!S12</f>
        <v>0</v>
      </c>
      <c r="K9" s="374">
        <f>'E. 17-18 FRAME Budget'!U12</f>
        <v>1220800</v>
      </c>
      <c r="L9" s="374">
        <f>'E. 17-18 FRAME Budget'!V12</f>
        <v>1288900</v>
      </c>
      <c r="M9" s="74">
        <f t="shared" si="0"/>
        <v>95778000</v>
      </c>
      <c r="N9" s="84">
        <f t="shared" si="1"/>
        <v>11501.687221548402</v>
      </c>
    </row>
    <row r="10" spans="1:14" ht="15">
      <c r="A10" t="s">
        <v>1936</v>
      </c>
      <c r="B10" s="2" t="s">
        <v>1936</v>
      </c>
      <c r="C10" s="95">
        <f>'K. MB Funded Enrolment'!C10</f>
        <v>5200.5</v>
      </c>
      <c r="D10" s="87">
        <f>'E. 17-18 FRAME Budget'!D13</f>
        <v>35065708</v>
      </c>
      <c r="E10" s="87">
        <f>'E. 17-18 FRAME Budget'!AZ13</f>
        <v>1217462</v>
      </c>
      <c r="F10" s="87">
        <f>'E. 17-18 FRAME Budget'!BA13</f>
        <v>6292588</v>
      </c>
      <c r="G10" s="87">
        <f>'E. 17-18 FRAME Budget'!BB13</f>
        <v>1960907</v>
      </c>
      <c r="H10" s="87">
        <f>'E. 17-18 FRAME Budget'!CG13</f>
        <v>24471545</v>
      </c>
      <c r="I10" s="374">
        <f>'E. 17-18 FRAME Budget'!R13</f>
        <v>3317469</v>
      </c>
      <c r="J10" s="374">
        <f>'E. 17-18 FRAME Budget'!S13</f>
        <v>0</v>
      </c>
      <c r="K10" s="374">
        <f>'E. 17-18 FRAME Budget'!U13</f>
        <v>384750</v>
      </c>
      <c r="L10" s="374">
        <f>'E. 17-18 FRAME Budget'!V13</f>
        <v>316950</v>
      </c>
      <c r="M10" s="74">
        <f t="shared" si="0"/>
        <v>64989041</v>
      </c>
      <c r="N10" s="84">
        <f t="shared" si="1"/>
        <v>12496.69089510624</v>
      </c>
    </row>
    <row r="11" spans="1:14" ht="15">
      <c r="A11" t="s">
        <v>1937</v>
      </c>
      <c r="B11" s="2" t="s">
        <v>846</v>
      </c>
      <c r="C11" s="95">
        <f>'K. MB Funded Enrolment'!C11</f>
        <v>1381.1999999999998</v>
      </c>
      <c r="D11" s="87">
        <f>'E. 17-18 FRAME Budget'!D14</f>
        <v>8122535</v>
      </c>
      <c r="E11" s="87">
        <f>'E. 17-18 FRAME Budget'!AZ14</f>
        <v>310000</v>
      </c>
      <c r="F11" s="87">
        <f>'E. 17-18 FRAME Budget'!BA14</f>
        <v>2680796</v>
      </c>
      <c r="G11" s="87">
        <f>'E. 17-18 FRAME Budget'!BB14</f>
        <v>1595317</v>
      </c>
      <c r="H11" s="87">
        <f>'E. 17-18 FRAME Budget'!CG14</f>
        <v>8143755</v>
      </c>
      <c r="I11" s="374">
        <f>'E. 17-18 FRAME Budget'!R14</f>
        <v>867082</v>
      </c>
      <c r="J11" s="374">
        <f>'E. 17-18 FRAME Budget'!S14</f>
        <v>0</v>
      </c>
      <c r="K11" s="374">
        <f>'E. 17-18 FRAME Budget'!U14</f>
        <v>346750</v>
      </c>
      <c r="L11" s="374">
        <f>'E. 17-18 FRAME Budget'!V14</f>
        <v>316950</v>
      </c>
      <c r="M11" s="74">
        <f t="shared" si="0"/>
        <v>19321621</v>
      </c>
      <c r="N11" s="84">
        <f t="shared" si="1"/>
        <v>13989.010280915149</v>
      </c>
    </row>
    <row r="12" spans="1:14" ht="15">
      <c r="A12" t="s">
        <v>1938</v>
      </c>
      <c r="B12" s="2" t="s">
        <v>1704</v>
      </c>
      <c r="C12" s="95">
        <f>'K. MB Funded Enrolment'!C12</f>
        <v>885.8</v>
      </c>
      <c r="D12" s="87">
        <f>'E. 17-18 FRAME Budget'!D15</f>
        <v>8640504</v>
      </c>
      <c r="E12" s="87">
        <f>'E. 17-18 FRAME Budget'!AZ15</f>
        <v>214364</v>
      </c>
      <c r="F12" s="87">
        <f>'E. 17-18 FRAME Budget'!BA15</f>
        <v>930388</v>
      </c>
      <c r="G12" s="87">
        <f>'E. 17-18 FRAME Budget'!BB15</f>
        <v>752713</v>
      </c>
      <c r="H12" s="87">
        <f>'E. 17-18 FRAME Budget'!CG15</f>
        <v>3284051</v>
      </c>
      <c r="I12" s="374">
        <f>'E. 17-18 FRAME Budget'!R15</f>
        <v>101929</v>
      </c>
      <c r="J12" s="374">
        <f>'E. 17-18 FRAME Budget'!S15</f>
        <v>0</v>
      </c>
      <c r="K12" s="374">
        <f>'E. 17-18 FRAME Budget'!U15</f>
        <v>280250</v>
      </c>
      <c r="L12" s="374">
        <f>'E. 17-18 FRAME Budget'!V15</f>
        <v>84520</v>
      </c>
      <c r="M12" s="74">
        <f t="shared" si="0"/>
        <v>13355321</v>
      </c>
      <c r="N12" s="84">
        <f t="shared" si="1"/>
        <v>15077.129148792053</v>
      </c>
    </row>
    <row r="13" spans="1:14" ht="15">
      <c r="A13" t="s">
        <v>440</v>
      </c>
      <c r="B13" s="2" t="s">
        <v>847</v>
      </c>
      <c r="C13" s="95">
        <f>'K. MB Funded Enrolment'!C13</f>
        <v>1322.5</v>
      </c>
      <c r="D13" s="87">
        <f>'E. 17-18 FRAME Budget'!D16</f>
        <v>7299283</v>
      </c>
      <c r="E13" s="87">
        <f>'E. 17-18 FRAME Budget'!AZ16</f>
        <v>310000</v>
      </c>
      <c r="F13" s="87">
        <f>'E. 17-18 FRAME Budget'!BA16</f>
        <v>1453747</v>
      </c>
      <c r="G13" s="87">
        <f>'E. 17-18 FRAME Budget'!BB16</f>
        <v>487785</v>
      </c>
      <c r="H13" s="87">
        <f>'E. 17-18 FRAME Budget'!CG16</f>
        <v>7740501</v>
      </c>
      <c r="I13" s="374">
        <f>'E. 17-18 FRAME Budget'!R16</f>
        <v>863833</v>
      </c>
      <c r="J13" s="374">
        <f>'E. 17-18 FRAME Budget'!S16</f>
        <v>0</v>
      </c>
      <c r="K13" s="374">
        <f>'E. 17-18 FRAME Budget'!U16</f>
        <v>342000</v>
      </c>
      <c r="L13" s="374">
        <f>'E. 17-18 FRAME Budget'!V16</f>
        <v>109876</v>
      </c>
      <c r="M13" s="74">
        <f t="shared" si="0"/>
        <v>15975607</v>
      </c>
      <c r="N13" s="84">
        <f t="shared" si="1"/>
        <v>12079.854064272211</v>
      </c>
    </row>
    <row r="14" spans="1:14" ht="15">
      <c r="A14" t="s">
        <v>441</v>
      </c>
      <c r="B14" s="2" t="s">
        <v>1463</v>
      </c>
      <c r="C14" s="95">
        <f>'K. MB Funded Enrolment'!C14</f>
        <v>2256.5</v>
      </c>
      <c r="D14" s="87">
        <f>'E. 17-18 FRAME Budget'!D17</f>
        <v>37156091</v>
      </c>
      <c r="E14" s="87">
        <f>'E. 17-18 FRAME Budget'!AZ17</f>
        <v>1200000</v>
      </c>
      <c r="F14" s="87">
        <f>'E. 17-18 FRAME Budget'!BA17</f>
        <v>527518</v>
      </c>
      <c r="G14" s="87">
        <f>'E. 17-18 FRAME Budget'!BB17</f>
        <v>318474</v>
      </c>
      <c r="H14" s="87">
        <f>'E. 17-18 FRAME Budget'!CG17</f>
        <v>3050784</v>
      </c>
      <c r="I14" s="374">
        <f>'E. 17-18 FRAME Budget'!R17</f>
        <v>1284632</v>
      </c>
      <c r="J14" s="374">
        <f>'E. 17-18 FRAME Budget'!S17</f>
        <v>420000</v>
      </c>
      <c r="K14" s="374">
        <f>'E. 17-18 FRAME Budget'!U17</f>
        <v>836000</v>
      </c>
      <c r="L14" s="374">
        <f>'E. 17-18 FRAME Budget'!V17</f>
        <v>528250</v>
      </c>
      <c r="M14" s="74">
        <f t="shared" si="0"/>
        <v>39183985</v>
      </c>
      <c r="N14" s="84">
        <f t="shared" si="1"/>
        <v>17364.939064923554</v>
      </c>
    </row>
    <row r="15" spans="1:14" ht="15">
      <c r="A15" t="s">
        <v>1939</v>
      </c>
      <c r="B15" s="2" t="s">
        <v>2058</v>
      </c>
      <c r="C15" s="95">
        <f>'K. MB Funded Enrolment'!C15</f>
        <v>4264.8999999999996</v>
      </c>
      <c r="D15" s="87">
        <f>'E. 17-18 FRAME Budget'!D18</f>
        <v>28318466</v>
      </c>
      <c r="E15" s="87">
        <f>'E. 17-18 FRAME Budget'!AZ18</f>
        <v>780000</v>
      </c>
      <c r="F15" s="87">
        <f>'E. 17-18 FRAME Budget'!BA18</f>
        <v>3296414</v>
      </c>
      <c r="G15" s="87">
        <f>'E. 17-18 FRAME Budget'!BB18</f>
        <v>646173</v>
      </c>
      <c r="H15" s="87">
        <f>'E. 17-18 FRAME Budget'!CG18</f>
        <v>15790781</v>
      </c>
      <c r="I15" s="374">
        <f>'E. 17-18 FRAME Budget'!R18</f>
        <v>1528305</v>
      </c>
      <c r="J15" s="374">
        <f>'E. 17-18 FRAME Budget'!S18</f>
        <v>0</v>
      </c>
      <c r="K15" s="374">
        <f>'E. 17-18 FRAME Budget'!U18</f>
        <v>774250</v>
      </c>
      <c r="L15" s="374">
        <f>'E. 17-18 FRAME Budget'!V18</f>
        <v>824070</v>
      </c>
      <c r="M15" s="74">
        <f t="shared" si="0"/>
        <v>45705209</v>
      </c>
      <c r="N15" s="84">
        <f t="shared" si="1"/>
        <v>10716.595699781941</v>
      </c>
    </row>
    <row r="16" spans="1:14" ht="15">
      <c r="A16" t="s">
        <v>1940</v>
      </c>
      <c r="B16" s="2" t="s">
        <v>1691</v>
      </c>
      <c r="C16" s="95">
        <f>'K. MB Funded Enrolment'!C16</f>
        <v>7630.2</v>
      </c>
      <c r="D16" s="87">
        <f>'E. 17-18 FRAME Budget'!D19</f>
        <v>50703102</v>
      </c>
      <c r="E16" s="87">
        <f>'E. 17-18 FRAME Budget'!AZ19</f>
        <v>1415500</v>
      </c>
      <c r="F16" s="87">
        <f>'E. 17-18 FRAME Budget'!BA19</f>
        <v>6323760</v>
      </c>
      <c r="G16" s="87">
        <f>'E. 17-18 FRAME Budget'!BB19</f>
        <v>1493662</v>
      </c>
      <c r="H16" s="87">
        <f>'E. 17-18 FRAME Budget'!CG19</f>
        <v>26220409</v>
      </c>
      <c r="I16" s="374">
        <f>'E. 17-18 FRAME Budget'!R19</f>
        <v>2675041</v>
      </c>
      <c r="J16" s="374">
        <f>'E. 17-18 FRAME Budget'!S19</f>
        <v>0</v>
      </c>
      <c r="K16" s="374">
        <f>'E. 17-18 FRAME Budget'!U19</f>
        <v>1444000</v>
      </c>
      <c r="L16" s="374">
        <f>'E. 17-18 FRAME Budget'!V19</f>
        <v>1320625</v>
      </c>
      <c r="M16" s="74">
        <f t="shared" si="0"/>
        <v>80716767</v>
      </c>
      <c r="N16" s="84">
        <f t="shared" si="1"/>
        <v>10578.591255799323</v>
      </c>
    </row>
    <row r="17" spans="1:14" ht="15">
      <c r="A17" t="s">
        <v>1941</v>
      </c>
      <c r="B17" s="2" t="s">
        <v>849</v>
      </c>
      <c r="C17" s="95">
        <f>'K. MB Funded Enrolment'!C17</f>
        <v>2742.1</v>
      </c>
      <c r="D17" s="87">
        <f>'E. 17-18 FRAME Budget'!D20</f>
        <v>16870579</v>
      </c>
      <c r="E17" s="87">
        <f>'E. 17-18 FRAME Budget'!AZ20</f>
        <v>590000</v>
      </c>
      <c r="F17" s="87">
        <f>'E. 17-18 FRAME Budget'!BA20</f>
        <v>3644444</v>
      </c>
      <c r="G17" s="87">
        <f>'E. 17-18 FRAME Budget'!BB20</f>
        <v>1289551</v>
      </c>
      <c r="H17" s="87">
        <f>'E. 17-18 FRAME Budget'!CG20</f>
        <v>14989005</v>
      </c>
      <c r="I17" s="374">
        <f>'E. 17-18 FRAME Budget'!R20</f>
        <v>1240261</v>
      </c>
      <c r="J17" s="374">
        <f>'E. 17-18 FRAME Budget'!S20</f>
        <v>0</v>
      </c>
      <c r="K17" s="374">
        <f>'E. 17-18 FRAME Budget'!U20</f>
        <v>527250</v>
      </c>
      <c r="L17" s="374">
        <f>'E. 17-18 FRAME Budget'!V20</f>
        <v>485990</v>
      </c>
      <c r="M17" s="74">
        <f t="shared" si="0"/>
        <v>35130078</v>
      </c>
      <c r="N17" s="84">
        <f t="shared" si="1"/>
        <v>12811.377411472959</v>
      </c>
    </row>
    <row r="18" spans="1:14" ht="15">
      <c r="A18" t="s">
        <v>1942</v>
      </c>
      <c r="B18" s="2" t="s">
        <v>850</v>
      </c>
      <c r="C18" s="95">
        <f>'K. MB Funded Enrolment'!C18</f>
        <v>1523.6</v>
      </c>
      <c r="D18" s="87">
        <f>'E. 17-18 FRAME Budget'!D21</f>
        <v>14016130</v>
      </c>
      <c r="E18" s="87">
        <f>'E. 17-18 FRAME Budget'!AZ21</f>
        <v>340000</v>
      </c>
      <c r="F18" s="87">
        <f>'E. 17-18 FRAME Budget'!BA21</f>
        <v>1158902</v>
      </c>
      <c r="G18" s="87">
        <f>'E. 17-18 FRAME Budget'!BB21</f>
        <v>309407</v>
      </c>
      <c r="H18" s="87">
        <f>'E. 17-18 FRAME Budget'!CG21</f>
        <v>3694429</v>
      </c>
      <c r="I18" s="374">
        <f>'E. 17-18 FRAME Budget'!R21</f>
        <v>287231</v>
      </c>
      <c r="J18" s="374">
        <f>'E. 17-18 FRAME Budget'!S21</f>
        <v>0</v>
      </c>
      <c r="K18" s="374">
        <f>'E. 17-18 FRAME Budget'!U21</f>
        <v>456000</v>
      </c>
      <c r="L18" s="374">
        <f>'E. 17-18 FRAME Budget'!V21</f>
        <v>274690</v>
      </c>
      <c r="M18" s="74">
        <f t="shared" si="0"/>
        <v>18500947</v>
      </c>
      <c r="N18" s="84">
        <f t="shared" si="1"/>
        <v>12142.916119716461</v>
      </c>
    </row>
    <row r="19" spans="1:14" ht="15">
      <c r="A19" t="s">
        <v>442</v>
      </c>
      <c r="B19" s="2" t="s">
        <v>851</v>
      </c>
      <c r="C19" s="95">
        <f>'K. MB Funded Enrolment'!C19</f>
        <v>992.5</v>
      </c>
      <c r="D19" s="87">
        <f>'E. 17-18 FRAME Budget'!D22</f>
        <v>9563297</v>
      </c>
      <c r="E19" s="87">
        <f>'E. 17-18 FRAME Budget'!AZ22</f>
        <v>250000</v>
      </c>
      <c r="F19" s="87">
        <f>'E. 17-18 FRAME Budget'!BA22</f>
        <v>1071996</v>
      </c>
      <c r="G19" s="87">
        <f>'E. 17-18 FRAME Budget'!BB22</f>
        <v>440073</v>
      </c>
      <c r="H19" s="87">
        <f>'E. 17-18 FRAME Budget'!CG22</f>
        <v>3691647</v>
      </c>
      <c r="I19" s="374">
        <f>'E. 17-18 FRAME Budget'!R22</f>
        <v>930757</v>
      </c>
      <c r="J19" s="374">
        <f>'E. 17-18 FRAME Budget'!S22</f>
        <v>0</v>
      </c>
      <c r="K19" s="374">
        <f>'E. 17-18 FRAME Budget'!U22</f>
        <v>304000</v>
      </c>
      <c r="L19" s="374">
        <f>'E. 17-18 FRAME Budget'!V22</f>
        <v>253560</v>
      </c>
      <c r="M19" s="74">
        <f t="shared" si="0"/>
        <v>13528696</v>
      </c>
      <c r="N19" s="84">
        <f t="shared" si="1"/>
        <v>13630.927959697732</v>
      </c>
    </row>
    <row r="20" spans="1:14" ht="15">
      <c r="A20" t="s">
        <v>443</v>
      </c>
      <c r="B20" s="2" t="s">
        <v>1384</v>
      </c>
      <c r="C20" s="95">
        <f>'K. MB Funded Enrolment'!C20</f>
        <v>3862.8</v>
      </c>
      <c r="D20" s="87">
        <f>'E. 17-18 FRAME Budget'!D23</f>
        <v>23593123</v>
      </c>
      <c r="E20" s="87">
        <f>'E. 17-18 FRAME Budget'!AZ23</f>
        <v>900000</v>
      </c>
      <c r="F20" s="87">
        <f>'E. 17-18 FRAME Budget'!BA23</f>
        <v>5882894</v>
      </c>
      <c r="G20" s="87">
        <f>'E. 17-18 FRAME Budget'!BB23</f>
        <v>2692903</v>
      </c>
      <c r="H20" s="87">
        <f>'E. 17-18 FRAME Budget'!CG23</f>
        <v>24042895</v>
      </c>
      <c r="I20" s="374">
        <f>'E. 17-18 FRAME Budget'!R23</f>
        <v>1668152</v>
      </c>
      <c r="J20" s="374">
        <f>'E. 17-18 FRAME Budget'!S23</f>
        <v>0</v>
      </c>
      <c r="K20" s="374">
        <f>'E. 17-18 FRAME Budget'!U23</f>
        <v>950000</v>
      </c>
      <c r="L20" s="374">
        <f>'E. 17-18 FRAME Budget'!V23</f>
        <v>676160</v>
      </c>
      <c r="M20" s="74">
        <f t="shared" si="0"/>
        <v>53817503</v>
      </c>
      <c r="N20" s="84">
        <f t="shared" si="1"/>
        <v>13932.251993372682</v>
      </c>
    </row>
    <row r="21" spans="1:14" ht="15">
      <c r="A21" t="s">
        <v>1943</v>
      </c>
      <c r="B21" s="2" t="s">
        <v>852</v>
      </c>
      <c r="C21" s="95">
        <f>'K. MB Funded Enrolment'!C21</f>
        <v>14049.5</v>
      </c>
      <c r="D21" s="87">
        <f>'E. 17-18 FRAME Budget'!D24</f>
        <v>75518746</v>
      </c>
      <c r="E21" s="87">
        <f>'E. 17-18 FRAME Budget'!AZ24</f>
        <v>2934970</v>
      </c>
      <c r="F21" s="87">
        <f>'E. 17-18 FRAME Budget'!BA24</f>
        <v>22097881</v>
      </c>
      <c r="G21" s="87">
        <f>'E. 17-18 FRAME Budget'!BB24</f>
        <v>5812672</v>
      </c>
      <c r="H21" s="87">
        <f>'E. 17-18 FRAME Budget'!CG24</f>
        <v>71653987</v>
      </c>
      <c r="I21" s="374">
        <f>'E. 17-18 FRAME Budget'!R24</f>
        <v>1307589</v>
      </c>
      <c r="J21" s="374">
        <f>'E. 17-18 FRAME Budget'!S24</f>
        <v>0</v>
      </c>
      <c r="K21" s="374">
        <f>'E. 17-18 FRAME Budget'!U24</f>
        <v>3252000</v>
      </c>
      <c r="L21" s="374">
        <f>'E. 17-18 FRAME Budget'!V24</f>
        <v>4606340</v>
      </c>
      <c r="M21" s="74">
        <f t="shared" si="0"/>
        <v>168852327</v>
      </c>
      <c r="N21" s="84">
        <f t="shared" si="1"/>
        <v>12018.386917683903</v>
      </c>
    </row>
    <row r="22" spans="1:14" ht="15">
      <c r="A22" t="s">
        <v>444</v>
      </c>
      <c r="B22" s="2" t="s">
        <v>853</v>
      </c>
      <c r="C22" s="95">
        <f>'K. MB Funded Enrolment'!C22</f>
        <v>2903.2</v>
      </c>
      <c r="D22" s="87">
        <f>'E. 17-18 FRAME Budget'!D25</f>
        <v>21848787</v>
      </c>
      <c r="E22" s="87">
        <f>'E. 17-18 FRAME Budget'!AZ25</f>
        <v>617600</v>
      </c>
      <c r="F22" s="87">
        <f>'E. 17-18 FRAME Budget'!BA25</f>
        <v>3545601</v>
      </c>
      <c r="G22" s="87">
        <f>'E. 17-18 FRAME Budget'!BB25</f>
        <v>690360</v>
      </c>
      <c r="H22" s="87">
        <f>'E. 17-18 FRAME Budget'!CG25</f>
        <v>12742577</v>
      </c>
      <c r="I22" s="374">
        <f>'E. 17-18 FRAME Budget'!R25</f>
        <v>1639685</v>
      </c>
      <c r="J22" s="374">
        <f>'E. 17-18 FRAME Budget'!S25</f>
        <v>0</v>
      </c>
      <c r="K22" s="374">
        <f>'E. 17-18 FRAME Budget'!U25</f>
        <v>541500</v>
      </c>
      <c r="L22" s="374">
        <f>'E. 17-18 FRAME Budget'!V25</f>
        <v>253560</v>
      </c>
      <c r="M22" s="74">
        <f t="shared" si="0"/>
        <v>37010180</v>
      </c>
      <c r="N22" s="84">
        <f t="shared" si="1"/>
        <v>12748.064205015156</v>
      </c>
    </row>
    <row r="23" spans="1:14" ht="15">
      <c r="A23" t="s">
        <v>1944</v>
      </c>
      <c r="B23" s="2" t="s">
        <v>854</v>
      </c>
      <c r="C23" s="95">
        <f>'K. MB Funded Enrolment'!C23</f>
        <v>2925.8</v>
      </c>
      <c r="D23" s="87">
        <f>'E. 17-18 FRAME Budget'!D26</f>
        <v>31284826</v>
      </c>
      <c r="E23" s="87">
        <f>'E. 17-18 FRAME Budget'!AZ26</f>
        <v>635000</v>
      </c>
      <c r="F23" s="87">
        <f>'E. 17-18 FRAME Budget'!BA26</f>
        <v>1713825</v>
      </c>
      <c r="G23" s="87">
        <f>'E. 17-18 FRAME Budget'!BB26</f>
        <v>1057113</v>
      </c>
      <c r="H23" s="87">
        <f>'E. 17-18 FRAME Budget'!CG26</f>
        <v>8468295</v>
      </c>
      <c r="I23" s="374">
        <f>'E. 17-18 FRAME Budget'!R26</f>
        <v>89547</v>
      </c>
      <c r="J23" s="374">
        <f>'E. 17-18 FRAME Budget'!S26</f>
        <v>0</v>
      </c>
      <c r="K23" s="374">
        <f>'E. 17-18 FRAME Budget'!U26</f>
        <v>684000</v>
      </c>
      <c r="L23" s="374">
        <f>'E. 17-18 FRAME Budget'!V26</f>
        <v>887460</v>
      </c>
      <c r="M23" s="74">
        <f t="shared" si="0"/>
        <v>41498052</v>
      </c>
      <c r="N23" s="84">
        <f t="shared" si="1"/>
        <v>14183.488960284365</v>
      </c>
    </row>
    <row r="24" spans="1:14" ht="15">
      <c r="A24" t="s">
        <v>450</v>
      </c>
      <c r="B24" s="2" t="s">
        <v>1454</v>
      </c>
      <c r="C24" s="95">
        <f>'K. MB Funded Enrolment'!C24</f>
        <v>1490.5</v>
      </c>
      <c r="D24" s="87">
        <f>'E. 17-18 FRAME Budget'!D27</f>
        <v>10535279</v>
      </c>
      <c r="E24" s="87">
        <f>'E. 17-18 FRAME Budget'!AZ27</f>
        <v>400000</v>
      </c>
      <c r="F24" s="87">
        <f>'E. 17-18 FRAME Budget'!BA27</f>
        <v>1647474</v>
      </c>
      <c r="G24" s="87">
        <f>'E. 17-18 FRAME Budget'!BB27</f>
        <v>792657</v>
      </c>
      <c r="H24" s="87">
        <f>'E. 17-18 FRAME Budget'!CG27</f>
        <v>7849228</v>
      </c>
      <c r="I24" s="374">
        <f>'E. 17-18 FRAME Budget'!R27</f>
        <v>1226359</v>
      </c>
      <c r="J24" s="374">
        <f>'E. 17-18 FRAME Budget'!S27</f>
        <v>0</v>
      </c>
      <c r="K24" s="374">
        <f>'E. 17-18 FRAME Budget'!U27</f>
        <v>266000</v>
      </c>
      <c r="L24" s="374">
        <f>'E. 17-18 FRAME Budget'!V27</f>
        <v>162701</v>
      </c>
      <c r="M24" s="74">
        <f t="shared" si="0"/>
        <v>19569578</v>
      </c>
      <c r="N24" s="84">
        <f t="shared" si="1"/>
        <v>13129.539080845354</v>
      </c>
    </row>
    <row r="25" spans="1:14" ht="15">
      <c r="A25" t="s">
        <v>1945</v>
      </c>
      <c r="B25" s="2" t="s">
        <v>868</v>
      </c>
      <c r="C25" s="95">
        <f>'K. MB Funded Enrolment'!C25</f>
        <v>12895</v>
      </c>
      <c r="D25" s="87">
        <f>'E. 17-18 FRAME Budget'!D28</f>
        <v>53154527</v>
      </c>
      <c r="E25" s="87">
        <f>'E. 17-18 FRAME Budget'!AZ28</f>
        <v>2617000</v>
      </c>
      <c r="F25" s="87">
        <f>'E. 17-18 FRAME Budget'!BA28</f>
        <v>21216523</v>
      </c>
      <c r="G25" s="87">
        <f>'E. 17-18 FRAME Budget'!BB28</f>
        <v>4798982</v>
      </c>
      <c r="H25" s="87">
        <f>'E. 17-18 FRAME Budget'!CG28</f>
        <v>81157025</v>
      </c>
      <c r="I25" s="374">
        <f>'E. 17-18 FRAME Budget'!R28</f>
        <v>1061367</v>
      </c>
      <c r="J25" s="374">
        <f>'E. 17-18 FRAME Budget'!S28</f>
        <v>0</v>
      </c>
      <c r="K25" s="374">
        <f>'E. 17-18 FRAME Budget'!U28</f>
        <v>2584000</v>
      </c>
      <c r="L25" s="374">
        <f>'E. 17-18 FRAME Budget'!V28</f>
        <v>3053285</v>
      </c>
      <c r="M25" s="74">
        <f t="shared" si="0"/>
        <v>156245405</v>
      </c>
      <c r="N25" s="84">
        <f t="shared" si="1"/>
        <v>12116.743311360993</v>
      </c>
    </row>
    <row r="26" spans="1:14" ht="15">
      <c r="A26" t="s">
        <v>1946</v>
      </c>
      <c r="B26" s="2" t="s">
        <v>1645</v>
      </c>
      <c r="C26" s="95">
        <f>'K. MB Funded Enrolment'!C26</f>
        <v>990</v>
      </c>
      <c r="D26" s="87">
        <f>'E. 17-18 FRAME Budget'!D29</f>
        <v>7426118</v>
      </c>
      <c r="E26" s="87">
        <f>'E. 17-18 FRAME Budget'!AZ29</f>
        <v>237220</v>
      </c>
      <c r="F26" s="87">
        <f>'E. 17-18 FRAME Budget'!BA29</f>
        <v>1024857</v>
      </c>
      <c r="G26" s="87">
        <f>'E. 17-18 FRAME Budget'!BB29</f>
        <v>331543</v>
      </c>
      <c r="H26" s="87">
        <f>'E. 17-18 FRAME Budget'!CG29</f>
        <v>6330497</v>
      </c>
      <c r="I26" s="374">
        <f>'E. 17-18 FRAME Budget'!R29</f>
        <v>650755</v>
      </c>
      <c r="J26" s="374">
        <f>'E. 17-18 FRAME Budget'!S29</f>
        <v>0</v>
      </c>
      <c r="K26" s="374">
        <f>'E. 17-18 FRAME Budget'!U29</f>
        <v>199500</v>
      </c>
      <c r="L26" s="374">
        <f>'E. 17-18 FRAME Budget'!V29</f>
        <v>253560</v>
      </c>
      <c r="M26" s="74">
        <f t="shared" si="0"/>
        <v>14246420</v>
      </c>
      <c r="N26" s="84">
        <f t="shared" si="1"/>
        <v>14390.323232323231</v>
      </c>
    </row>
    <row r="27" spans="1:14" ht="15">
      <c r="A27" t="s">
        <v>451</v>
      </c>
      <c r="B27" s="2" t="s">
        <v>856</v>
      </c>
      <c r="C27" s="95">
        <f>'K. MB Funded Enrolment'!C27</f>
        <v>3120.5</v>
      </c>
      <c r="D27" s="87">
        <f>'E. 17-18 FRAME Budget'!D30</f>
        <v>19011271</v>
      </c>
      <c r="E27" s="87">
        <f>'E. 17-18 FRAME Budget'!AZ30</f>
        <v>601597</v>
      </c>
      <c r="F27" s="87">
        <f>'E. 17-18 FRAME Budget'!BA30</f>
        <v>3268418</v>
      </c>
      <c r="G27" s="87">
        <f>'E. 17-18 FRAME Budget'!BB30</f>
        <v>520366</v>
      </c>
      <c r="H27" s="87">
        <f>'E. 17-18 FRAME Budget'!CG30</f>
        <v>14787229</v>
      </c>
      <c r="I27" s="374">
        <f>'E. 17-18 FRAME Budget'!R30</f>
        <v>827399</v>
      </c>
      <c r="J27" s="374">
        <f>'E. 17-18 FRAME Budget'!S30</f>
        <v>0</v>
      </c>
      <c r="K27" s="374">
        <f>'E. 17-18 FRAME Budget'!U30</f>
        <v>831250</v>
      </c>
      <c r="L27" s="374">
        <f>'E. 17-18 FRAME Budget'!V30</f>
        <v>644465</v>
      </c>
      <c r="M27" s="74">
        <f t="shared" si="0"/>
        <v>35885767</v>
      </c>
      <c r="N27" s="84">
        <f t="shared" si="1"/>
        <v>11500.005447844896</v>
      </c>
    </row>
    <row r="28" spans="1:14" ht="15">
      <c r="A28" t="s">
        <v>1947</v>
      </c>
      <c r="B28" s="2" t="s">
        <v>1594</v>
      </c>
      <c r="C28" s="95">
        <f>'K. MB Funded Enrolment'!C28</f>
        <v>2151.1999999999998</v>
      </c>
      <c r="D28" s="87">
        <f>'E. 17-18 FRAME Budget'!D31</f>
        <v>12641580</v>
      </c>
      <c r="E28" s="87">
        <f>'E. 17-18 FRAME Budget'!AZ31</f>
        <v>420000</v>
      </c>
      <c r="F28" s="87">
        <f>'E. 17-18 FRAME Budget'!BA31</f>
        <v>2423825</v>
      </c>
      <c r="G28" s="87">
        <f>'E. 17-18 FRAME Budget'!BB31</f>
        <v>1122332</v>
      </c>
      <c r="H28" s="87">
        <f>'E. 17-18 FRAME Budget'!CG31</f>
        <v>13890617</v>
      </c>
      <c r="I28" s="374">
        <f>'E. 17-18 FRAME Budget'!R31</f>
        <v>1276528</v>
      </c>
      <c r="J28" s="374">
        <f>'E. 17-18 FRAME Budget'!S31</f>
        <v>0</v>
      </c>
      <c r="K28" s="374">
        <f>'E. 17-18 FRAME Budget'!U31</f>
        <v>313500</v>
      </c>
      <c r="L28" s="374">
        <f>'E. 17-18 FRAME Budget'!V31</f>
        <v>264125</v>
      </c>
      <c r="M28" s="74">
        <f t="shared" si="0"/>
        <v>28644201</v>
      </c>
      <c r="N28" s="84">
        <f t="shared" si="1"/>
        <v>13315.452305689849</v>
      </c>
    </row>
    <row r="29" spans="1:14" ht="15">
      <c r="A29" t="s">
        <v>445</v>
      </c>
      <c r="B29" s="2" t="s">
        <v>1573</v>
      </c>
      <c r="C29" s="95">
        <f>'K. MB Funded Enrolment'!C29</f>
        <v>1991.7</v>
      </c>
      <c r="D29" s="87">
        <f>'E. 17-18 FRAME Budget'!D32</f>
        <v>13870543</v>
      </c>
      <c r="E29" s="87">
        <f>'E. 17-18 FRAME Budget'!AZ32</f>
        <v>425000</v>
      </c>
      <c r="F29" s="87">
        <f>'E. 17-18 FRAME Budget'!BA32</f>
        <v>1866457</v>
      </c>
      <c r="G29" s="87">
        <f>'E. 17-18 FRAME Budget'!BB32</f>
        <v>815100</v>
      </c>
      <c r="H29" s="87">
        <f>'E. 17-18 FRAME Budget'!CG32</f>
        <v>11176127</v>
      </c>
      <c r="I29" s="374">
        <f>'E. 17-18 FRAME Budget'!R32</f>
        <v>1439199</v>
      </c>
      <c r="J29" s="374">
        <f>'E. 17-18 FRAME Budget'!S32</f>
        <v>0</v>
      </c>
      <c r="K29" s="374">
        <f>'E. 17-18 FRAME Budget'!U32</f>
        <v>304000</v>
      </c>
      <c r="L29" s="374">
        <f>'E. 17-18 FRAME Budget'!V32</f>
        <v>338080</v>
      </c>
      <c r="M29" s="74">
        <f t="shared" si="0"/>
        <v>26071948</v>
      </c>
      <c r="N29" s="84">
        <f t="shared" si="1"/>
        <v>13090.298739770045</v>
      </c>
    </row>
    <row r="30" spans="1:14" ht="15">
      <c r="A30" t="s">
        <v>1948</v>
      </c>
      <c r="B30" s="2" t="s">
        <v>857</v>
      </c>
      <c r="C30" s="95">
        <f>'K. MB Funded Enrolment'!C30</f>
        <v>2040.9</v>
      </c>
      <c r="D30" s="87">
        <f>'E. 17-18 FRAME Budget'!D33</f>
        <v>12322154</v>
      </c>
      <c r="E30" s="87">
        <f>'E. 17-18 FRAME Budget'!AZ33</f>
        <v>493853</v>
      </c>
      <c r="F30" s="87">
        <f>'E. 17-18 FRAME Budget'!BA33</f>
        <v>2186593</v>
      </c>
      <c r="G30" s="87">
        <f>'E. 17-18 FRAME Budget'!BB33</f>
        <v>695550</v>
      </c>
      <c r="H30" s="87">
        <f>'E. 17-18 FRAME Budget'!CG33</f>
        <v>14442873</v>
      </c>
      <c r="I30" s="374">
        <f>'E. 17-18 FRAME Budget'!R33</f>
        <v>1458370</v>
      </c>
      <c r="J30" s="374">
        <f>'E. 17-18 FRAME Budget'!S33</f>
        <v>0</v>
      </c>
      <c r="K30" s="374">
        <f>'E. 17-18 FRAME Budget'!U33</f>
        <v>551000</v>
      </c>
      <c r="L30" s="374">
        <f>'E. 17-18 FRAME Budget'!V33</f>
        <v>485990</v>
      </c>
      <c r="M30" s="74">
        <f t="shared" si="0"/>
        <v>27645663</v>
      </c>
      <c r="N30" s="84">
        <f t="shared" si="1"/>
        <v>13545.819491400853</v>
      </c>
    </row>
    <row r="31" spans="1:14" ht="15">
      <c r="A31" t="s">
        <v>1949</v>
      </c>
      <c r="B31" s="2" t="s">
        <v>1388</v>
      </c>
      <c r="C31" s="95">
        <f>'K. MB Funded Enrolment'!C31</f>
        <v>15492</v>
      </c>
      <c r="D31" s="87">
        <f>'E. 17-18 FRAME Budget'!D34</f>
        <v>91224574</v>
      </c>
      <c r="E31" s="87">
        <f>'E. 17-18 FRAME Budget'!AZ34</f>
        <v>3050000</v>
      </c>
      <c r="F31" s="87">
        <f>'E. 17-18 FRAME Budget'!BA34</f>
        <v>23672314</v>
      </c>
      <c r="G31" s="87">
        <f>'E. 17-18 FRAME Budget'!BB34</f>
        <v>1467553</v>
      </c>
      <c r="H31" s="87">
        <f>'E. 17-18 FRAME Budget'!CG34</f>
        <v>64938157</v>
      </c>
      <c r="I31" s="374">
        <f>'E. 17-18 FRAME Budget'!R34</f>
        <v>1804403</v>
      </c>
      <c r="J31" s="374">
        <f>'E. 17-18 FRAME Budget'!S34</f>
        <v>0</v>
      </c>
      <c r="K31" s="374">
        <f>'E. 17-18 FRAME Budget'!U34</f>
        <v>3842750</v>
      </c>
      <c r="L31" s="374">
        <f>'E. 17-18 FRAME Budget'!V34</f>
        <v>4226000</v>
      </c>
      <c r="M31" s="74">
        <f t="shared" si="0"/>
        <v>174479445</v>
      </c>
      <c r="N31" s="84">
        <f t="shared" si="1"/>
        <v>11262.551316808676</v>
      </c>
    </row>
    <row r="32" spans="1:14" ht="15">
      <c r="A32" t="s">
        <v>446</v>
      </c>
      <c r="B32" s="2" t="s">
        <v>1666</v>
      </c>
      <c r="C32" s="95">
        <f>'K. MB Funded Enrolment'!C32</f>
        <v>1553.1</v>
      </c>
      <c r="D32" s="87">
        <f>'E. 17-18 FRAME Budget'!D35</f>
        <v>9996252</v>
      </c>
      <c r="E32" s="87">
        <f>'E. 17-18 FRAME Budget'!AZ35</f>
        <v>373000</v>
      </c>
      <c r="F32" s="87">
        <f>'E. 17-18 FRAME Budget'!BA35</f>
        <v>2143425</v>
      </c>
      <c r="G32" s="87">
        <f>'E. 17-18 FRAME Budget'!BB35</f>
        <v>762460</v>
      </c>
      <c r="H32" s="87">
        <f>'E. 17-18 FRAME Budget'!CG35</f>
        <v>9618313</v>
      </c>
      <c r="I32" s="374">
        <f>'E. 17-18 FRAME Budget'!R35</f>
        <v>854613</v>
      </c>
      <c r="J32" s="374">
        <f>'E. 17-18 FRAME Budget'!S35</f>
        <v>0</v>
      </c>
      <c r="K32" s="374">
        <f>'E. 17-18 FRAME Budget'!U35</f>
        <v>275500</v>
      </c>
      <c r="L32" s="374">
        <f>'E. 17-18 FRAME Budget'!V35</f>
        <v>105650</v>
      </c>
      <c r="M32" s="74">
        <f t="shared" si="0"/>
        <v>21657687</v>
      </c>
      <c r="N32" s="84">
        <f t="shared" si="1"/>
        <v>13944.811666988604</v>
      </c>
    </row>
    <row r="33" spans="1:14" ht="15">
      <c r="A33" t="s">
        <v>1950</v>
      </c>
      <c r="B33" s="2" t="s">
        <v>1484</v>
      </c>
      <c r="C33" s="95">
        <f>'K. MB Funded Enrolment'!C33</f>
        <v>4185</v>
      </c>
      <c r="D33" s="87">
        <f>'E. 17-18 FRAME Budget'!D36</f>
        <v>28817187</v>
      </c>
      <c r="E33" s="87">
        <f>'E. 17-18 FRAME Budget'!AZ36</f>
        <v>750000</v>
      </c>
      <c r="F33" s="87">
        <f>'E. 17-18 FRAME Budget'!BA36</f>
        <v>4787917</v>
      </c>
      <c r="G33" s="87">
        <f>'E. 17-18 FRAME Budget'!BB36</f>
        <v>2061521</v>
      </c>
      <c r="H33" s="87">
        <f>'E. 17-18 FRAME Budget'!CG36</f>
        <v>16176562</v>
      </c>
      <c r="I33" s="374">
        <f>'E. 17-18 FRAME Budget'!R36</f>
        <v>1845530</v>
      </c>
      <c r="J33" s="374">
        <f>'E. 17-18 FRAME Budget'!S36</f>
        <v>0</v>
      </c>
      <c r="K33" s="374">
        <f>'E. 17-18 FRAME Budget'!U36</f>
        <v>1121000</v>
      </c>
      <c r="L33" s="374">
        <f>'E. 17-18 FRAME Budget'!V36</f>
        <v>824070</v>
      </c>
      <c r="M33" s="74">
        <f t="shared" si="0"/>
        <v>48802587</v>
      </c>
      <c r="N33" s="84">
        <f t="shared" si="1"/>
        <v>11661.31111111111</v>
      </c>
    </row>
    <row r="34" spans="1:14" ht="15">
      <c r="A34" t="s">
        <v>1951</v>
      </c>
      <c r="B34" s="2" t="s">
        <v>862</v>
      </c>
      <c r="C34" s="95">
        <f>'K. MB Funded Enrolment'!C34</f>
        <v>10891.8</v>
      </c>
      <c r="D34" s="87">
        <f>'E. 17-18 FRAME Budget'!D37</f>
        <v>74960328</v>
      </c>
      <c r="E34" s="87">
        <f>'E. 17-18 FRAME Budget'!AZ37</f>
        <v>2200000</v>
      </c>
      <c r="F34" s="87">
        <f>'E. 17-18 FRAME Budget'!BA37</f>
        <v>12601165</v>
      </c>
      <c r="G34" s="87">
        <f>'E. 17-18 FRAME Budget'!BB37</f>
        <v>5351643</v>
      </c>
      <c r="H34" s="87">
        <f>'E. 17-18 FRAME Budget'!CG37</f>
        <v>42844760</v>
      </c>
      <c r="I34" s="374">
        <f>'E. 17-18 FRAME Budget'!R37</f>
        <v>1107723</v>
      </c>
      <c r="J34" s="374">
        <f>'E. 17-18 FRAME Budget'!S37</f>
        <v>0</v>
      </c>
      <c r="K34" s="374">
        <f>'E. 17-18 FRAME Budget'!U37</f>
        <v>2141300</v>
      </c>
      <c r="L34" s="374">
        <f>'E. 17-18 FRAME Budget'!V37</f>
        <v>3209647</v>
      </c>
      <c r="M34" s="74">
        <f t="shared" si="0"/>
        <v>131499226</v>
      </c>
      <c r="N34" s="84">
        <f t="shared" si="1"/>
        <v>12073.231789052315</v>
      </c>
    </row>
    <row r="35" spans="1:14" ht="15">
      <c r="A35" t="s">
        <v>1952</v>
      </c>
      <c r="B35" s="2" t="s">
        <v>2059</v>
      </c>
      <c r="C35" s="95">
        <f>'K. MB Funded Enrolment'!C35</f>
        <v>1501.4</v>
      </c>
      <c r="D35" s="87">
        <f>'E. 17-18 FRAME Budget'!D38</f>
        <v>8995081</v>
      </c>
      <c r="E35" s="87">
        <f>'E. 17-18 FRAME Budget'!AZ38</f>
        <v>350000</v>
      </c>
      <c r="F35" s="87">
        <f>'E. 17-18 FRAME Budget'!BA38</f>
        <v>1729057</v>
      </c>
      <c r="G35" s="87">
        <f>'E. 17-18 FRAME Budget'!BB38</f>
        <v>758456</v>
      </c>
      <c r="H35" s="87">
        <f>'E. 17-18 FRAME Budget'!CG38</f>
        <v>11188806</v>
      </c>
      <c r="I35" s="374">
        <f>'E. 17-18 FRAME Budget'!R38</f>
        <v>1097779</v>
      </c>
      <c r="J35" s="374">
        <f>'E. 17-18 FRAME Budget'!S38</f>
        <v>0</v>
      </c>
      <c r="K35" s="374">
        <f>'E. 17-18 FRAME Budget'!U38</f>
        <v>209000</v>
      </c>
      <c r="L35" s="374">
        <f>'E. 17-18 FRAME Budget'!V38</f>
        <v>158475</v>
      </c>
      <c r="M35" s="74">
        <f t="shared" si="0"/>
        <v>21556146</v>
      </c>
      <c r="N35" s="84">
        <f t="shared" si="1"/>
        <v>14357.36379379246</v>
      </c>
    </row>
    <row r="36" spans="1:14" ht="15">
      <c r="A36" t="s">
        <v>1304</v>
      </c>
      <c r="B36" s="2" t="s">
        <v>1405</v>
      </c>
      <c r="C36" s="95">
        <f>'K. MB Funded Enrolment'!C36</f>
        <v>7987.5</v>
      </c>
      <c r="D36" s="87">
        <f>'E. 17-18 FRAME Budget'!D39</f>
        <v>38210348</v>
      </c>
      <c r="E36" s="87">
        <f>'E. 17-18 FRAME Budget'!AZ39</f>
        <v>1781130</v>
      </c>
      <c r="F36" s="87">
        <f>'E. 17-18 FRAME Budget'!BA39</f>
        <v>12937685</v>
      </c>
      <c r="G36" s="87">
        <f>'E. 17-18 FRAME Budget'!BB39</f>
        <v>3435747</v>
      </c>
      <c r="H36" s="87">
        <f>'E. 17-18 FRAME Budget'!CG39</f>
        <v>47852773</v>
      </c>
      <c r="I36" s="374">
        <f>'E. 17-18 FRAME Budget'!R39</f>
        <v>712037</v>
      </c>
      <c r="J36" s="374">
        <f>'E. 17-18 FRAME Budget'!S39</f>
        <v>0</v>
      </c>
      <c r="K36" s="374">
        <f>'E. 17-18 FRAME Budget'!U39</f>
        <v>2417750</v>
      </c>
      <c r="L36" s="374">
        <f>'E. 17-18 FRAME Budget'!V39</f>
        <v>1870005</v>
      </c>
      <c r="M36" s="74">
        <f t="shared" si="0"/>
        <v>99217891</v>
      </c>
      <c r="N36" s="84">
        <f t="shared" si="1"/>
        <v>12421.645195618154</v>
      </c>
    </row>
    <row r="37" spans="1:14" ht="15">
      <c r="A37" t="s">
        <v>447</v>
      </c>
      <c r="B37" s="2" t="s">
        <v>864</v>
      </c>
      <c r="C37" s="95">
        <f>'K. MB Funded Enrolment'!C37</f>
        <v>4391</v>
      </c>
      <c r="D37" s="87">
        <f>'E. 17-18 FRAME Budget'!D40</f>
        <v>25183191</v>
      </c>
      <c r="E37" s="87">
        <f>'E. 17-18 FRAME Budget'!AZ40</f>
        <v>1010663</v>
      </c>
      <c r="F37" s="87">
        <f>'E. 17-18 FRAME Budget'!BA40</f>
        <v>6977900</v>
      </c>
      <c r="G37" s="87">
        <f>'E. 17-18 FRAME Budget'!BB40</f>
        <v>2921960</v>
      </c>
      <c r="H37" s="87">
        <f>'E. 17-18 FRAME Budget'!CG40</f>
        <v>28233480</v>
      </c>
      <c r="I37" s="374">
        <f>'E. 17-18 FRAME Budget'!R40</f>
        <v>2889392</v>
      </c>
      <c r="J37" s="374">
        <f>'E. 17-18 FRAME Budget'!S40</f>
        <v>0</v>
      </c>
      <c r="K37" s="374">
        <f>'E. 17-18 FRAME Budget'!U40</f>
        <v>940500</v>
      </c>
      <c r="L37" s="374">
        <f>'E. 17-18 FRAME Budget'!V40</f>
        <v>1225540</v>
      </c>
      <c r="M37" s="74">
        <f t="shared" si="0"/>
        <v>59271762</v>
      </c>
      <c r="N37" s="84">
        <f t="shared" si="1"/>
        <v>13498.465497608746</v>
      </c>
    </row>
    <row r="38" spans="1:14" ht="15">
      <c r="A38" t="s">
        <v>1953</v>
      </c>
      <c r="B38" s="2" t="s">
        <v>865</v>
      </c>
      <c r="C38" s="95">
        <f>'K. MB Funded Enrolment'!C38</f>
        <v>1343.6</v>
      </c>
      <c r="D38" s="87">
        <f>'E. 17-18 FRAME Budget'!D41</f>
        <v>11534635</v>
      </c>
      <c r="E38" s="87">
        <f>'E. 17-18 FRAME Budget'!AZ41</f>
        <v>312500</v>
      </c>
      <c r="F38" s="87">
        <f>'E. 17-18 FRAME Budget'!BA41</f>
        <v>1567182</v>
      </c>
      <c r="G38" s="87">
        <f>'E. 17-18 FRAME Budget'!BB41</f>
        <v>1056497</v>
      </c>
      <c r="H38" s="87">
        <f>'E. 17-18 FRAME Budget'!CG41</f>
        <v>6217082</v>
      </c>
      <c r="I38" s="374">
        <f>'E. 17-18 FRAME Budget'!R41</f>
        <v>1020928</v>
      </c>
      <c r="J38" s="374">
        <f>'E. 17-18 FRAME Budget'!S41</f>
        <v>0</v>
      </c>
      <c r="K38" s="374">
        <f>'E. 17-18 FRAME Budget'!U41</f>
        <v>346750</v>
      </c>
      <c r="L38" s="374">
        <f>'E. 17-18 FRAME Budget'!V41</f>
        <v>221865</v>
      </c>
      <c r="M38" s="74">
        <f t="shared" si="0"/>
        <v>19098353</v>
      </c>
      <c r="N38" s="84">
        <f t="shared" si="1"/>
        <v>14214.314528133375</v>
      </c>
    </row>
    <row r="39" spans="1:14" ht="15">
      <c r="A39" t="s">
        <v>1954</v>
      </c>
      <c r="B39" s="2" t="s">
        <v>866</v>
      </c>
      <c r="C39" s="95">
        <f>'K. MB Funded Enrolment'!C39</f>
        <v>963.69999999999993</v>
      </c>
      <c r="D39" s="87">
        <f>'E. 17-18 FRAME Budget'!D42</f>
        <v>5918373</v>
      </c>
      <c r="E39" s="87">
        <f>'E. 17-18 FRAME Budget'!AZ42</f>
        <v>205000</v>
      </c>
      <c r="F39" s="87">
        <f>'E. 17-18 FRAME Budget'!BA42</f>
        <v>1271603</v>
      </c>
      <c r="G39" s="87">
        <f>'E. 17-18 FRAME Budget'!BB42</f>
        <v>0</v>
      </c>
      <c r="H39" s="87">
        <f>'E. 17-18 FRAME Budget'!CG42</f>
        <v>5909581</v>
      </c>
      <c r="I39" s="374">
        <f>'E. 17-18 FRAME Budget'!R42</f>
        <v>586506</v>
      </c>
      <c r="J39" s="374">
        <f>'E. 17-18 FRAME Budget'!S42</f>
        <v>0</v>
      </c>
      <c r="K39" s="374">
        <f>'E. 17-18 FRAME Budget'!U42</f>
        <v>183350</v>
      </c>
      <c r="L39" s="374">
        <f>'E. 17-18 FRAME Budget'!V42</f>
        <v>63390</v>
      </c>
      <c r="M39" s="74">
        <f t="shared" si="0"/>
        <v>12471311</v>
      </c>
      <c r="N39" s="84">
        <f t="shared" si="1"/>
        <v>12941.071910345545</v>
      </c>
    </row>
    <row r="40" spans="1:14" ht="15">
      <c r="A40" t="s">
        <v>448</v>
      </c>
      <c r="B40" s="2" t="s">
        <v>2283</v>
      </c>
      <c r="C40" s="95">
        <f>'K. MB Funded Enrolment'!C40</f>
        <v>693.3</v>
      </c>
      <c r="D40" s="87">
        <f>'E. 17-18 FRAME Budget'!D43</f>
        <v>7283487</v>
      </c>
      <c r="E40" s="87">
        <f>'E. 17-18 FRAME Budget'!AZ43</f>
        <v>173189</v>
      </c>
      <c r="F40" s="87">
        <f>'E. 17-18 FRAME Budget'!BA43</f>
        <v>705909</v>
      </c>
      <c r="G40" s="87">
        <f>'E. 17-18 FRAME Budget'!BB43</f>
        <v>452294</v>
      </c>
      <c r="H40" s="87">
        <f>'E. 17-18 FRAME Budget'!CG43</f>
        <v>2582787</v>
      </c>
      <c r="I40" s="374">
        <f>'E. 17-18 FRAME Budget'!R43</f>
        <v>749575</v>
      </c>
      <c r="J40" s="374">
        <f>'E. 17-18 FRAME Budget'!S43</f>
        <v>0</v>
      </c>
      <c r="K40" s="374">
        <f>'E. 17-18 FRAME Budget'!U43</f>
        <v>251750</v>
      </c>
      <c r="L40" s="374">
        <f>'E. 17-18 FRAME Budget'!V43</f>
        <v>73955</v>
      </c>
      <c r="M40" s="74">
        <f t="shared" si="0"/>
        <v>10122386</v>
      </c>
      <c r="N40" s="84">
        <f t="shared" si="1"/>
        <v>14600.297129669696</v>
      </c>
    </row>
    <row r="41" spans="1:14" ht="15">
      <c r="A41" t="s">
        <v>1955</v>
      </c>
      <c r="B41" s="2" t="s">
        <v>2061</v>
      </c>
      <c r="C41" s="95">
        <f>'K. MB Funded Enrolment'!C41</f>
        <v>1662.4</v>
      </c>
      <c r="D41" s="87">
        <f>'E. 17-18 FRAME Budget'!D44</f>
        <v>10301916</v>
      </c>
      <c r="E41" s="87">
        <f>'E. 17-18 FRAME Budget'!AZ44</f>
        <v>328294</v>
      </c>
      <c r="F41" s="87">
        <f>'E. 17-18 FRAME Budget'!BA44</f>
        <v>2016643</v>
      </c>
      <c r="G41" s="87">
        <f>'E. 17-18 FRAME Budget'!BB44</f>
        <v>0</v>
      </c>
      <c r="H41" s="87">
        <f>'E. 17-18 FRAME Budget'!CG44</f>
        <v>7068808</v>
      </c>
      <c r="I41" s="374">
        <f>'E. 17-18 FRAME Budget'!R44</f>
        <v>512275</v>
      </c>
      <c r="J41" s="374">
        <f>'E. 17-18 FRAME Budget'!S44</f>
        <v>0</v>
      </c>
      <c r="K41" s="374">
        <f>'E. 17-18 FRAME Budget'!U44</f>
        <v>299250</v>
      </c>
      <c r="L41" s="374">
        <f>'E. 17-18 FRAME Budget'!V44</f>
        <v>169040</v>
      </c>
      <c r="M41" s="74">
        <f t="shared" si="0"/>
        <v>18735096</v>
      </c>
      <c r="N41" s="84">
        <f t="shared" si="1"/>
        <v>11269.908565928778</v>
      </c>
    </row>
    <row r="42" spans="1:14" ht="15">
      <c r="A42" t="s">
        <v>1956</v>
      </c>
      <c r="B42" s="2" t="s">
        <v>1233</v>
      </c>
      <c r="C42" s="95">
        <f>'K. MB Funded Enrolment'!C42</f>
        <v>29637.4</v>
      </c>
      <c r="D42" s="87">
        <f>'E. 17-18 FRAME Budget'!D45</f>
        <v>185537600</v>
      </c>
      <c r="E42" s="87">
        <f>'E. 17-18 FRAME Budget'!AZ45</f>
        <v>6695000</v>
      </c>
      <c r="F42" s="87">
        <f>'E. 17-18 FRAME Budget'!BA45</f>
        <v>30315358</v>
      </c>
      <c r="G42" s="87">
        <f>'E. 17-18 FRAME Budget'!BB45</f>
        <v>9483463</v>
      </c>
      <c r="H42" s="87">
        <f>'E. 17-18 FRAME Budget'!CG45</f>
        <v>150480779</v>
      </c>
      <c r="I42" s="374">
        <f>'E. 17-18 FRAME Budget'!R45</f>
        <v>1398686</v>
      </c>
      <c r="J42" s="374">
        <f>'E. 17-18 FRAME Budget'!S45</f>
        <v>0</v>
      </c>
      <c r="K42" s="374">
        <f>'E. 17-18 FRAME Budget'!U45</f>
        <v>7132600</v>
      </c>
      <c r="L42" s="374">
        <f>'E. 17-18 FRAME Budget'!V45</f>
        <v>6795408</v>
      </c>
      <c r="M42" s="74">
        <f t="shared" si="0"/>
        <v>367185506</v>
      </c>
      <c r="N42" s="84">
        <f t="shared" si="1"/>
        <v>12389.261743607738</v>
      </c>
    </row>
    <row r="43" spans="1:14" ht="15">
      <c r="A43" t="s">
        <v>72</v>
      </c>
      <c r="B43" s="2"/>
      <c r="C43" s="94">
        <f>SUBTOTAL(109,Table39[Eligible Enrolment Sept. 30, 2016])</f>
        <v>168991.19999999998</v>
      </c>
      <c r="D43" s="19">
        <f>SUBTOTAL(109,Table39[Funding of Schools Program])</f>
        <v>1069853426</v>
      </c>
      <c r="E43" s="19">
        <f>SUBTOTAL(109,Table39[General Support Grant])</f>
        <v>36680371</v>
      </c>
      <c r="F43" s="19">
        <f>SUBTOTAL(109,Table39[Education Property Tax Credit])</f>
        <v>206700408</v>
      </c>
      <c r="G43" s="19">
        <f>SUBTOTAL(109,Table39[Tax Incentive Grant])</f>
        <v>61418327</v>
      </c>
      <c r="H43" s="19">
        <f>SUBTOTAL(109,Table39[Total Municipal Government])</f>
        <v>828491287</v>
      </c>
      <c r="I43" s="19">
        <f>SUBTOTAL(109,Table39[Transportation])</f>
        <v>43402755</v>
      </c>
      <c r="J43" s="19">
        <f>SUBTOTAL(109,Table39[Board and Room])</f>
        <v>420000</v>
      </c>
      <c r="K43" s="19">
        <f>SUBTOTAL(109,Table39[Special Needs Level 2])</f>
        <v>37323800</v>
      </c>
      <c r="L43" s="19">
        <f>SUBTOTAL(109,Table39[Special Needs Level 3])</f>
        <v>36954227</v>
      </c>
      <c r="M43" s="19">
        <f>SUBTOTAL(109,Table39[Total for Base Tuition Rates])</f>
        <v>2085043037</v>
      </c>
      <c r="N43" s="86">
        <f>SUBTOTAL(109,Table39[BASE TUITION RATES])</f>
        <v>467060.92381603015</v>
      </c>
    </row>
  </sheetData>
  <conditionalFormatting sqref="N7:N42">
    <cfRule type="cellIs" dxfId="0" priority="3" operator="lessThan">
      <formula>#REF!</formula>
    </cfRule>
  </conditionalFormatting>
  <pageMargins left="0.7" right="0.7" top="0.75" bottom="0.75" header="0.3" footer="0.3"/>
  <pageSetup orientation="portrait" r:id="rId1"/>
  <headerFooter>
    <oddHeader>&amp;R&amp;P of &amp;N</oddHeader>
  </headerFooter>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2:N42"/>
  <sheetViews>
    <sheetView workbookViewId="0">
      <selection activeCell="N6" sqref="N6"/>
    </sheetView>
  </sheetViews>
  <sheetFormatPr baseColWidth="10" defaultColWidth="9" defaultRowHeight="14"/>
  <cols>
    <col min="1" max="1" width="17.796875" customWidth="1"/>
    <col min="2" max="2" width="14" customWidth="1"/>
    <col min="3" max="3" width="9.59765625" customWidth="1"/>
    <col min="4" max="14" width="12.59765625" customWidth="1"/>
  </cols>
  <sheetData>
    <row r="2" spans="1:14" ht="19">
      <c r="A2" s="33" t="s">
        <v>2284</v>
      </c>
    </row>
    <row r="3" spans="1:14">
      <c r="A3" t="s">
        <v>2285</v>
      </c>
    </row>
    <row r="4" spans="1:14" ht="15" thickBot="1">
      <c r="D4" s="194"/>
      <c r="E4" s="194"/>
      <c r="F4" s="194"/>
      <c r="G4" s="194"/>
      <c r="H4" s="194"/>
      <c r="I4" s="195"/>
      <c r="J4" s="195"/>
      <c r="K4" s="195"/>
      <c r="L4" s="195"/>
    </row>
    <row r="5" spans="1:14" ht="15">
      <c r="D5" s="96" t="s">
        <v>2273</v>
      </c>
      <c r="E5" s="73"/>
      <c r="F5" s="73"/>
      <c r="G5" s="73"/>
      <c r="H5" s="73"/>
      <c r="I5" s="96" t="s">
        <v>792</v>
      </c>
      <c r="J5" s="73"/>
      <c r="K5" s="73"/>
      <c r="L5" s="73"/>
    </row>
    <row r="6" spans="1:14" ht="60">
      <c r="A6" s="117" t="s">
        <v>2274</v>
      </c>
      <c r="B6" s="114" t="s">
        <v>2275</v>
      </c>
      <c r="C6" s="114" t="s">
        <v>2286</v>
      </c>
      <c r="D6" s="114" t="s">
        <v>2087</v>
      </c>
      <c r="E6" s="114" t="s">
        <v>2277</v>
      </c>
      <c r="F6" s="114" t="s">
        <v>773</v>
      </c>
      <c r="G6" s="114" t="s">
        <v>2287</v>
      </c>
      <c r="H6" s="114" t="s">
        <v>2278</v>
      </c>
      <c r="I6" s="196" t="s">
        <v>466</v>
      </c>
      <c r="J6" s="196" t="s">
        <v>469</v>
      </c>
      <c r="K6" s="196" t="s">
        <v>2288</v>
      </c>
      <c r="L6" s="196" t="s">
        <v>2280</v>
      </c>
      <c r="M6" s="132" t="s">
        <v>2281</v>
      </c>
      <c r="N6" s="132" t="s">
        <v>2282</v>
      </c>
    </row>
    <row r="7" spans="1:14">
      <c r="A7" t="s">
        <v>1934</v>
      </c>
      <c r="C7">
        <f>INDEX('E.3. Prov Data'!$AZ$13:$AZ$49,MATCH('G2. 20-21 Prov Tuition Rates'!A7,'E.3. Prov Data'!$A$13:$A$50,0))</f>
        <v>1962.2</v>
      </c>
      <c r="D7" s="599">
        <f>INDEX('E.3. Prov Data'!$B$13:$B$50,MATCH(A7,'E.3. Prov Data'!$A$13:$A$50,0))</f>
        <v>12727704.286397871</v>
      </c>
      <c r="E7" s="599">
        <f>INDEX('E.3. Prov Data'!$F$13:$F$50,MATCH(A7,'E.3. Prov Data'!$A$13:$A$50,0))</f>
        <v>316536</v>
      </c>
      <c r="F7" s="599">
        <f>INDEX('E.3. Prov Data'!$G$13:$G$50,MATCH(A7,'E.3. Prov Data'!$A$13:$A$50,0))</f>
        <v>1770642</v>
      </c>
      <c r="G7" s="599">
        <f>INDEX('E.3. Prov Data'!$L$13:$L$50,MATCH(A7,'E.3. Prov Data'!$A$13:$A$50,0))+INDEX('E.3. Prov Data'!$M$13:$M$50,MATCH(A7,'E.3. Prov Data'!$A$13:$A$50,0))</f>
        <v>447102</v>
      </c>
      <c r="H7" s="599">
        <f>INDEX('E.3. Prov Data'!$P$13:$P$50,MATCH(A7,'E.3. Prov Data'!$A$13:$A$50,0))</f>
        <v>8272509.5099999998</v>
      </c>
      <c r="I7" s="599">
        <f>INDEX('E.3. Prov Data'!$Q$13:$Q$50,MATCH(A7,'E.3. Prov Data'!$A$13:$A$50,0))</f>
        <v>666097</v>
      </c>
      <c r="J7" s="599">
        <f>INDEX('E.3. Prov Data'!$R$13:$R$50,MATCH(A7,'E.3. Prov Data'!$A$13:$A$50,0))</f>
        <v>0</v>
      </c>
      <c r="K7" s="599">
        <f>INDEX('E.3. Prov Data'!$S$13:$S$50,MATCH(A7,'E.3. Prov Data'!$A$13:$A$50,0))+INDEX('E.3. Prov Data'!$U$13:$U$50,MATCH(A7,'E.3. Prov Data'!$A$13:$A$50,0))</f>
        <v>362978.76</v>
      </c>
      <c r="L7" s="599">
        <f>INDEX('E.3. Prov Data'!$T$13:$T$50,MATCH(A7,'E.3. Prov Data'!$A$13:$A$50,0))</f>
        <v>295820</v>
      </c>
      <c r="M7" s="599">
        <f>SUM(D7:H7)-SUM(I7:L7)</f>
        <v>22209598.036397871</v>
      </c>
      <c r="N7" s="139">
        <f>ROUND(M7/C7,2)</f>
        <v>11318.72</v>
      </c>
    </row>
    <row r="8" spans="1:14">
      <c r="A8" t="s">
        <v>438</v>
      </c>
      <c r="B8" t="s">
        <v>1365</v>
      </c>
      <c r="C8">
        <f>INDEX('E.3. Prov Data'!$AZ$13:$AZ$49,MATCH('G2. 20-21 Prov Tuition Rates'!A8,'E.3. Prov Data'!$A$13:$A$50,0))</f>
        <v>2094.6999999999998</v>
      </c>
      <c r="D8" s="599">
        <f>INDEX('E.3. Prov Data'!$B$13:$B$50,MATCH(A8,'E.3. Prov Data'!$A$13:$A$50,0))</f>
        <v>14233436.34</v>
      </c>
      <c r="E8" s="599">
        <f>INDEX('E.3. Prov Data'!$F$13:$F$50,MATCH(A8,'E.3. Prov Data'!$A$13:$A$50,0))</f>
        <v>503802</v>
      </c>
      <c r="F8" s="599">
        <f>INDEX('E.3. Prov Data'!$G$13:$G$50,MATCH(A8,'E.3. Prov Data'!$A$13:$A$50,0))</f>
        <v>2442780</v>
      </c>
      <c r="G8" s="599">
        <f>INDEX('E.3. Prov Data'!$L$13:$L$50,MATCH(A8,'E.3. Prov Data'!$A$13:$A$50,0))+INDEX('E.3. Prov Data'!$M$13:$M$50,MATCH(A8,'E.3. Prov Data'!$A$13:$A$50,0))</f>
        <v>2917180</v>
      </c>
      <c r="H8" s="599">
        <f>INDEX('E.3. Prov Data'!$P$13:$P$50,MATCH(A8,'E.3. Prov Data'!$A$13:$A$50,0))</f>
        <v>13538919.5</v>
      </c>
      <c r="I8" s="599">
        <f>INDEX('E.3. Prov Data'!$Q$13:$Q$50,MATCH(A8,'E.3. Prov Data'!$A$13:$A$50,0))</f>
        <v>1260995</v>
      </c>
      <c r="J8" s="599">
        <f>INDEX('E.3. Prov Data'!$R$13:$R$50,MATCH(A8,'E.3. Prov Data'!$A$13:$A$50,0))</f>
        <v>1200</v>
      </c>
      <c r="K8" s="599">
        <f>INDEX('E.3. Prov Data'!$S$13:$S$50,MATCH(A8,'E.3. Prov Data'!$A$13:$A$50,0))+INDEX('E.3. Prov Data'!$U$13:$U$50,MATCH(A8,'E.3. Prov Data'!$A$13:$A$50,0))</f>
        <v>601915.34</v>
      </c>
      <c r="L8" s="599">
        <f>INDEX('E.3. Prov Data'!$T$13:$T$50,MATCH(A8,'E.3. Prov Data'!$A$13:$A$50,0))</f>
        <v>369775</v>
      </c>
      <c r="M8" s="599">
        <f t="shared" ref="M8:M42" si="0">SUM(D8:H8)-SUM(I8:L8)</f>
        <v>31402232.500000004</v>
      </c>
      <c r="N8" s="139">
        <f>ROUND(M8/C8,2)</f>
        <v>14991.28</v>
      </c>
    </row>
    <row r="9" spans="1:14">
      <c r="A9" t="s">
        <v>1935</v>
      </c>
      <c r="B9" t="s">
        <v>1366</v>
      </c>
      <c r="C9">
        <f>INDEX('E.3. Prov Data'!$AZ$13:$AZ$49,MATCH('G2. 20-21 Prov Tuition Rates'!A9,'E.3. Prov Data'!$A$13:$A$50,0))</f>
        <v>8628.4</v>
      </c>
      <c r="D9" s="599">
        <f>INDEX('E.3. Prov Data'!$B$13:$B$50,MATCH(A9,'E.3. Prov Data'!$A$13:$A$50,0))</f>
        <v>55018477.030894995</v>
      </c>
      <c r="E9" s="599">
        <f>INDEX('E.3. Prov Data'!$F$13:$F$50,MATCH(A9,'E.3. Prov Data'!$A$13:$A$50,0))</f>
        <v>1613113</v>
      </c>
      <c r="F9" s="599">
        <f>INDEX('E.3. Prov Data'!$G$13:$G$50,MATCH(A9,'E.3. Prov Data'!$A$13:$A$50,0))</f>
        <v>7840537</v>
      </c>
      <c r="G9" s="599">
        <f>INDEX('E.3. Prov Data'!$L$13:$L$50,MATCH(A9,'E.3. Prov Data'!$A$13:$A$50,0))+INDEX('E.3. Prov Data'!$M$13:$M$50,MATCH(A9,'E.3. Prov Data'!$A$13:$A$50,0))</f>
        <v>1369847</v>
      </c>
      <c r="H9" s="599">
        <f>INDEX('E.3. Prov Data'!$P$13:$P$50,MATCH(A9,'E.3. Prov Data'!$A$13:$A$50,0))</f>
        <v>42905015.719999999</v>
      </c>
      <c r="I9" s="599">
        <f>INDEX('E.3. Prov Data'!$Q$13:$Q$50,MATCH(A9,'E.3. Prov Data'!$A$13:$A$50,0))</f>
        <v>1144826</v>
      </c>
      <c r="J9" s="599">
        <f>INDEX('E.3. Prov Data'!$R$13:$R$50,MATCH(A9,'E.3. Prov Data'!$A$13:$A$50,0))</f>
        <v>0</v>
      </c>
      <c r="K9" s="599">
        <f>INDEX('E.3. Prov Data'!$S$13:$S$50,MATCH(A9,'E.3. Prov Data'!$A$13:$A$50,0))+INDEX('E.3. Prov Data'!$U$13:$U$50,MATCH(A9,'E.3. Prov Data'!$A$13:$A$50,0))</f>
        <v>1513072.06</v>
      </c>
      <c r="L9" s="599">
        <f>INDEX('E.3. Prov Data'!$T$13:$T$50,MATCH(A9,'E.3. Prov Data'!$A$13:$A$50,0))</f>
        <v>1394580</v>
      </c>
      <c r="M9" s="599">
        <f t="shared" si="0"/>
        <v>104694511.69089499</v>
      </c>
      <c r="N9" s="139">
        <f t="shared" ref="N9:N42" si="1">ROUND(M9/C9,2)</f>
        <v>12133.71</v>
      </c>
    </row>
    <row r="10" spans="1:14">
      <c r="A10" t="s">
        <v>1936</v>
      </c>
      <c r="C10">
        <f>INDEX('E.3. Prov Data'!$AZ$13:$AZ$49,MATCH('G2. 20-21 Prov Tuition Rates'!A10,'E.3. Prov Data'!$A$13:$A$50,0))</f>
        <v>5534.5</v>
      </c>
      <c r="D10" s="599">
        <f>INDEX('E.3. Prov Data'!$B$13:$B$50,MATCH(A10,'E.3. Prov Data'!$A$13:$A$50,0))</f>
        <v>37850966.016968988</v>
      </c>
      <c r="E10" s="599">
        <f>INDEX('E.3. Prov Data'!$F$13:$F$50,MATCH(A10,'E.3. Prov Data'!$A$13:$A$50,0))</f>
        <v>1257148</v>
      </c>
      <c r="F10" s="599">
        <f>INDEX('E.3. Prov Data'!$G$13:$G$50,MATCH(A10,'E.3. Prov Data'!$A$13:$A$50,0))</f>
        <v>6618089</v>
      </c>
      <c r="G10" s="599">
        <f>INDEX('E.3. Prov Data'!$L$13:$L$50,MATCH(A10,'E.3. Prov Data'!$A$13:$A$50,0))+INDEX('E.3. Prov Data'!$M$13:$M$50,MATCH(A10,'E.3. Prov Data'!$A$13:$A$50,0))</f>
        <v>1912525</v>
      </c>
      <c r="H10" s="599">
        <f>INDEX('E.3. Prov Data'!$P$13:$P$50,MATCH(A10,'E.3. Prov Data'!$A$13:$A$50,0))</f>
        <v>29198476.419999998</v>
      </c>
      <c r="I10" s="599">
        <f>INDEX('E.3. Prov Data'!$Q$13:$Q$50,MATCH(A10,'E.3. Prov Data'!$A$13:$A$50,0))</f>
        <v>3510332</v>
      </c>
      <c r="J10" s="599">
        <f>INDEX('E.3. Prov Data'!$R$13:$R$50,MATCH(A10,'E.3. Prov Data'!$A$13:$A$50,0))</f>
        <v>0</v>
      </c>
      <c r="K10" s="599">
        <f>INDEX('E.3. Prov Data'!$S$13:$S$50,MATCH(A10,'E.3. Prov Data'!$A$13:$A$50,0))+INDEX('E.3. Prov Data'!$U$13:$U$50,MATCH(A10,'E.3. Prov Data'!$A$13:$A$50,0))</f>
        <v>531512.04</v>
      </c>
      <c r="L10" s="599">
        <f>INDEX('E.3. Prov Data'!$T$13:$T$50,MATCH(A10,'E.3. Prov Data'!$A$13:$A$50,0))</f>
        <v>316950</v>
      </c>
      <c r="M10" s="599">
        <f t="shared" si="0"/>
        <v>72478410.396968976</v>
      </c>
      <c r="N10" s="139">
        <f t="shared" si="1"/>
        <v>13095.75</v>
      </c>
    </row>
    <row r="11" spans="1:14">
      <c r="A11" t="s">
        <v>1937</v>
      </c>
      <c r="B11" t="s">
        <v>1394</v>
      </c>
      <c r="C11">
        <f>INDEX('E.3. Prov Data'!$AZ$13:$AZ$49,MATCH('G2. 20-21 Prov Tuition Rates'!A11,'E.3. Prov Data'!$A$13:$A$50,0))</f>
        <v>1401.7</v>
      </c>
      <c r="D11" s="599">
        <f>INDEX('E.3. Prov Data'!$B$13:$B$50,MATCH(A11,'E.3. Prov Data'!$A$13:$A$50,0))</f>
        <v>7596074.3922332646</v>
      </c>
      <c r="E11" s="599">
        <f>INDEX('E.3. Prov Data'!$F$13:$F$50,MATCH(A11,'E.3. Prov Data'!$A$13:$A$50,0))</f>
        <v>279822</v>
      </c>
      <c r="F11" s="599">
        <f>INDEX('E.3. Prov Data'!$G$13:$G$50,MATCH(A11,'E.3. Prov Data'!$A$13:$A$50,0))</f>
        <v>2937333</v>
      </c>
      <c r="G11" s="599">
        <f>INDEX('E.3. Prov Data'!$L$13:$L$50,MATCH(A11,'E.3. Prov Data'!$A$13:$A$50,0))+INDEX('E.3. Prov Data'!$M$13:$M$50,MATCH(A11,'E.3. Prov Data'!$A$13:$A$50,0))</f>
        <v>1762154</v>
      </c>
      <c r="H11" s="599">
        <f>INDEX('E.3. Prov Data'!$P$13:$P$50,MATCH(A11,'E.3. Prov Data'!$A$13:$A$50,0))</f>
        <v>9491881.6999999993</v>
      </c>
      <c r="I11" s="599">
        <f>INDEX('E.3. Prov Data'!$Q$13:$Q$50,MATCH(A11,'E.3. Prov Data'!$A$13:$A$50,0))</f>
        <v>842762</v>
      </c>
      <c r="J11" s="599">
        <f>INDEX('E.3. Prov Data'!$R$13:$R$50,MATCH(A11,'E.3. Prov Data'!$A$13:$A$50,0))</f>
        <v>0</v>
      </c>
      <c r="K11" s="599">
        <f>INDEX('E.3. Prov Data'!$S$13:$S$50,MATCH(A11,'E.3. Prov Data'!$A$13:$A$50,0))+INDEX('E.3. Prov Data'!$U$13:$U$50,MATCH(A11,'E.3. Prov Data'!$A$13:$A$50,0))</f>
        <v>405330.8600000001</v>
      </c>
      <c r="L11" s="599">
        <f>INDEX('E.3. Prov Data'!$T$13:$T$50,MATCH(A11,'E.3. Prov Data'!$A$13:$A$50,0))</f>
        <v>327515</v>
      </c>
      <c r="M11" s="599">
        <f t="shared" si="0"/>
        <v>20491657.232233264</v>
      </c>
      <c r="N11" s="139">
        <f t="shared" si="1"/>
        <v>14619.15</v>
      </c>
    </row>
    <row r="12" spans="1:14">
      <c r="A12" t="s">
        <v>1938</v>
      </c>
      <c r="C12">
        <f>INDEX('E.3. Prov Data'!$AZ$13:$AZ$49,MATCH('G2. 20-21 Prov Tuition Rates'!A12,'E.3. Prov Data'!$A$13:$A$50,0))</f>
        <v>922.6</v>
      </c>
      <c r="D12" s="599">
        <f>INDEX('E.3. Prov Data'!$B$13:$B$50,MATCH(A12,'E.3. Prov Data'!$A$13:$A$50,0))</f>
        <v>9534465.7200000007</v>
      </c>
      <c r="E12" s="599">
        <f>INDEX('E.3. Prov Data'!$F$13:$F$50,MATCH(A12,'E.3. Prov Data'!$A$13:$A$50,0))</f>
        <v>213613</v>
      </c>
      <c r="F12" s="599">
        <f>INDEX('E.3. Prov Data'!$G$13:$G$50,MATCH(A12,'E.3. Prov Data'!$A$13:$A$50,0))</f>
        <v>861655</v>
      </c>
      <c r="G12" s="599">
        <f>INDEX('E.3. Prov Data'!$L$13:$L$50,MATCH(A12,'E.3. Prov Data'!$A$13:$A$50,0))+INDEX('E.3. Prov Data'!$M$13:$M$50,MATCH(A12,'E.3. Prov Data'!$A$13:$A$50,0))</f>
        <v>425819</v>
      </c>
      <c r="H12" s="599">
        <f>INDEX('E.3. Prov Data'!$P$13:$P$50,MATCH(A12,'E.3. Prov Data'!$A$13:$A$50,0))</f>
        <v>3983381.46</v>
      </c>
      <c r="I12" s="599">
        <f>INDEX('E.3. Prov Data'!$Q$13:$Q$50,MATCH(A12,'E.3. Prov Data'!$A$13:$A$50,0))</f>
        <v>104207</v>
      </c>
      <c r="J12" s="599">
        <f>INDEX('E.3. Prov Data'!$R$13:$R$50,MATCH(A12,'E.3. Prov Data'!$A$13:$A$50,0))</f>
        <v>0</v>
      </c>
      <c r="K12" s="599">
        <f>INDEX('E.3. Prov Data'!$S$13:$S$50,MATCH(A12,'E.3. Prov Data'!$A$13:$A$50,0))+INDEX('E.3. Prov Data'!$U$13:$U$50,MATCH(A12,'E.3. Prov Data'!$A$13:$A$50,0))</f>
        <v>313504.72000000003</v>
      </c>
      <c r="L12" s="599">
        <f>INDEX('E.3. Prov Data'!$T$13:$T$50,MATCH(A12,'E.3. Prov Data'!$A$13:$A$50,0))</f>
        <v>84520</v>
      </c>
      <c r="M12" s="599">
        <f t="shared" si="0"/>
        <v>14516702.459999999</v>
      </c>
      <c r="N12" s="139">
        <f t="shared" si="1"/>
        <v>15734.56</v>
      </c>
    </row>
    <row r="13" spans="1:14">
      <c r="A13" t="s">
        <v>440</v>
      </c>
      <c r="C13">
        <f>INDEX('E.3. Prov Data'!$AZ$13:$AZ$49,MATCH('G2. 20-21 Prov Tuition Rates'!A13,'E.3. Prov Data'!$A$13:$A$50,0))</f>
        <v>1347.6999999999998</v>
      </c>
      <c r="D13" s="599">
        <f>INDEX('E.3. Prov Data'!$B$13:$B$50,MATCH(A13,'E.3. Prov Data'!$A$13:$A$50,0))</f>
        <v>7509273.4813842047</v>
      </c>
      <c r="E13" s="599">
        <f>INDEX('E.3. Prov Data'!$F$13:$F$50,MATCH(A13,'E.3. Prov Data'!$A$13:$A$50,0))</f>
        <v>288549</v>
      </c>
      <c r="F13" s="599">
        <f>INDEX('E.3. Prov Data'!$G$13:$G$50,MATCH(A13,'E.3. Prov Data'!$A$13:$A$50,0))</f>
        <v>1409149</v>
      </c>
      <c r="G13" s="599">
        <f>INDEX('E.3. Prov Data'!$L$13:$L$50,MATCH(A13,'E.3. Prov Data'!$A$13:$A$50,0))+INDEX('E.3. Prov Data'!$M$13:$M$50,MATCH(A13,'E.3. Prov Data'!$A$13:$A$50,0))</f>
        <v>662131</v>
      </c>
      <c r="H13" s="599">
        <f>INDEX('E.3. Prov Data'!$P$13:$P$50,MATCH(A13,'E.3. Prov Data'!$A$13:$A$50,0))</f>
        <v>8808790.0800000001</v>
      </c>
      <c r="I13" s="599">
        <f>INDEX('E.3. Prov Data'!$Q$13:$Q$50,MATCH(A13,'E.3. Prov Data'!$A$13:$A$50,0))</f>
        <v>886412</v>
      </c>
      <c r="J13" s="599">
        <f>INDEX('E.3. Prov Data'!$R$13:$R$50,MATCH(A13,'E.3. Prov Data'!$A$13:$A$50,0))</f>
        <v>0</v>
      </c>
      <c r="K13" s="599">
        <f>INDEX('E.3. Prov Data'!$S$13:$S$50,MATCH(A13,'E.3. Prov Data'!$A$13:$A$50,0))+INDEX('E.3. Prov Data'!$U$13:$U$50,MATCH(A13,'E.3. Prov Data'!$A$13:$A$50,0))</f>
        <v>376513.36000000004</v>
      </c>
      <c r="L13" s="599">
        <f>INDEX('E.3. Prov Data'!$T$13:$T$50,MATCH(A13,'E.3. Prov Data'!$A$13:$A$50,0))</f>
        <v>109876</v>
      </c>
      <c r="M13" s="599">
        <f t="shared" si="0"/>
        <v>17305091.201384205</v>
      </c>
      <c r="N13" s="139">
        <f t="shared" si="1"/>
        <v>12840.46</v>
      </c>
    </row>
    <row r="14" spans="1:14">
      <c r="A14" t="s">
        <v>441</v>
      </c>
      <c r="B14" t="s">
        <v>1377</v>
      </c>
      <c r="C14">
        <f>INDEX('E.3. Prov Data'!$AZ$13:$AZ$49,MATCH('G2. 20-21 Prov Tuition Rates'!A14,'E.3. Prov Data'!$A$13:$A$50,0))</f>
        <v>2121</v>
      </c>
      <c r="D14" s="599">
        <f>INDEX('E.3. Prov Data'!$B$13:$B$50,MATCH(A14,'E.3. Prov Data'!$A$13:$A$50,0))</f>
        <v>39592469.5</v>
      </c>
      <c r="E14" s="599">
        <f>INDEX('E.3. Prov Data'!$F$13:$F$50,MATCH(A14,'E.3. Prov Data'!$A$13:$A$50,0))</f>
        <v>1162396</v>
      </c>
      <c r="F14" s="599">
        <f>INDEX('E.3. Prov Data'!$G$13:$G$50,MATCH(A14,'E.3. Prov Data'!$A$13:$A$50,0))</f>
        <v>557383</v>
      </c>
      <c r="G14" s="599">
        <f>INDEX('E.3. Prov Data'!$L$13:$L$50,MATCH(A14,'E.3. Prov Data'!$A$13:$A$50,0))+INDEX('E.3. Prov Data'!$M$13:$M$50,MATCH(A14,'E.3. Prov Data'!$A$13:$A$50,0))</f>
        <v>193091</v>
      </c>
      <c r="H14" s="599">
        <f>INDEX('E.3. Prov Data'!$P$13:$P$50,MATCH(A14,'E.3. Prov Data'!$A$13:$A$50,0))</f>
        <v>3470324.6</v>
      </c>
      <c r="I14" s="599">
        <f>INDEX('E.3. Prov Data'!$Q$13:$Q$50,MATCH(A14,'E.3. Prov Data'!$A$13:$A$50,0))</f>
        <v>1376257</v>
      </c>
      <c r="J14" s="599">
        <f>INDEX('E.3. Prov Data'!$R$13:$R$50,MATCH(A14,'E.3. Prov Data'!$A$13:$A$50,0))</f>
        <v>219600</v>
      </c>
      <c r="K14" s="599">
        <f>INDEX('E.3. Prov Data'!$S$13:$S$50,MATCH(A14,'E.3. Prov Data'!$A$13:$A$50,0))+INDEX('E.3. Prov Data'!$U$13:$U$50,MATCH(A14,'E.3. Prov Data'!$A$13:$A$50,0))</f>
        <v>1052065.5</v>
      </c>
      <c r="L14" s="599">
        <f>INDEX('E.3. Prov Data'!$T$13:$T$50,MATCH(A14,'E.3. Prov Data'!$A$13:$A$50,0))</f>
        <v>538815</v>
      </c>
      <c r="M14" s="599">
        <f t="shared" si="0"/>
        <v>41788926.600000001</v>
      </c>
      <c r="N14" s="139">
        <f t="shared" si="1"/>
        <v>19702.46</v>
      </c>
    </row>
    <row r="15" spans="1:14">
      <c r="A15" t="s">
        <v>1939</v>
      </c>
      <c r="C15">
        <f>INDEX('E.3. Prov Data'!$AZ$13:$AZ$49,MATCH('G2. 20-21 Prov Tuition Rates'!A15,'E.3. Prov Data'!$A$13:$A$50,0))</f>
        <v>4362.2</v>
      </c>
      <c r="D15" s="599">
        <f>INDEX('E.3. Prov Data'!$B$13:$B$50,MATCH(A15,'E.3. Prov Data'!$A$13:$A$50,0))</f>
        <v>29814991.005559988</v>
      </c>
      <c r="E15" s="599">
        <f>INDEX('E.3. Prov Data'!$F$13:$F$50,MATCH(A15,'E.3. Prov Data'!$A$13:$A$50,0))</f>
        <v>710000</v>
      </c>
      <c r="F15" s="599">
        <f>INDEX('E.3. Prov Data'!$G$13:$G$50,MATCH(A15,'E.3. Prov Data'!$A$13:$A$50,0))</f>
        <v>3534943</v>
      </c>
      <c r="G15" s="599">
        <f>INDEX('E.3. Prov Data'!$L$13:$L$50,MATCH(A15,'E.3. Prov Data'!$A$13:$A$50,0))+INDEX('E.3. Prov Data'!$M$13:$M$50,MATCH(A15,'E.3. Prov Data'!$A$13:$A$50,0))</f>
        <v>733701</v>
      </c>
      <c r="H15" s="599">
        <f>INDEX('E.3. Prov Data'!$P$13:$P$50,MATCH(A15,'E.3. Prov Data'!$A$13:$A$50,0))</f>
        <v>17743359.09</v>
      </c>
      <c r="I15" s="599">
        <f>INDEX('E.3. Prov Data'!$Q$13:$Q$50,MATCH(A15,'E.3. Prov Data'!$A$13:$A$50,0))</f>
        <v>1553795</v>
      </c>
      <c r="J15" s="599">
        <f>INDEX('E.3. Prov Data'!$R$13:$R$50,MATCH(A15,'E.3. Prov Data'!$A$13:$A$50,0))</f>
        <v>0</v>
      </c>
      <c r="K15" s="599">
        <f>INDEX('E.3. Prov Data'!$S$13:$S$50,MATCH(A15,'E.3. Prov Data'!$A$13:$A$50,0))+INDEX('E.3. Prov Data'!$U$13:$U$50,MATCH(A15,'E.3. Prov Data'!$A$13:$A$50,0))</f>
        <v>944804.08000000007</v>
      </c>
      <c r="L15" s="599">
        <f>INDEX('E.3. Prov Data'!$T$13:$T$50,MATCH(A15,'E.3. Prov Data'!$A$13:$A$50,0))</f>
        <v>802940</v>
      </c>
      <c r="M15" s="599">
        <f t="shared" si="0"/>
        <v>49235455.015559986</v>
      </c>
      <c r="N15" s="139">
        <f t="shared" si="1"/>
        <v>11286.84</v>
      </c>
    </row>
    <row r="16" spans="1:14">
      <c r="A16" t="s">
        <v>1940</v>
      </c>
      <c r="C16">
        <f>INDEX('E.3. Prov Data'!$AZ$13:$AZ$49,MATCH('G2. 20-21 Prov Tuition Rates'!A16,'E.3. Prov Data'!$A$13:$A$50,0))</f>
        <v>8019.5</v>
      </c>
      <c r="D16" s="599">
        <f>INDEX('E.3. Prov Data'!$B$13:$B$50,MATCH(A16,'E.3. Prov Data'!$A$13:$A$50,0))</f>
        <v>56911088.33689858</v>
      </c>
      <c r="E16" s="599">
        <f>INDEX('E.3. Prov Data'!$F$13:$F$50,MATCH(A16,'E.3. Prov Data'!$A$13:$A$50,0))</f>
        <v>1363534</v>
      </c>
      <c r="F16" s="599">
        <f>INDEX('E.3. Prov Data'!$G$13:$G$50,MATCH(A16,'E.3. Prov Data'!$A$13:$A$50,0))</f>
        <v>6882719</v>
      </c>
      <c r="G16" s="599">
        <f>INDEX('E.3. Prov Data'!$L$13:$L$50,MATCH(A16,'E.3. Prov Data'!$A$13:$A$50,0))+INDEX('E.3. Prov Data'!$M$13:$M$50,MATCH(A16,'E.3. Prov Data'!$A$13:$A$50,0))</f>
        <v>1461171</v>
      </c>
      <c r="H16" s="599">
        <f>INDEX('E.3. Prov Data'!$P$13:$P$50,MATCH(A16,'E.3. Prov Data'!$A$13:$A$50,0))</f>
        <v>30155348.129999999</v>
      </c>
      <c r="I16" s="599">
        <f>INDEX('E.3. Prov Data'!$Q$13:$Q$50,MATCH(A16,'E.3. Prov Data'!$A$13:$A$50,0))</f>
        <v>2668423</v>
      </c>
      <c r="J16" s="599">
        <f>INDEX('E.3. Prov Data'!$R$13:$R$50,MATCH(A16,'E.3. Prov Data'!$A$13:$A$50,0))</f>
        <v>0</v>
      </c>
      <c r="K16" s="599">
        <f>INDEX('E.3. Prov Data'!$S$13:$S$50,MATCH(A16,'E.3. Prov Data'!$A$13:$A$50,0))+INDEX('E.3. Prov Data'!$U$13:$U$50,MATCH(A16,'E.3. Prov Data'!$A$13:$A$50,0))</f>
        <v>1735348.42</v>
      </c>
      <c r="L16" s="599">
        <f>INDEX('E.3. Prov Data'!$T$13:$T$50,MATCH(A16,'E.3. Prov Data'!$A$13:$A$50,0))</f>
        <v>1367111</v>
      </c>
      <c r="M16" s="599">
        <f t="shared" si="0"/>
        <v>91002978.046898574</v>
      </c>
      <c r="N16" s="139">
        <f t="shared" si="1"/>
        <v>11347.71</v>
      </c>
    </row>
    <row r="17" spans="1:14">
      <c r="A17" t="s">
        <v>1941</v>
      </c>
      <c r="C17">
        <f>INDEX('E.3. Prov Data'!$AZ$13:$AZ$49,MATCH('G2. 20-21 Prov Tuition Rates'!A17,'E.3. Prov Data'!$A$13:$A$50,0))</f>
        <v>2825</v>
      </c>
      <c r="D17" s="599">
        <f>INDEX('E.3. Prov Data'!$B$13:$B$50,MATCH(A17,'E.3. Prov Data'!$A$13:$A$50,0))</f>
        <v>16381758.411862958</v>
      </c>
      <c r="E17" s="599">
        <f>INDEX('E.3. Prov Data'!$F$13:$F$50,MATCH(A17,'E.3. Prov Data'!$A$13:$A$50,0))</f>
        <v>593767</v>
      </c>
      <c r="F17" s="599">
        <f>INDEX('E.3. Prov Data'!$G$13:$G$50,MATCH(A17,'E.3. Prov Data'!$A$13:$A$50,0))</f>
        <v>3746328</v>
      </c>
      <c r="G17" s="599">
        <f>INDEX('E.3. Prov Data'!$L$13:$L$50,MATCH(A17,'E.3. Prov Data'!$A$13:$A$50,0))+INDEX('E.3. Prov Data'!$M$13:$M$50,MATCH(A17,'E.3. Prov Data'!$A$13:$A$50,0))</f>
        <v>1227010</v>
      </c>
      <c r="H17" s="599">
        <f>INDEX('E.3. Prov Data'!$P$13:$P$50,MATCH(A17,'E.3. Prov Data'!$A$13:$A$50,0))</f>
        <v>17527469.719999999</v>
      </c>
      <c r="I17" s="599">
        <f>INDEX('E.3. Prov Data'!$Q$13:$Q$50,MATCH(A17,'E.3. Prov Data'!$A$13:$A$50,0))</f>
        <v>1154716</v>
      </c>
      <c r="J17" s="599">
        <f>INDEX('E.3. Prov Data'!$R$13:$R$50,MATCH(A17,'E.3. Prov Data'!$A$13:$A$50,0))</f>
        <v>0</v>
      </c>
      <c r="K17" s="599">
        <f>INDEX('E.3. Prov Data'!$S$13:$S$50,MATCH(A17,'E.3. Prov Data'!$A$13:$A$50,0))+INDEX('E.3. Prov Data'!$U$13:$U$50,MATCH(A17,'E.3. Prov Data'!$A$13:$A$50,0))</f>
        <v>623648.34000000008</v>
      </c>
      <c r="L17" s="599">
        <f>INDEX('E.3. Prov Data'!$T$13:$T$50,MATCH(A17,'E.3. Prov Data'!$A$13:$A$50,0))</f>
        <v>505007</v>
      </c>
      <c r="M17" s="599">
        <f t="shared" si="0"/>
        <v>37192961.79186295</v>
      </c>
      <c r="N17" s="139">
        <f t="shared" si="1"/>
        <v>13165.65</v>
      </c>
    </row>
    <row r="18" spans="1:14">
      <c r="A18" t="s">
        <v>1942</v>
      </c>
      <c r="B18" t="s">
        <v>1378</v>
      </c>
      <c r="C18">
        <f>INDEX('E.3. Prov Data'!$AZ$13:$AZ$49,MATCH('G2. 20-21 Prov Tuition Rates'!A18,'E.3. Prov Data'!$A$13:$A$50,0))</f>
        <v>1465.5</v>
      </c>
      <c r="D18" s="599">
        <f>INDEX('E.3. Prov Data'!$B$13:$B$50,MATCH(A18,'E.3. Prov Data'!$A$13:$A$50,0))</f>
        <v>14200195.16</v>
      </c>
      <c r="E18" s="599">
        <f>INDEX('E.3. Prov Data'!$F$13:$F$50,MATCH(A18,'E.3. Prov Data'!$A$13:$A$50,0))</f>
        <v>331664</v>
      </c>
      <c r="F18" s="599">
        <f>INDEX('E.3. Prov Data'!$G$13:$G$50,MATCH(A18,'E.3. Prov Data'!$A$13:$A$50,0))</f>
        <v>1099041</v>
      </c>
      <c r="G18" s="599">
        <f>INDEX('E.3. Prov Data'!$L$13:$L$50,MATCH(A18,'E.3. Prov Data'!$A$13:$A$50,0))+INDEX('E.3. Prov Data'!$M$13:$M$50,MATCH(A18,'E.3. Prov Data'!$A$13:$A$50,0))</f>
        <v>684922</v>
      </c>
      <c r="H18" s="599">
        <f>INDEX('E.3. Prov Data'!$P$13:$P$50,MATCH(A18,'E.3. Prov Data'!$A$13:$A$50,0))</f>
        <v>3243957.7800000003</v>
      </c>
      <c r="I18" s="599">
        <f>INDEX('E.3. Prov Data'!$Q$13:$Q$50,MATCH(A18,'E.3. Prov Data'!$A$13:$A$50,0))</f>
        <v>278751</v>
      </c>
      <c r="J18" s="599">
        <f>INDEX('E.3. Prov Data'!$R$13:$R$50,MATCH(A18,'E.3. Prov Data'!$A$13:$A$50,0))</f>
        <v>0</v>
      </c>
      <c r="K18" s="599">
        <f>INDEX('E.3. Prov Data'!$S$13:$S$50,MATCH(A18,'E.3. Prov Data'!$A$13:$A$50,0))+INDEX('E.3. Prov Data'!$U$13:$U$50,MATCH(A18,'E.3. Prov Data'!$A$13:$A$50,0))</f>
        <v>540274.16</v>
      </c>
      <c r="L18" s="599">
        <f>INDEX('E.3. Prov Data'!$T$13:$T$50,MATCH(A18,'E.3. Prov Data'!$A$13:$A$50,0))</f>
        <v>266238</v>
      </c>
      <c r="M18" s="599">
        <f t="shared" si="0"/>
        <v>18474516.780000001</v>
      </c>
      <c r="N18" s="139">
        <f t="shared" si="1"/>
        <v>12606.29</v>
      </c>
    </row>
    <row r="19" spans="1:14">
      <c r="A19" t="s">
        <v>442</v>
      </c>
      <c r="B19" t="s">
        <v>1362</v>
      </c>
      <c r="C19">
        <f>INDEX('E.3. Prov Data'!$AZ$13:$AZ$49,MATCH('G2. 20-21 Prov Tuition Rates'!A19,'E.3. Prov Data'!$A$13:$A$50,0))</f>
        <v>914.8</v>
      </c>
      <c r="D19" s="599">
        <f>INDEX('E.3. Prov Data'!$B$13:$B$50,MATCH(A19,'E.3. Prov Data'!$A$13:$A$50,0))</f>
        <v>8850172.2599999998</v>
      </c>
      <c r="E19" s="599">
        <f>INDEX('E.3. Prov Data'!$F$13:$F$50,MATCH(A19,'E.3. Prov Data'!$A$13:$A$50,0))</f>
        <v>249737</v>
      </c>
      <c r="F19" s="599">
        <f>INDEX('E.3. Prov Data'!$G$13:$G$50,MATCH(A19,'E.3. Prov Data'!$A$13:$A$50,0))</f>
        <v>1138838</v>
      </c>
      <c r="G19" s="599">
        <f>INDEX('E.3. Prov Data'!$L$13:$L$50,MATCH(A19,'E.3. Prov Data'!$A$13:$A$50,0))+INDEX('E.3. Prov Data'!$M$13:$M$50,MATCH(A19,'E.3. Prov Data'!$A$13:$A$50,0))</f>
        <v>523248</v>
      </c>
      <c r="H19" s="599">
        <f>INDEX('E.3. Prov Data'!$P$13:$P$50,MATCH(A19,'E.3. Prov Data'!$A$13:$A$50,0))</f>
        <v>4261747.3899999997</v>
      </c>
      <c r="I19" s="599">
        <f>INDEX('E.3. Prov Data'!$Q$13:$Q$50,MATCH(A19,'E.3. Prov Data'!$A$13:$A$50,0))</f>
        <v>906663</v>
      </c>
      <c r="J19" s="599">
        <f>INDEX('E.3. Prov Data'!$R$13:$R$50,MATCH(A19,'E.3. Prov Data'!$A$13:$A$50,0))</f>
        <v>0</v>
      </c>
      <c r="K19" s="599">
        <f>INDEX('E.3. Prov Data'!$S$13:$S$50,MATCH(A19,'E.3. Prov Data'!$A$13:$A$50,0))+INDEX('E.3. Prov Data'!$U$13:$U$50,MATCH(A19,'E.3. Prov Data'!$A$13:$A$50,0))</f>
        <v>336163.26</v>
      </c>
      <c r="L19" s="599">
        <f>INDEX('E.3. Prov Data'!$T$13:$T$50,MATCH(A19,'E.3. Prov Data'!$A$13:$A$50,0))</f>
        <v>242995</v>
      </c>
      <c r="M19" s="599">
        <f t="shared" si="0"/>
        <v>13537921.389999999</v>
      </c>
      <c r="N19" s="139">
        <f t="shared" si="1"/>
        <v>14798.78</v>
      </c>
    </row>
    <row r="20" spans="1:14">
      <c r="A20" t="s">
        <v>443</v>
      </c>
      <c r="B20" t="s">
        <v>1353</v>
      </c>
      <c r="C20">
        <f>INDEX('E.3. Prov Data'!$AZ$13:$AZ$49,MATCH('G2. 20-21 Prov Tuition Rates'!A20,'E.3. Prov Data'!$A$13:$A$50,0))</f>
        <v>3694.5</v>
      </c>
      <c r="D20" s="599">
        <f>INDEX('E.3. Prov Data'!$B$13:$B$50,MATCH(A20,'E.3. Prov Data'!$A$13:$A$50,0))</f>
        <v>21943276.52</v>
      </c>
      <c r="E20" s="599">
        <f>INDEX('E.3. Prov Data'!$F$13:$F$50,MATCH(A20,'E.3. Prov Data'!$A$13:$A$50,0))</f>
        <v>921017</v>
      </c>
      <c r="F20" s="599">
        <f>INDEX('E.3. Prov Data'!$G$13:$G$50,MATCH(A20,'E.3. Prov Data'!$A$13:$A$50,0))</f>
        <v>6076010</v>
      </c>
      <c r="G20" s="599">
        <f>INDEX('E.3. Prov Data'!$L$13:$L$50,MATCH(A20,'E.3. Prov Data'!$A$13:$A$50,0))+INDEX('E.3. Prov Data'!$M$13:$M$50,MATCH(A20,'E.3. Prov Data'!$A$13:$A$50,0))</f>
        <v>3214986</v>
      </c>
      <c r="H20" s="599">
        <f>INDEX('E.3. Prov Data'!$P$13:$P$50,MATCH(A20,'E.3. Prov Data'!$A$13:$A$50,0))</f>
        <v>27311468.25</v>
      </c>
      <c r="I20" s="599">
        <f>INDEX('E.3. Prov Data'!$Q$13:$Q$50,MATCH(A20,'E.3. Prov Data'!$A$13:$A$50,0))</f>
        <v>1605612</v>
      </c>
      <c r="J20" s="599">
        <f>INDEX('E.3. Prov Data'!$R$13:$R$50,MATCH(A20,'E.3. Prov Data'!$A$13:$A$50,0))</f>
        <v>0</v>
      </c>
      <c r="K20" s="599">
        <f>INDEX('E.3. Prov Data'!$S$13:$S$50,MATCH(A20,'E.3. Prov Data'!$A$13:$A$50,0))+INDEX('E.3. Prov Data'!$U$13:$U$50,MATCH(A20,'E.3. Prov Data'!$A$13:$A$50,0))</f>
        <v>1101787.52</v>
      </c>
      <c r="L20" s="599">
        <f>INDEX('E.3. Prov Data'!$T$13:$T$50,MATCH(A20,'E.3. Prov Data'!$A$13:$A$50,0))</f>
        <v>667708</v>
      </c>
      <c r="M20" s="599">
        <f t="shared" si="0"/>
        <v>56091650.249999993</v>
      </c>
      <c r="N20" s="139">
        <f t="shared" si="1"/>
        <v>15182.47</v>
      </c>
    </row>
    <row r="21" spans="1:14">
      <c r="A21" t="s">
        <v>1943</v>
      </c>
      <c r="B21" t="s">
        <v>1426</v>
      </c>
      <c r="C21">
        <f>INDEX('E.3. Prov Data'!$AZ$13:$AZ$49,MATCH('G2. 20-21 Prov Tuition Rates'!A21,'E.3. Prov Data'!$A$13:$A$50,0))</f>
        <v>15009.100000000002</v>
      </c>
      <c r="D21" s="599">
        <f>INDEX('E.3. Prov Data'!$B$13:$B$50,MATCH(A21,'E.3. Prov Data'!$A$13:$A$50,0))</f>
        <v>82548147.958060414</v>
      </c>
      <c r="E21" s="599">
        <f>INDEX('E.3. Prov Data'!$F$13:$F$50,MATCH(A21,'E.3. Prov Data'!$A$13:$A$50,0))</f>
        <v>2782302</v>
      </c>
      <c r="F21" s="599">
        <f>INDEX('E.3. Prov Data'!$G$13:$G$50,MATCH(A21,'E.3. Prov Data'!$A$13:$A$50,0))</f>
        <v>21918644</v>
      </c>
      <c r="G21" s="599">
        <f>INDEX('E.3. Prov Data'!$L$13:$L$50,MATCH(A21,'E.3. Prov Data'!$A$13:$A$50,0))+INDEX('E.3. Prov Data'!$M$13:$M$50,MATCH(A21,'E.3. Prov Data'!$A$13:$A$50,0))</f>
        <v>4998180</v>
      </c>
      <c r="H21" s="599">
        <f>INDEX('E.3. Prov Data'!$P$13:$P$50,MATCH(A21,'E.3. Prov Data'!$A$13:$A$50,0))</f>
        <v>86477325.379999995</v>
      </c>
      <c r="I21" s="599">
        <f>INDEX('E.3. Prov Data'!$Q$13:$Q$50,MATCH(A21,'E.3. Prov Data'!$A$13:$A$50,0))</f>
        <v>1285058</v>
      </c>
      <c r="J21" s="599">
        <f>INDEX('E.3. Prov Data'!$R$13:$R$50,MATCH(A21,'E.3. Prov Data'!$A$13:$A$50,0))</f>
        <v>0</v>
      </c>
      <c r="K21" s="599">
        <f>INDEX('E.3. Prov Data'!$S$13:$S$50,MATCH(A21,'E.3. Prov Data'!$A$13:$A$50,0))+INDEX('E.3. Prov Data'!$U$13:$U$50,MATCH(A21,'E.3. Prov Data'!$A$13:$A$50,0))</f>
        <v>3589039.540000001</v>
      </c>
      <c r="L21" s="599">
        <f>INDEX('E.3. Prov Data'!$T$13:$T$50,MATCH(A21,'E.3. Prov Data'!$A$13:$A$50,0))</f>
        <v>4496464</v>
      </c>
      <c r="M21" s="599">
        <f t="shared" si="0"/>
        <v>189354037.79806042</v>
      </c>
      <c r="N21" s="139">
        <f t="shared" si="1"/>
        <v>12615.95</v>
      </c>
    </row>
    <row r="22" spans="1:14">
      <c r="A22" t="s">
        <v>444</v>
      </c>
      <c r="C22">
        <f>INDEX('E.3. Prov Data'!$AZ$13:$AZ$49,MATCH('G2. 20-21 Prov Tuition Rates'!A22,'E.3. Prov Data'!$A$13:$A$50,0))</f>
        <v>2989</v>
      </c>
      <c r="D22" s="599">
        <f>INDEX('E.3. Prov Data'!$B$13:$B$50,MATCH(A22,'E.3. Prov Data'!$A$13:$A$50,0))</f>
        <v>22522769.460000001</v>
      </c>
      <c r="E22" s="599">
        <f>INDEX('E.3. Prov Data'!$F$13:$F$50,MATCH(A22,'E.3. Prov Data'!$A$13:$A$50,0))</f>
        <v>618540</v>
      </c>
      <c r="F22" s="599">
        <f>INDEX('E.3. Prov Data'!$G$13:$G$50,MATCH(A22,'E.3. Prov Data'!$A$13:$A$50,0))</f>
        <v>3579073</v>
      </c>
      <c r="G22" s="599">
        <f>INDEX('E.3. Prov Data'!$L$13:$L$50,MATCH(A22,'E.3. Prov Data'!$A$13:$A$50,0))+INDEX('E.3. Prov Data'!$M$13:$M$50,MATCH(A22,'E.3. Prov Data'!$A$13:$A$50,0))</f>
        <v>700164</v>
      </c>
      <c r="H22" s="599">
        <f>INDEX('E.3. Prov Data'!$P$13:$P$50,MATCH(A22,'E.3. Prov Data'!$A$13:$A$50,0))</f>
        <v>15023381.91</v>
      </c>
      <c r="I22" s="599">
        <f>INDEX('E.3. Prov Data'!$Q$13:$Q$50,MATCH(A22,'E.3. Prov Data'!$A$13:$A$50,0))</f>
        <v>1544274</v>
      </c>
      <c r="J22" s="599">
        <f>INDEX('E.3. Prov Data'!$R$13:$R$50,MATCH(A22,'E.3. Prov Data'!$A$13:$A$50,0))</f>
        <v>0</v>
      </c>
      <c r="K22" s="599">
        <f>INDEX('E.3. Prov Data'!$S$13:$S$50,MATCH(A22,'E.3. Prov Data'!$A$13:$A$50,0))+INDEX('E.3. Prov Data'!$U$13:$U$50,MATCH(A22,'E.3. Prov Data'!$A$13:$A$50,0))</f>
        <v>648871.46000000008</v>
      </c>
      <c r="L22" s="599">
        <f>INDEX('E.3. Prov Data'!$T$13:$T$50,MATCH(A22,'E.3. Prov Data'!$A$13:$A$50,0))</f>
        <v>297933</v>
      </c>
      <c r="M22" s="599">
        <f t="shared" si="0"/>
        <v>39952849.910000004</v>
      </c>
      <c r="N22" s="139">
        <f t="shared" si="1"/>
        <v>13366.63</v>
      </c>
    </row>
    <row r="23" spans="1:14">
      <c r="A23" t="s">
        <v>1944</v>
      </c>
      <c r="B23" t="s">
        <v>1380</v>
      </c>
      <c r="C23">
        <f>INDEX('E.3. Prov Data'!$AZ$13:$AZ$49,MATCH('G2. 20-21 Prov Tuition Rates'!A23,'E.3. Prov Data'!$A$13:$A$50,0))</f>
        <v>2976.2</v>
      </c>
      <c r="D23" s="599">
        <f>INDEX('E.3. Prov Data'!$B$13:$B$50,MATCH(A23,'E.3. Prov Data'!$A$13:$A$50,0))</f>
        <v>32822449.66</v>
      </c>
      <c r="E23" s="599">
        <f>INDEX('E.3. Prov Data'!$F$13:$F$50,MATCH(A23,'E.3. Prov Data'!$A$13:$A$50,0))</f>
        <v>658949</v>
      </c>
      <c r="F23" s="599">
        <f>INDEX('E.3. Prov Data'!$G$13:$G$50,MATCH(A23,'E.3. Prov Data'!$A$13:$A$50,0))</f>
        <v>1599762</v>
      </c>
      <c r="G23" s="599">
        <f>INDEX('E.3. Prov Data'!$L$13:$L$50,MATCH(A23,'E.3. Prov Data'!$A$13:$A$50,0))+INDEX('E.3. Prov Data'!$M$13:$M$50,MATCH(A23,'E.3. Prov Data'!$A$13:$A$50,0))</f>
        <v>634127</v>
      </c>
      <c r="H23" s="599">
        <f>INDEX('E.3. Prov Data'!$P$13:$P$50,MATCH(A23,'E.3. Prov Data'!$A$13:$A$50,0))</f>
        <v>7456597.4399999995</v>
      </c>
      <c r="I23" s="599">
        <f>INDEX('E.3. Prov Data'!$Q$13:$Q$50,MATCH(A23,'E.3. Prov Data'!$A$13:$A$50,0))</f>
        <v>73292</v>
      </c>
      <c r="J23" s="599">
        <f>INDEX('E.3. Prov Data'!$R$13:$R$50,MATCH(A23,'E.3. Prov Data'!$A$13:$A$50,0))</f>
        <v>0</v>
      </c>
      <c r="K23" s="599">
        <f>INDEX('E.3. Prov Data'!$S$13:$S$50,MATCH(A23,'E.3. Prov Data'!$A$13:$A$50,0))+INDEX('E.3. Prov Data'!$U$13:$U$50,MATCH(A23,'E.3. Prov Data'!$A$13:$A$50,0))</f>
        <v>796909.65999999992</v>
      </c>
      <c r="L23" s="599">
        <f>INDEX('E.3. Prov Data'!$T$13:$T$50,MATCH(A23,'E.3. Prov Data'!$A$13:$A$50,0))</f>
        <v>944511</v>
      </c>
      <c r="M23" s="599">
        <f t="shared" si="0"/>
        <v>41357172.439999998</v>
      </c>
      <c r="N23" s="139">
        <f t="shared" si="1"/>
        <v>13895.97</v>
      </c>
    </row>
    <row r="24" spans="1:14">
      <c r="A24" t="s">
        <v>450</v>
      </c>
      <c r="B24" t="s">
        <v>1369</v>
      </c>
      <c r="C24">
        <f>INDEX('E.3. Prov Data'!$AZ$13:$AZ$49,MATCH('G2. 20-21 Prov Tuition Rates'!A24,'E.3. Prov Data'!$A$13:$A$50,0))</f>
        <v>1494.2</v>
      </c>
      <c r="D24" s="599">
        <f>INDEX('E.3. Prov Data'!$B$13:$B$50,MATCH(A24,'E.3. Prov Data'!$A$13:$A$50,0))</f>
        <v>9763170.0600000005</v>
      </c>
      <c r="E24" s="599">
        <f>INDEX('E.3. Prov Data'!$F$13:$F$50,MATCH(A24,'E.3. Prov Data'!$A$13:$A$50,0))</f>
        <v>404269</v>
      </c>
      <c r="F24" s="599">
        <f>INDEX('E.3. Prov Data'!$G$13:$G$50,MATCH(A24,'E.3. Prov Data'!$A$13:$A$50,0))</f>
        <v>1687415</v>
      </c>
      <c r="G24" s="599">
        <f>INDEX('E.3. Prov Data'!$L$13:$L$50,MATCH(A24,'E.3. Prov Data'!$A$13:$A$50,0))+INDEX('E.3. Prov Data'!$M$13:$M$50,MATCH(A24,'E.3. Prov Data'!$A$13:$A$50,0))</f>
        <v>962974</v>
      </c>
      <c r="H24" s="599">
        <f>INDEX('E.3. Prov Data'!$P$13:$P$50,MATCH(A24,'E.3. Prov Data'!$A$13:$A$50,0))</f>
        <v>8918654.6500000004</v>
      </c>
      <c r="I24" s="599">
        <f>INDEX('E.3. Prov Data'!$Q$13:$Q$50,MATCH(A24,'E.3. Prov Data'!$A$13:$A$50,0))</f>
        <v>1155425</v>
      </c>
      <c r="J24" s="599">
        <f>INDEX('E.3. Prov Data'!$R$13:$R$50,MATCH(A24,'E.3. Prov Data'!$A$13:$A$50,0))</f>
        <v>0</v>
      </c>
      <c r="K24" s="599">
        <f>INDEX('E.3. Prov Data'!$S$13:$S$50,MATCH(A24,'E.3. Prov Data'!$A$13:$A$50,0))+INDEX('E.3. Prov Data'!$U$13:$U$50,MATCH(A24,'E.3. Prov Data'!$A$13:$A$50,0))</f>
        <v>313922.06</v>
      </c>
      <c r="L24" s="599">
        <f>INDEX('E.3. Prov Data'!$T$13:$T$50,MATCH(A24,'E.3. Prov Data'!$A$13:$A$50,0))</f>
        <v>162701</v>
      </c>
      <c r="M24" s="599">
        <f t="shared" si="0"/>
        <v>20104434.650000002</v>
      </c>
      <c r="N24" s="139">
        <f t="shared" si="1"/>
        <v>13454.98</v>
      </c>
    </row>
    <row r="25" spans="1:14">
      <c r="A25" t="s">
        <v>1945</v>
      </c>
      <c r="B25" t="s">
        <v>1379</v>
      </c>
      <c r="C25">
        <f>INDEX('E.3. Prov Data'!$AZ$13:$AZ$49,MATCH('G2. 20-21 Prov Tuition Rates'!A25,'E.3. Prov Data'!$A$13:$A$50,0))</f>
        <v>14364.1</v>
      </c>
      <c r="D25" s="599">
        <f>INDEX('E.3. Prov Data'!$B$13:$B$50,MATCH(A25,'E.3. Prov Data'!$A$13:$A$50,0))</f>
        <v>60126514.462195925</v>
      </c>
      <c r="E25" s="599">
        <f>INDEX('E.3. Prov Data'!$F$13:$F$50,MATCH(A25,'E.3. Prov Data'!$A$13:$A$50,0))</f>
        <v>2597713</v>
      </c>
      <c r="F25" s="599">
        <f>INDEX('E.3. Prov Data'!$G$13:$G$50,MATCH(A25,'E.3. Prov Data'!$A$13:$A$50,0))</f>
        <v>21698377</v>
      </c>
      <c r="G25" s="599">
        <f>INDEX('E.3. Prov Data'!$L$13:$L$50,MATCH(A25,'E.3. Prov Data'!$A$13:$A$50,0))+INDEX('E.3. Prov Data'!$M$13:$M$50,MATCH(A25,'E.3. Prov Data'!$A$13:$A$50,0))</f>
        <v>4568210</v>
      </c>
      <c r="H25" s="599">
        <f>INDEX('E.3. Prov Data'!$P$13:$P$50,MATCH(A25,'E.3. Prov Data'!$A$13:$A$50,0))</f>
        <v>94603933.010000005</v>
      </c>
      <c r="I25" s="599">
        <f>INDEX('E.3. Prov Data'!$Q$13:$Q$50,MATCH(A25,'E.3. Prov Data'!$A$13:$A$50,0))</f>
        <v>1238964</v>
      </c>
      <c r="J25" s="599">
        <f>INDEX('E.3. Prov Data'!$R$13:$R$50,MATCH(A25,'E.3. Prov Data'!$A$13:$A$50,0))</f>
        <v>0</v>
      </c>
      <c r="K25" s="599">
        <f>INDEX('E.3. Prov Data'!$S$13:$S$50,MATCH(A25,'E.3. Prov Data'!$A$13:$A$50,0))+INDEX('E.3. Prov Data'!$U$13:$U$50,MATCH(A25,'E.3. Prov Data'!$A$13:$A$50,0))</f>
        <v>3242627.12</v>
      </c>
      <c r="L25" s="599">
        <f>INDEX('E.3. Prov Data'!$T$13:$T$50,MATCH(A25,'E.3. Prov Data'!$A$13:$A$50,0))</f>
        <v>3201195</v>
      </c>
      <c r="M25" s="599">
        <f t="shared" si="0"/>
        <v>175911961.35219592</v>
      </c>
      <c r="N25" s="139">
        <f t="shared" si="1"/>
        <v>12246.64</v>
      </c>
    </row>
    <row r="26" spans="1:14">
      <c r="A26" t="s">
        <v>1946</v>
      </c>
      <c r="C26">
        <f>INDEX('E.3. Prov Data'!$AZ$13:$AZ$49,MATCH('G2. 20-21 Prov Tuition Rates'!A26,'E.3. Prov Data'!$A$13:$A$50,0))</f>
        <v>1025.5</v>
      </c>
      <c r="D26" s="599">
        <f>INDEX('E.3. Prov Data'!$B$13:$B$50,MATCH(A26,'E.3. Prov Data'!$A$13:$A$50,0))</f>
        <v>6884193.7999999998</v>
      </c>
      <c r="E26" s="599">
        <f>INDEX('E.3. Prov Data'!$F$13:$F$50,MATCH(A26,'E.3. Prov Data'!$A$13:$A$50,0))</f>
        <v>237077</v>
      </c>
      <c r="F26" s="599">
        <f>INDEX('E.3. Prov Data'!$G$13:$G$50,MATCH(A26,'E.3. Prov Data'!$A$13:$A$50,0))</f>
        <v>1052110</v>
      </c>
      <c r="G26" s="599">
        <f>INDEX('E.3. Prov Data'!$L$13:$L$50,MATCH(A26,'E.3. Prov Data'!$A$13:$A$50,0))+INDEX('E.3. Prov Data'!$M$13:$M$50,MATCH(A26,'E.3. Prov Data'!$A$13:$A$50,0))</f>
        <v>473431</v>
      </c>
      <c r="H26" s="599">
        <f>INDEX('E.3. Prov Data'!$P$13:$P$50,MATCH(A26,'E.3. Prov Data'!$A$13:$A$50,0))</f>
        <v>7055823.75</v>
      </c>
      <c r="I26" s="599">
        <f>INDEX('E.3. Prov Data'!$Q$13:$Q$50,MATCH(A26,'E.3. Prov Data'!$A$13:$A$50,0))</f>
        <v>671624</v>
      </c>
      <c r="J26" s="599">
        <f>INDEX('E.3. Prov Data'!$R$13:$R$50,MATCH(A26,'E.3. Prov Data'!$A$13:$A$50,0))</f>
        <v>0</v>
      </c>
      <c r="K26" s="599">
        <f>INDEX('E.3. Prov Data'!$S$13:$S$50,MATCH(A26,'E.3. Prov Data'!$A$13:$A$50,0))+INDEX('E.3. Prov Data'!$U$13:$U$50,MATCH(A26,'E.3. Prov Data'!$A$13:$A$50,0))</f>
        <v>243980.79999999999</v>
      </c>
      <c r="L26" s="599">
        <f>INDEX('E.3. Prov Data'!$T$13:$T$50,MATCH(A26,'E.3. Prov Data'!$A$13:$A$50,0))</f>
        <v>253560</v>
      </c>
      <c r="M26" s="599">
        <f t="shared" si="0"/>
        <v>14533470.75</v>
      </c>
      <c r="N26" s="139">
        <f t="shared" si="1"/>
        <v>14172.08</v>
      </c>
    </row>
    <row r="27" spans="1:14">
      <c r="A27" t="s">
        <v>451</v>
      </c>
      <c r="B27" t="s">
        <v>1371</v>
      </c>
      <c r="C27">
        <f>INDEX('E.3. Prov Data'!$AZ$13:$AZ$49,MATCH('G2. 20-21 Prov Tuition Rates'!A27,'E.3. Prov Data'!$A$13:$A$50,0))</f>
        <v>3021.1000000000004</v>
      </c>
      <c r="D27" s="599">
        <f>INDEX('E.3. Prov Data'!$B$13:$B$50,MATCH(A27,'E.3. Prov Data'!$A$13:$A$50,0))</f>
        <v>18595871.672935043</v>
      </c>
      <c r="E27" s="599">
        <f>INDEX('E.3. Prov Data'!$F$13:$F$50,MATCH(A27,'E.3. Prov Data'!$A$13:$A$50,0))</f>
        <v>628105</v>
      </c>
      <c r="F27" s="599">
        <f>INDEX('E.3. Prov Data'!$G$13:$G$50,MATCH(A27,'E.3. Prov Data'!$A$13:$A$50,0))</f>
        <v>3384686</v>
      </c>
      <c r="G27" s="599">
        <f>INDEX('E.3. Prov Data'!$L$13:$L$50,MATCH(A27,'E.3. Prov Data'!$A$13:$A$50,0))+INDEX('E.3. Prov Data'!$M$13:$M$50,MATCH(A27,'E.3. Prov Data'!$A$13:$A$50,0))</f>
        <v>644091</v>
      </c>
      <c r="H27" s="599">
        <f>INDEX('E.3. Prov Data'!$P$13:$P$50,MATCH(A27,'E.3. Prov Data'!$A$13:$A$50,0))</f>
        <v>16620709.1</v>
      </c>
      <c r="I27" s="599">
        <f>INDEX('E.3. Prov Data'!$Q$13:$Q$50,MATCH(A27,'E.3. Prov Data'!$A$13:$A$50,0))</f>
        <v>798639</v>
      </c>
      <c r="J27" s="599">
        <f>INDEX('E.3. Prov Data'!$R$13:$R$50,MATCH(A27,'E.3. Prov Data'!$A$13:$A$50,0))</f>
        <v>0</v>
      </c>
      <c r="K27" s="599">
        <f>INDEX('E.3. Prov Data'!$S$13:$S$50,MATCH(A27,'E.3. Prov Data'!$A$13:$A$50,0))+INDEX('E.3. Prov Data'!$U$13:$U$50,MATCH(A27,'E.3. Prov Data'!$A$13:$A$50,0))</f>
        <v>970616.8</v>
      </c>
      <c r="L27" s="599">
        <f>INDEX('E.3. Prov Data'!$T$13:$T$50,MATCH(A27,'E.3. Prov Data'!$A$13:$A$50,0))</f>
        <v>650804</v>
      </c>
      <c r="M27" s="599">
        <f t="shared" si="0"/>
        <v>37453402.972935043</v>
      </c>
      <c r="N27" s="139">
        <f t="shared" si="1"/>
        <v>12397.27</v>
      </c>
    </row>
    <row r="28" spans="1:14">
      <c r="A28" t="s">
        <v>1947</v>
      </c>
      <c r="C28">
        <f>INDEX('E.3. Prov Data'!$AZ$13:$AZ$49,MATCH('G2. 20-21 Prov Tuition Rates'!A28,'E.3. Prov Data'!$A$13:$A$50,0))</f>
        <v>2275.1999999999998</v>
      </c>
      <c r="D28" s="599">
        <f>INDEX('E.3. Prov Data'!$B$13:$B$50,MATCH(A28,'E.3. Prov Data'!$A$13:$A$50,0))</f>
        <v>12171403.515354326</v>
      </c>
      <c r="E28" s="599">
        <f>INDEX('E.3. Prov Data'!$F$13:$F$50,MATCH(A28,'E.3. Prov Data'!$A$13:$A$50,0))</f>
        <v>471914</v>
      </c>
      <c r="F28" s="599">
        <f>INDEX('E.3. Prov Data'!$G$13:$G$50,MATCH(A28,'E.3. Prov Data'!$A$13:$A$50,0))</f>
        <v>2552962</v>
      </c>
      <c r="G28" s="599">
        <f>INDEX('E.3. Prov Data'!$L$13:$L$50,MATCH(A28,'E.3. Prov Data'!$A$13:$A$50,0))+INDEX('E.3. Prov Data'!$M$13:$M$50,MATCH(A28,'E.3. Prov Data'!$A$13:$A$50,0))</f>
        <v>1422500</v>
      </c>
      <c r="H28" s="599">
        <f>INDEX('E.3. Prov Data'!$P$13:$P$50,MATCH(A28,'E.3. Prov Data'!$A$13:$A$50,0))</f>
        <v>15439213.390000001</v>
      </c>
      <c r="I28" s="599">
        <f>INDEX('E.3. Prov Data'!$Q$13:$Q$50,MATCH(A28,'E.3. Prov Data'!$A$13:$A$50,0))</f>
        <v>1351969</v>
      </c>
      <c r="J28" s="599">
        <f>INDEX('E.3. Prov Data'!$R$13:$R$50,MATCH(A28,'E.3. Prov Data'!$A$13:$A$50,0))</f>
        <v>0</v>
      </c>
      <c r="K28" s="599">
        <f>INDEX('E.3. Prov Data'!$S$13:$S$50,MATCH(A28,'E.3. Prov Data'!$A$13:$A$50,0))+INDEX('E.3. Prov Data'!$U$13:$U$50,MATCH(A28,'E.3. Prov Data'!$A$13:$A$50,0))</f>
        <v>392126.20000000007</v>
      </c>
      <c r="L28" s="599">
        <f>INDEX('E.3. Prov Data'!$T$13:$T$50,MATCH(A28,'E.3. Prov Data'!$A$13:$A$50,0))</f>
        <v>363436</v>
      </c>
      <c r="M28" s="599">
        <f t="shared" si="0"/>
        <v>29950461.705354329</v>
      </c>
      <c r="N28" s="139">
        <f t="shared" si="1"/>
        <v>13163.88</v>
      </c>
    </row>
    <row r="29" spans="1:14">
      <c r="A29" t="s">
        <v>445</v>
      </c>
      <c r="C29">
        <f>INDEX('E.3. Prov Data'!$AZ$13:$AZ$49,MATCH('G2. 20-21 Prov Tuition Rates'!A29,'E.3. Prov Data'!$A$13:$A$50,0))</f>
        <v>2029</v>
      </c>
      <c r="D29" s="599">
        <f>INDEX('E.3. Prov Data'!$B$13:$B$50,MATCH(A29,'E.3. Prov Data'!$A$13:$A$50,0))</f>
        <v>12856322.24</v>
      </c>
      <c r="E29" s="599">
        <f>INDEX('E.3. Prov Data'!$F$13:$F$50,MATCH(A29,'E.3. Prov Data'!$A$13:$A$50,0))</f>
        <v>430404</v>
      </c>
      <c r="F29" s="599">
        <f>INDEX('E.3. Prov Data'!$G$13:$G$50,MATCH(A29,'E.3. Prov Data'!$A$13:$A$50,0))</f>
        <v>1883713</v>
      </c>
      <c r="G29" s="599">
        <f>INDEX('E.3. Prov Data'!$L$13:$L$50,MATCH(A29,'E.3. Prov Data'!$A$13:$A$50,0))+INDEX('E.3. Prov Data'!$M$13:$M$50,MATCH(A29,'E.3. Prov Data'!$A$13:$A$50,0))</f>
        <v>1053953</v>
      </c>
      <c r="H29" s="599">
        <f>INDEX('E.3. Prov Data'!$P$13:$P$50,MATCH(A29,'E.3. Prov Data'!$A$13:$A$50,0))</f>
        <v>12531839.16</v>
      </c>
      <c r="I29" s="599">
        <f>INDEX('E.3. Prov Data'!$Q$13:$Q$50,MATCH(A29,'E.3. Prov Data'!$A$13:$A$50,0))</f>
        <v>1407541</v>
      </c>
      <c r="J29" s="599">
        <f>INDEX('E.3. Prov Data'!$R$13:$R$50,MATCH(A29,'E.3. Prov Data'!$A$13:$A$50,0))</f>
        <v>0</v>
      </c>
      <c r="K29" s="599">
        <f>INDEX('E.3. Prov Data'!$S$13:$S$50,MATCH(A29,'E.3. Prov Data'!$A$13:$A$50,0))+INDEX('E.3. Prov Data'!$U$13:$U$50,MATCH(A29,'E.3. Prov Data'!$A$13:$A$50,0))</f>
        <v>363478.24</v>
      </c>
      <c r="L29" s="599">
        <f>INDEX('E.3. Prov Data'!$T$13:$T$50,MATCH(A29,'E.3. Prov Data'!$A$13:$A$50,0))</f>
        <v>338080</v>
      </c>
      <c r="M29" s="599">
        <f t="shared" si="0"/>
        <v>26647132.159999996</v>
      </c>
      <c r="N29" s="139">
        <f t="shared" si="1"/>
        <v>13133.14</v>
      </c>
    </row>
    <row r="30" spans="1:14">
      <c r="A30" t="s">
        <v>1948</v>
      </c>
      <c r="C30">
        <f>INDEX('E.3. Prov Data'!$AZ$13:$AZ$49,MATCH('G2. 20-21 Prov Tuition Rates'!A30,'E.3. Prov Data'!$A$13:$A$50,0))</f>
        <v>2226.5</v>
      </c>
      <c r="D30" s="599">
        <f>INDEX('E.3. Prov Data'!$B$13:$B$50,MATCH(A30,'E.3. Prov Data'!$A$13:$A$50,0))</f>
        <v>12129749.163246576</v>
      </c>
      <c r="E30" s="599">
        <f>INDEX('E.3. Prov Data'!$F$13:$F$50,MATCH(A30,'E.3. Prov Data'!$A$13:$A$50,0))</f>
        <v>462294</v>
      </c>
      <c r="F30" s="599">
        <f>INDEX('E.3. Prov Data'!$G$13:$G$50,MATCH(A30,'E.3. Prov Data'!$A$13:$A$50,0))</f>
        <v>2349596</v>
      </c>
      <c r="G30" s="599">
        <f>INDEX('E.3. Prov Data'!$L$13:$L$50,MATCH(A30,'E.3. Prov Data'!$A$13:$A$50,0))+INDEX('E.3. Prov Data'!$M$13:$M$50,MATCH(A30,'E.3. Prov Data'!$A$13:$A$50,0))</f>
        <v>1021151</v>
      </c>
      <c r="H30" s="599">
        <f>INDEX('E.3. Prov Data'!$P$13:$P$50,MATCH(A30,'E.3. Prov Data'!$A$13:$A$50,0))</f>
        <v>15956857.25</v>
      </c>
      <c r="I30" s="599">
        <f>INDEX('E.3. Prov Data'!$Q$13:$Q$50,MATCH(A30,'E.3. Prov Data'!$A$13:$A$50,0))</f>
        <v>1475149</v>
      </c>
      <c r="J30" s="599">
        <f>INDEX('E.3. Prov Data'!$R$13:$R$50,MATCH(A30,'E.3. Prov Data'!$A$13:$A$50,0))</f>
        <v>0</v>
      </c>
      <c r="K30" s="599">
        <f>INDEX('E.3. Prov Data'!$S$13:$S$50,MATCH(A30,'E.3. Prov Data'!$A$13:$A$50,0))+INDEX('E.3. Prov Data'!$U$13:$U$50,MATCH(A30,'E.3. Prov Data'!$A$13:$A$50,0))</f>
        <v>628219.72</v>
      </c>
      <c r="L30" s="599">
        <f>INDEX('E.3. Prov Data'!$T$13:$T$50,MATCH(A30,'E.3. Prov Data'!$A$13:$A$50,0))</f>
        <v>511346</v>
      </c>
      <c r="M30" s="599">
        <f t="shared" si="0"/>
        <v>29304932.693246577</v>
      </c>
      <c r="N30" s="139">
        <f t="shared" si="1"/>
        <v>13161.88</v>
      </c>
    </row>
    <row r="31" spans="1:14">
      <c r="A31" t="s">
        <v>1949</v>
      </c>
      <c r="B31" t="s">
        <v>1367</v>
      </c>
      <c r="C31">
        <f>INDEX('E.3. Prov Data'!$AZ$13:$AZ$49,MATCH('G2. 20-21 Prov Tuition Rates'!A31,'E.3. Prov Data'!$A$13:$A$50,0))</f>
        <v>16203.8</v>
      </c>
      <c r="D31" s="599">
        <f>INDEX('E.3. Prov Data'!$B$13:$B$50,MATCH(A31,'E.3. Prov Data'!$A$13:$A$50,0))</f>
        <v>98392865.480000004</v>
      </c>
      <c r="E31" s="599">
        <f>INDEX('E.3. Prov Data'!$F$13:$F$50,MATCH(A31,'E.3. Prov Data'!$A$13:$A$50,0))</f>
        <v>3094093</v>
      </c>
      <c r="F31" s="599">
        <f>INDEX('E.3. Prov Data'!$G$13:$G$50,MATCH(A31,'E.3. Prov Data'!$A$13:$A$50,0))</f>
        <v>23479682</v>
      </c>
      <c r="G31" s="599">
        <f>INDEX('E.3. Prov Data'!$L$13:$L$50,MATCH(A31,'E.3. Prov Data'!$A$13:$A$50,0))+INDEX('E.3. Prov Data'!$M$13:$M$50,MATCH(A31,'E.3. Prov Data'!$A$13:$A$50,0))</f>
        <v>2605860</v>
      </c>
      <c r="H31" s="599">
        <f>INDEX('E.3. Prov Data'!$P$13:$P$50,MATCH(A31,'E.3. Prov Data'!$A$13:$A$50,0))</f>
        <v>76821575.289999992</v>
      </c>
      <c r="I31" s="599">
        <f>INDEX('E.3. Prov Data'!$Q$13:$Q$50,MATCH(A31,'E.3. Prov Data'!$A$13:$A$50,0))</f>
        <v>1927055</v>
      </c>
      <c r="J31" s="599">
        <f>INDEX('E.3. Prov Data'!$R$13:$R$50,MATCH(A31,'E.3. Prov Data'!$A$13:$A$50,0))</f>
        <v>0</v>
      </c>
      <c r="K31" s="599">
        <f>INDEX('E.3. Prov Data'!$S$13:$S$50,MATCH(A31,'E.3. Prov Data'!$A$13:$A$50,0))+INDEX('E.3. Prov Data'!$U$13:$U$50,MATCH(A31,'E.3. Prov Data'!$A$13:$A$50,0))</f>
        <v>4594545.4800000004</v>
      </c>
      <c r="L31" s="599">
        <f>INDEX('E.3. Prov Data'!$T$13:$T$50,MATCH(A31,'E.3. Prov Data'!$A$13:$A$50,0))</f>
        <v>4187966</v>
      </c>
      <c r="M31" s="599">
        <f t="shared" si="0"/>
        <v>193684509.28999999</v>
      </c>
      <c r="N31" s="139">
        <f t="shared" si="1"/>
        <v>11953.03</v>
      </c>
    </row>
    <row r="32" spans="1:14">
      <c r="A32" t="s">
        <v>446</v>
      </c>
      <c r="C32">
        <f>INDEX('E.3. Prov Data'!$AZ$13:$AZ$49,MATCH('G2. 20-21 Prov Tuition Rates'!A32,'E.3. Prov Data'!$A$13:$A$50,0))</f>
        <v>1623.5</v>
      </c>
      <c r="D32" s="599">
        <f>INDEX('E.3. Prov Data'!$B$13:$B$50,MATCH(A32,'E.3. Prov Data'!$A$13:$A$50,0))</f>
        <v>9270972.8000000007</v>
      </c>
      <c r="E32" s="599">
        <f>INDEX('E.3. Prov Data'!$F$13:$F$50,MATCH(A32,'E.3. Prov Data'!$A$13:$A$50,0))</f>
        <v>364186</v>
      </c>
      <c r="F32" s="599">
        <f>INDEX('E.3. Prov Data'!$G$13:$G$50,MATCH(A32,'E.3. Prov Data'!$A$13:$A$50,0))</f>
        <v>2307331</v>
      </c>
      <c r="G32" s="599">
        <f>INDEX('E.3. Prov Data'!$L$13:$L$50,MATCH(A32,'E.3. Prov Data'!$A$13:$A$50,0))+INDEX('E.3. Prov Data'!$M$13:$M$50,MATCH(A32,'E.3. Prov Data'!$A$13:$A$50,0))</f>
        <v>978564</v>
      </c>
      <c r="H32" s="599">
        <f>INDEX('E.3. Prov Data'!$P$13:$P$50,MATCH(A32,'E.3. Prov Data'!$A$13:$A$50,0))</f>
        <v>10842206.57</v>
      </c>
      <c r="I32" s="599">
        <f>INDEX('E.3. Prov Data'!$Q$13:$Q$50,MATCH(A32,'E.3. Prov Data'!$A$13:$A$50,0))</f>
        <v>891036</v>
      </c>
      <c r="J32" s="599">
        <f>INDEX('E.3. Prov Data'!$R$13:$R$50,MATCH(A32,'E.3. Prov Data'!$A$13:$A$50,0))</f>
        <v>0</v>
      </c>
      <c r="K32" s="599">
        <f>INDEX('E.3. Prov Data'!$S$13:$S$50,MATCH(A32,'E.3. Prov Data'!$A$13:$A$50,0))+INDEX('E.3. Prov Data'!$U$13:$U$50,MATCH(A32,'E.3. Prov Data'!$A$13:$A$50,0))</f>
        <v>340121.8</v>
      </c>
      <c r="L32" s="599">
        <f>INDEX('E.3. Prov Data'!$T$13:$T$50,MATCH(A32,'E.3. Prov Data'!$A$13:$A$50,0))</f>
        <v>126780</v>
      </c>
      <c r="M32" s="599">
        <f t="shared" si="0"/>
        <v>22405322.57</v>
      </c>
      <c r="N32" s="139">
        <f t="shared" si="1"/>
        <v>13800.63</v>
      </c>
    </row>
    <row r="33" spans="1:14">
      <c r="A33" t="s">
        <v>1950</v>
      </c>
      <c r="C33">
        <f>INDEX('E.3. Prov Data'!$AZ$13:$AZ$49,MATCH('G2. 20-21 Prov Tuition Rates'!A33,'E.3. Prov Data'!$A$13:$A$50,0))</f>
        <v>4277.3999999999996</v>
      </c>
      <c r="D33" s="599">
        <f>INDEX('E.3. Prov Data'!$B$13:$B$50,MATCH(A33,'E.3. Prov Data'!$A$13:$A$50,0))</f>
        <v>30490046.989033777</v>
      </c>
      <c r="E33" s="599">
        <f>INDEX('E.3. Prov Data'!$F$13:$F$50,MATCH(A33,'E.3. Prov Data'!$A$13:$A$50,0))</f>
        <v>834832</v>
      </c>
      <c r="F33" s="599">
        <f>INDEX('E.3. Prov Data'!$G$13:$G$50,MATCH(A33,'E.3. Prov Data'!$A$13:$A$50,0))</f>
        <v>5206340</v>
      </c>
      <c r="G33" s="599">
        <f>INDEX('E.3. Prov Data'!$L$13:$L$50,MATCH(A33,'E.3. Prov Data'!$A$13:$A$50,0))+INDEX('E.3. Prov Data'!$M$13:$M$50,MATCH(A33,'E.3. Prov Data'!$A$13:$A$50,0))</f>
        <v>1510825</v>
      </c>
      <c r="H33" s="599">
        <f>INDEX('E.3. Prov Data'!$P$13:$P$50,MATCH(A33,'E.3. Prov Data'!$A$13:$A$50,0))</f>
        <v>19473654.149999999</v>
      </c>
      <c r="I33" s="599">
        <f>INDEX('E.3. Prov Data'!$Q$13:$Q$50,MATCH(A33,'E.3. Prov Data'!$A$13:$A$50,0))</f>
        <v>1736172</v>
      </c>
      <c r="J33" s="599">
        <f>INDEX('E.3. Prov Data'!$R$13:$R$50,MATCH(A33,'E.3. Prov Data'!$A$13:$A$50,0))</f>
        <v>0</v>
      </c>
      <c r="K33" s="599">
        <f>INDEX('E.3. Prov Data'!$S$13:$S$50,MATCH(A33,'E.3. Prov Data'!$A$13:$A$50,0))+INDEX('E.3. Prov Data'!$U$13:$U$50,MATCH(A33,'E.3. Prov Data'!$A$13:$A$50,0))</f>
        <v>1379241.7399999998</v>
      </c>
      <c r="L33" s="599">
        <f>INDEX('E.3. Prov Data'!$T$13:$T$50,MATCH(A33,'E.3. Prov Data'!$A$13:$A$50,0))</f>
        <v>961415</v>
      </c>
      <c r="M33" s="599">
        <f t="shared" si="0"/>
        <v>53438869.39903377</v>
      </c>
      <c r="N33" s="139">
        <f t="shared" si="1"/>
        <v>12493.31</v>
      </c>
    </row>
    <row r="34" spans="1:14">
      <c r="A34" t="s">
        <v>1951</v>
      </c>
      <c r="B34" t="s">
        <v>1359</v>
      </c>
      <c r="C34">
        <f>INDEX('E.3. Prov Data'!$AZ$13:$AZ$49,MATCH('G2. 20-21 Prov Tuition Rates'!A34,'E.3. Prov Data'!$A$13:$A$50,0))</f>
        <v>11298.7</v>
      </c>
      <c r="D34" s="599">
        <f>INDEX('E.3. Prov Data'!$B$13:$B$50,MATCH(A34,'E.3. Prov Data'!$A$13:$A$50,0))</f>
        <v>79772285.939999998</v>
      </c>
      <c r="E34" s="599">
        <f>INDEX('E.3. Prov Data'!$F$13:$F$50,MATCH(A34,'E.3. Prov Data'!$A$13:$A$50,0))</f>
        <v>2237252</v>
      </c>
      <c r="F34" s="599">
        <f>INDEX('E.3. Prov Data'!$G$13:$G$50,MATCH(A34,'E.3. Prov Data'!$A$13:$A$50,0))</f>
        <v>12532523</v>
      </c>
      <c r="G34" s="599">
        <f>INDEX('E.3. Prov Data'!$L$13:$L$50,MATCH(A34,'E.3. Prov Data'!$A$13:$A$50,0))+INDEX('E.3. Prov Data'!$M$13:$M$50,MATCH(A34,'E.3. Prov Data'!$A$13:$A$50,0))</f>
        <v>3950323</v>
      </c>
      <c r="H34" s="599">
        <f>INDEX('E.3. Prov Data'!$P$13:$P$50,MATCH(A34,'E.3. Prov Data'!$A$13:$A$50,0))</f>
        <v>52490727.689999998</v>
      </c>
      <c r="I34" s="599">
        <f>INDEX('E.3. Prov Data'!$Q$13:$Q$50,MATCH(A34,'E.3. Prov Data'!$A$13:$A$50,0))</f>
        <v>1111962</v>
      </c>
      <c r="J34" s="599">
        <f>INDEX('E.3. Prov Data'!$R$13:$R$50,MATCH(A34,'E.3. Prov Data'!$A$13:$A$50,0))</f>
        <v>0</v>
      </c>
      <c r="K34" s="599">
        <f>INDEX('E.3. Prov Data'!$S$13:$S$50,MATCH(A34,'E.3. Prov Data'!$A$13:$A$50,0))+INDEX('E.3. Prov Data'!$U$13:$U$50,MATCH(A34,'E.3. Prov Data'!$A$13:$A$50,0))</f>
        <v>2635607.9400000004</v>
      </c>
      <c r="L34" s="599">
        <f>INDEX('E.3. Prov Data'!$T$13:$T$50,MATCH(A34,'E.3. Prov Data'!$A$13:$A$50,0))</f>
        <v>3180065</v>
      </c>
      <c r="M34" s="599">
        <f t="shared" si="0"/>
        <v>144055476.69</v>
      </c>
      <c r="N34" s="139">
        <f t="shared" si="1"/>
        <v>12749.74</v>
      </c>
    </row>
    <row r="35" spans="1:14">
      <c r="A35" t="s">
        <v>1952</v>
      </c>
      <c r="C35">
        <f>INDEX('E.3. Prov Data'!$AZ$13:$AZ$49,MATCH('G2. 20-21 Prov Tuition Rates'!A35,'E.3. Prov Data'!$A$13:$A$50,0))</f>
        <v>1497</v>
      </c>
      <c r="D35" s="599">
        <f>INDEX('E.3. Prov Data'!$B$13:$B$50,MATCH(A35,'E.3. Prov Data'!$A$13:$A$50,0))</f>
        <v>8387938.859607432</v>
      </c>
      <c r="E35" s="599">
        <f>INDEX('E.3. Prov Data'!$F$13:$F$50,MATCH(A35,'E.3. Prov Data'!$A$13:$A$50,0))</f>
        <v>342080</v>
      </c>
      <c r="F35" s="599">
        <f>INDEX('E.3. Prov Data'!$G$13:$G$50,MATCH(A35,'E.3. Prov Data'!$A$13:$A$50,0))</f>
        <v>1656711</v>
      </c>
      <c r="G35" s="599">
        <f>INDEX('E.3. Prov Data'!$L$13:$L$50,MATCH(A35,'E.3. Prov Data'!$A$13:$A$50,0))+INDEX('E.3. Prov Data'!$M$13:$M$50,MATCH(A35,'E.3. Prov Data'!$A$13:$A$50,0))</f>
        <v>998698</v>
      </c>
      <c r="H35" s="599">
        <f>INDEX('E.3. Prov Data'!$P$13:$P$50,MATCH(A35,'E.3. Prov Data'!$A$13:$A$50,0))</f>
        <v>12567069.73</v>
      </c>
      <c r="I35" s="599">
        <f>INDEX('E.3. Prov Data'!$Q$13:$Q$50,MATCH(A35,'E.3. Prov Data'!$A$13:$A$50,0))</f>
        <v>1034636</v>
      </c>
      <c r="J35" s="599">
        <f>INDEX('E.3. Prov Data'!$R$13:$R$50,MATCH(A35,'E.3. Prov Data'!$A$13:$A$50,0))</f>
        <v>0</v>
      </c>
      <c r="K35" s="599">
        <f>INDEX('E.3. Prov Data'!$S$13:$S$50,MATCH(A35,'E.3. Prov Data'!$A$13:$A$50,0))+INDEX('E.3. Prov Data'!$U$13:$U$50,MATCH(A35,'E.3. Prov Data'!$A$13:$A$50,0))</f>
        <v>259538.74</v>
      </c>
      <c r="L35" s="599">
        <f>INDEX('E.3. Prov Data'!$T$13:$T$50,MATCH(A35,'E.3. Prov Data'!$A$13:$A$50,0))</f>
        <v>211300</v>
      </c>
      <c r="M35" s="599">
        <f t="shared" si="0"/>
        <v>22447022.849607434</v>
      </c>
      <c r="N35" s="139">
        <f t="shared" si="1"/>
        <v>14994.67</v>
      </c>
    </row>
    <row r="36" spans="1:14">
      <c r="A36" t="s">
        <v>1304</v>
      </c>
      <c r="B36" t="s">
        <v>1363</v>
      </c>
      <c r="C36">
        <f>INDEX('E.3. Prov Data'!$AZ$13:$AZ$49,MATCH('G2. 20-21 Prov Tuition Rates'!A36,'E.3. Prov Data'!$A$13:$A$50,0))</f>
        <v>8132.5</v>
      </c>
      <c r="D36" s="599">
        <f>INDEX('E.3. Prov Data'!$B$13:$B$50,MATCH(A36,'E.3. Prov Data'!$A$13:$A$50,0))</f>
        <v>37820133.527859598</v>
      </c>
      <c r="E36" s="599">
        <f>INDEX('E.3. Prov Data'!$F$13:$F$50,MATCH(A36,'E.3. Prov Data'!$A$13:$A$50,0))</f>
        <v>1680998</v>
      </c>
      <c r="F36" s="599">
        <f>INDEX('E.3. Prov Data'!$G$13:$G$50,MATCH(A36,'E.3. Prov Data'!$A$13:$A$50,0))</f>
        <v>12566855</v>
      </c>
      <c r="G36" s="599">
        <f>INDEX('E.3. Prov Data'!$L$13:$L$50,MATCH(A36,'E.3. Prov Data'!$A$13:$A$50,0))+INDEX('E.3. Prov Data'!$M$13:$M$50,MATCH(A36,'E.3. Prov Data'!$A$13:$A$50,0))</f>
        <v>3099142</v>
      </c>
      <c r="H36" s="599">
        <f>INDEX('E.3. Prov Data'!$P$13:$P$50,MATCH(A36,'E.3. Prov Data'!$A$13:$A$50,0))</f>
        <v>57166342.509999998</v>
      </c>
      <c r="I36" s="599">
        <f>INDEX('E.3. Prov Data'!$Q$13:$Q$50,MATCH(A36,'E.3. Prov Data'!$A$13:$A$50,0))</f>
        <v>724422</v>
      </c>
      <c r="J36" s="599">
        <f>INDEX('E.3. Prov Data'!$R$13:$R$50,MATCH(A36,'E.3. Prov Data'!$A$13:$A$50,0))</f>
        <v>0</v>
      </c>
      <c r="K36" s="599">
        <f>INDEX('E.3. Prov Data'!$S$13:$S$50,MATCH(A36,'E.3. Prov Data'!$A$13:$A$50,0))+INDEX('E.3. Prov Data'!$U$13:$U$50,MATCH(A36,'E.3. Prov Data'!$A$13:$A$50,0))</f>
        <v>2741723.1000000006</v>
      </c>
      <c r="L36" s="599">
        <f>INDEX('E.3. Prov Data'!$T$13:$T$50,MATCH(A36,'E.3. Prov Data'!$A$13:$A$50,0))</f>
        <v>1743225</v>
      </c>
      <c r="M36" s="599">
        <f t="shared" si="0"/>
        <v>107124100.93785959</v>
      </c>
      <c r="N36" s="139">
        <f t="shared" si="1"/>
        <v>13172.35</v>
      </c>
    </row>
    <row r="37" spans="1:14">
      <c r="A37" t="s">
        <v>447</v>
      </c>
      <c r="C37">
        <f>INDEX('E.3. Prov Data'!$AZ$13:$AZ$49,MATCH('G2. 20-21 Prov Tuition Rates'!A37,'E.3. Prov Data'!$A$13:$A$50,0))</f>
        <v>4479.3999999999996</v>
      </c>
      <c r="D37" s="599">
        <f>INDEX('E.3. Prov Data'!$B$13:$B$50,MATCH(A37,'E.3. Prov Data'!$A$13:$A$50,0))</f>
        <v>25683300.679668833</v>
      </c>
      <c r="E37" s="599">
        <f>INDEX('E.3. Prov Data'!$F$13:$F$50,MATCH(A37,'E.3. Prov Data'!$A$13:$A$50,0))</f>
        <v>1001310</v>
      </c>
      <c r="F37" s="599">
        <f>INDEX('E.3. Prov Data'!$G$13:$G$50,MATCH(A37,'E.3. Prov Data'!$A$13:$A$50,0))</f>
        <v>7518501</v>
      </c>
      <c r="G37" s="599">
        <f>INDEX('E.3. Prov Data'!$L$13:$L$50,MATCH(A37,'E.3. Prov Data'!$A$13:$A$50,0))+INDEX('E.3. Prov Data'!$M$13:$M$50,MATCH(A37,'E.3. Prov Data'!$A$13:$A$50,0))</f>
        <v>2253618</v>
      </c>
      <c r="H37" s="599">
        <f>INDEX('E.3. Prov Data'!$P$13:$P$50,MATCH(A37,'E.3. Prov Data'!$A$13:$A$50,0))</f>
        <v>32756678.719999999</v>
      </c>
      <c r="I37" s="599">
        <f>INDEX('E.3. Prov Data'!$Q$13:$Q$50,MATCH(A37,'E.3. Prov Data'!$A$13:$A$50,0))</f>
        <v>2855651</v>
      </c>
      <c r="J37" s="599">
        <f>INDEX('E.3. Prov Data'!$R$13:$R$50,MATCH(A37,'E.3. Prov Data'!$A$13:$A$50,0))</f>
        <v>0</v>
      </c>
      <c r="K37" s="599">
        <f>INDEX('E.3. Prov Data'!$S$13:$S$50,MATCH(A37,'E.3. Prov Data'!$A$13:$A$50,0))+INDEX('E.3. Prov Data'!$U$13:$U$50,MATCH(A37,'E.3. Prov Data'!$A$13:$A$50,0))</f>
        <v>1090367.5</v>
      </c>
      <c r="L37" s="599">
        <f>INDEX('E.3. Prov Data'!$T$13:$T$50,MATCH(A37,'E.3. Prov Data'!$A$13:$A$50,0))</f>
        <v>1176941</v>
      </c>
      <c r="M37" s="599">
        <f t="shared" si="0"/>
        <v>64090448.899668828</v>
      </c>
      <c r="N37" s="139">
        <f t="shared" si="1"/>
        <v>14307.82</v>
      </c>
    </row>
    <row r="38" spans="1:14">
      <c r="A38" t="s">
        <v>1953</v>
      </c>
      <c r="C38">
        <f>INDEX('E.3. Prov Data'!$AZ$13:$AZ$49,MATCH('G2. 20-21 Prov Tuition Rates'!A38,'E.3. Prov Data'!$A$13:$A$50,0))</f>
        <v>1348.8</v>
      </c>
      <c r="D38" s="599">
        <f>INDEX('E.3. Prov Data'!$B$13:$B$50,MATCH(A38,'E.3. Prov Data'!$A$13:$A$50,0))</f>
        <v>10694406.619999999</v>
      </c>
      <c r="E38" s="599">
        <f>INDEX('E.3. Prov Data'!$F$13:$F$50,MATCH(A38,'E.3. Prov Data'!$A$13:$A$50,0))</f>
        <v>270000</v>
      </c>
      <c r="F38" s="599">
        <f>INDEX('E.3. Prov Data'!$G$13:$G$50,MATCH(A38,'E.3. Prov Data'!$A$13:$A$50,0))</f>
        <v>1630495</v>
      </c>
      <c r="G38" s="599">
        <f>INDEX('E.3. Prov Data'!$L$13:$L$50,MATCH(A38,'E.3. Prov Data'!$A$13:$A$50,0))+INDEX('E.3. Prov Data'!$M$13:$M$50,MATCH(A38,'E.3. Prov Data'!$A$13:$A$50,0))</f>
        <v>1277086</v>
      </c>
      <c r="H38" s="599">
        <f>INDEX('E.3. Prov Data'!$P$13:$P$50,MATCH(A38,'E.3. Prov Data'!$A$13:$A$50,0))</f>
        <v>6917123.3100000005</v>
      </c>
      <c r="I38" s="599">
        <f>INDEX('E.3. Prov Data'!$Q$13:$Q$50,MATCH(A38,'E.3. Prov Data'!$A$13:$A$50,0))</f>
        <v>1004202</v>
      </c>
      <c r="J38" s="599">
        <f>INDEX('E.3. Prov Data'!$R$13:$R$50,MATCH(A38,'E.3. Prov Data'!$A$13:$A$50,0))</f>
        <v>0</v>
      </c>
      <c r="K38" s="599">
        <f>INDEX('E.3. Prov Data'!$S$13:$S$50,MATCH(A38,'E.3. Prov Data'!$A$13:$A$50,0))+INDEX('E.3. Prov Data'!$U$13:$U$50,MATCH(A38,'E.3. Prov Data'!$A$13:$A$50,0))</f>
        <v>398728.62</v>
      </c>
      <c r="L38" s="599">
        <f>INDEX('E.3. Prov Data'!$T$13:$T$50,MATCH(A38,'E.3. Prov Data'!$A$13:$A$50,0))</f>
        <v>221865</v>
      </c>
      <c r="M38" s="599">
        <f t="shared" si="0"/>
        <v>19164315.309999999</v>
      </c>
      <c r="N38" s="139">
        <f t="shared" si="1"/>
        <v>14208.42</v>
      </c>
    </row>
    <row r="39" spans="1:14">
      <c r="A39" t="s">
        <v>1954</v>
      </c>
      <c r="C39">
        <f>INDEX('E.3. Prov Data'!$AZ$13:$AZ$49,MATCH('G2. 20-21 Prov Tuition Rates'!A39,'E.3. Prov Data'!$A$13:$A$50,0))</f>
        <v>1002.5</v>
      </c>
      <c r="D39" s="599">
        <f>INDEX('E.3. Prov Data'!$B$13:$B$50,MATCH(A39,'E.3. Prov Data'!$A$13:$A$50,0))</f>
        <v>5512803.7999999998</v>
      </c>
      <c r="E39" s="599">
        <f>INDEX('E.3. Prov Data'!$F$13:$F$50,MATCH(A39,'E.3. Prov Data'!$A$13:$A$50,0))</f>
        <v>214843</v>
      </c>
      <c r="F39" s="599">
        <f>INDEX('E.3. Prov Data'!$G$13:$G$50,MATCH(A39,'E.3. Prov Data'!$A$13:$A$50,0))</f>
        <v>1294652</v>
      </c>
      <c r="G39" s="599">
        <f>INDEX('E.3. Prov Data'!$L$13:$L$50,MATCH(A39,'E.3. Prov Data'!$A$13:$A$50,0))+INDEX('E.3. Prov Data'!$M$13:$M$50,MATCH(A39,'E.3. Prov Data'!$A$13:$A$50,0))</f>
        <v>150634</v>
      </c>
      <c r="H39" s="599">
        <f>INDEX('E.3. Prov Data'!$P$13:$P$50,MATCH(A39,'E.3. Prov Data'!$A$13:$A$50,0))</f>
        <v>6660616.1899999995</v>
      </c>
      <c r="I39" s="599">
        <f>INDEX('E.3. Prov Data'!$Q$13:$Q$50,MATCH(A39,'E.3. Prov Data'!$A$13:$A$50,0))</f>
        <v>560011</v>
      </c>
      <c r="J39" s="599">
        <f>INDEX('E.3. Prov Data'!$R$13:$R$50,MATCH(A39,'E.3. Prov Data'!$A$13:$A$50,0))</f>
        <v>0</v>
      </c>
      <c r="K39" s="599">
        <f>INDEX('E.3. Prov Data'!$S$13:$S$50,MATCH(A39,'E.3. Prov Data'!$A$13:$A$50,0))+INDEX('E.3. Prov Data'!$U$13:$U$50,MATCH(A39,'E.3. Prov Data'!$A$13:$A$50,0))</f>
        <v>239643.8</v>
      </c>
      <c r="L39" s="599">
        <f>INDEX('E.3. Prov Data'!$T$13:$T$50,MATCH(A39,'E.3. Prov Data'!$A$13:$A$50,0))</f>
        <v>63390</v>
      </c>
      <c r="M39" s="599">
        <f t="shared" si="0"/>
        <v>12970504.189999998</v>
      </c>
      <c r="N39" s="139">
        <f t="shared" si="1"/>
        <v>12938.16</v>
      </c>
    </row>
    <row r="40" spans="1:14">
      <c r="A40" t="s">
        <v>448</v>
      </c>
      <c r="C40">
        <f>INDEX('E.3. Prov Data'!$AZ$13:$AZ$49,MATCH('G2. 20-21 Prov Tuition Rates'!A40,'E.3. Prov Data'!$A$13:$A$50,0))</f>
        <v>688.2</v>
      </c>
      <c r="D40" s="599">
        <f>INDEX('E.3. Prov Data'!$B$13:$B$50,MATCH(A40,'E.3. Prov Data'!$A$13:$A$50,0))</f>
        <v>6972400.6399999997</v>
      </c>
      <c r="E40" s="599">
        <f>INDEX('E.3. Prov Data'!$F$13:$F$50,MATCH(A40,'E.3. Prov Data'!$A$13:$A$50,0))</f>
        <v>163000</v>
      </c>
      <c r="F40" s="599">
        <f>INDEX('E.3. Prov Data'!$G$13:$G$50,MATCH(A40,'E.3. Prov Data'!$A$13:$A$50,0))</f>
        <v>707555</v>
      </c>
      <c r="G40" s="599">
        <f>INDEX('E.3. Prov Data'!$L$13:$L$50,MATCH(A40,'E.3. Prov Data'!$A$13:$A$50,0))+INDEX('E.3. Prov Data'!$M$13:$M$50,MATCH(A40,'E.3. Prov Data'!$A$13:$A$50,0))</f>
        <v>395398</v>
      </c>
      <c r="H40" s="599">
        <f>INDEX('E.3. Prov Data'!$P$13:$P$50,MATCH(A40,'E.3. Prov Data'!$A$13:$A$50,0))</f>
        <v>3118255</v>
      </c>
      <c r="I40" s="599">
        <f>INDEX('E.3. Prov Data'!$Q$13:$Q$50,MATCH(A40,'E.3. Prov Data'!$A$13:$A$50,0))</f>
        <v>749503</v>
      </c>
      <c r="J40" s="599">
        <f>INDEX('E.3. Prov Data'!$R$13:$R$50,MATCH(A40,'E.3. Prov Data'!$A$13:$A$50,0))</f>
        <v>0</v>
      </c>
      <c r="K40" s="599">
        <f>INDEX('E.3. Prov Data'!$S$13:$S$50,MATCH(A40,'E.3. Prov Data'!$A$13:$A$50,0))+INDEX('E.3. Prov Data'!$U$13:$U$50,MATCH(A40,'E.3. Prov Data'!$A$13:$A$50,0))</f>
        <v>285100.64</v>
      </c>
      <c r="L40" s="599">
        <f>INDEX('E.3. Prov Data'!$T$13:$T$50,MATCH(A40,'E.3. Prov Data'!$A$13:$A$50,0))</f>
        <v>84520</v>
      </c>
      <c r="M40" s="599">
        <f t="shared" si="0"/>
        <v>10237485</v>
      </c>
      <c r="N40" s="139">
        <f t="shared" si="1"/>
        <v>14875.74</v>
      </c>
    </row>
    <row r="41" spans="1:14">
      <c r="A41" t="s">
        <v>1955</v>
      </c>
      <c r="C41">
        <f>INDEX('E.3. Prov Data'!$AZ$13:$AZ$49,MATCH('G2. 20-21 Prov Tuition Rates'!A41,'E.3. Prov Data'!$A$13:$A$50,0))</f>
        <v>1921.5</v>
      </c>
      <c r="D41" s="599">
        <f>INDEX('E.3. Prov Data'!$B$13:$B$50,MATCH(A41,'E.3. Prov Data'!$A$13:$A$50,0))</f>
        <v>12877498.608886153</v>
      </c>
      <c r="E41" s="599">
        <f>INDEX('E.3. Prov Data'!$F$13:$F$50,MATCH(A41,'E.3. Prov Data'!$A$13:$A$50,0))</f>
        <v>323235</v>
      </c>
      <c r="F41" s="599">
        <f>INDEX('E.3. Prov Data'!$G$13:$G$50,MATCH(A41,'E.3. Prov Data'!$A$13:$A$50,0))</f>
        <v>2105588</v>
      </c>
      <c r="G41" s="599">
        <f>INDEX('E.3. Prov Data'!$L$13:$L$50,MATCH(A41,'E.3. Prov Data'!$A$13:$A$50,0))+INDEX('E.3. Prov Data'!$M$13:$M$50,MATCH(A41,'E.3. Prov Data'!$A$13:$A$50,0))</f>
        <v>190495</v>
      </c>
      <c r="H41" s="599">
        <f>INDEX('E.3. Prov Data'!$P$13:$P$50,MATCH(A41,'E.3. Prov Data'!$A$13:$A$50,0))</f>
        <v>8056378.7199999997</v>
      </c>
      <c r="I41" s="599">
        <f>INDEX('E.3. Prov Data'!$Q$13:$Q$50,MATCH(A41,'E.3. Prov Data'!$A$13:$A$50,0))</f>
        <v>526053</v>
      </c>
      <c r="J41" s="599">
        <f>INDEX('E.3. Prov Data'!$R$13:$R$50,MATCH(A41,'E.3. Prov Data'!$A$13:$A$50,0))</f>
        <v>0</v>
      </c>
      <c r="K41" s="599">
        <f>INDEX('E.3. Prov Data'!$S$13:$S$50,MATCH(A41,'E.3. Prov Data'!$A$13:$A$50,0))+INDEX('E.3. Prov Data'!$U$13:$U$50,MATCH(A41,'E.3. Prov Data'!$A$13:$A$50,0))</f>
        <v>353122.68</v>
      </c>
      <c r="L41" s="599">
        <f>INDEX('E.3. Prov Data'!$T$13:$T$50,MATCH(A41,'E.3. Prov Data'!$A$13:$A$50,0))</f>
        <v>169040</v>
      </c>
      <c r="M41" s="599">
        <f t="shared" si="0"/>
        <v>22504979.648886152</v>
      </c>
      <c r="N41" s="139">
        <f t="shared" si="1"/>
        <v>11712.19</v>
      </c>
    </row>
    <row r="42" spans="1:14">
      <c r="A42" t="s">
        <v>1956</v>
      </c>
      <c r="B42" t="s">
        <v>1355</v>
      </c>
      <c r="C42">
        <f>INDEX('E.3. Prov Data'!$AZ$13:$AZ$49,MATCH('G2. 20-21 Prov Tuition Rates'!A42,'E.3. Prov Data'!$A$13:$A$50,0))</f>
        <v>29406.1</v>
      </c>
      <c r="D42" s="599">
        <f>INDEX('E.3. Prov Data'!$B$13:$B$50,MATCH(A42,'E.3. Prov Data'!$A$13:$A$50,0))</f>
        <v>182253997.78</v>
      </c>
      <c r="E42" s="599">
        <f>INDEX('E.3. Prov Data'!$F$13:$F$50,MATCH(A42,'E.3. Prov Data'!$A$13:$A$50,0))</f>
        <v>6008730</v>
      </c>
      <c r="F42" s="599">
        <f>INDEX('E.3. Prov Data'!$G$13:$G$50,MATCH(A42,'E.3. Prov Data'!$A$13:$A$50,0))</f>
        <v>29773984</v>
      </c>
      <c r="G42" s="599">
        <f>INDEX('E.3. Prov Data'!$L$13:$L$50,MATCH(A42,'E.3. Prov Data'!$A$13:$A$50,0))+INDEX('E.3. Prov Data'!$M$13:$M$50,MATCH(A42,'E.3. Prov Data'!$A$13:$A$50,0))</f>
        <v>8719218</v>
      </c>
      <c r="H42" s="599">
        <f>INDEX('E.3. Prov Data'!$P$13:$P$50,MATCH(A42,'E.3. Prov Data'!$A$13:$A$50,0))</f>
        <v>175344985.22999999</v>
      </c>
      <c r="I42" s="599">
        <f>INDEX('E.3. Prov Data'!$Q$13:$Q$50,MATCH(A42,'E.3. Prov Data'!$A$13:$A$50,0))</f>
        <v>1411950</v>
      </c>
      <c r="J42" s="599">
        <f>INDEX('E.3. Prov Data'!$R$13:$R$50,MATCH(A42,'E.3. Prov Data'!$A$13:$A$50,0))</f>
        <v>0</v>
      </c>
      <c r="K42" s="599">
        <f>INDEX('E.3. Prov Data'!$S$13:$S$50,MATCH(A42,'E.3. Prov Data'!$A$13:$A$50,0))+INDEX('E.3. Prov Data'!$U$13:$U$50,MATCH(A42,'E.3. Prov Data'!$A$13:$A$50,0))</f>
        <v>8374648.7800000012</v>
      </c>
      <c r="L42" s="599">
        <f>INDEX('E.3. Prov Data'!$T$13:$T$50,MATCH(A42,'E.3. Prov Data'!$A$13:$A$50,0))</f>
        <v>6943318</v>
      </c>
      <c r="M42" s="599">
        <f t="shared" si="0"/>
        <v>385370998.23000002</v>
      </c>
      <c r="N42" s="139">
        <f t="shared" si="1"/>
        <v>13105.14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2:R63"/>
  <sheetViews>
    <sheetView topLeftCell="A11" workbookViewId="0">
      <selection activeCell="E15" sqref="E15"/>
    </sheetView>
  </sheetViews>
  <sheetFormatPr baseColWidth="10" defaultColWidth="9.19921875" defaultRowHeight="14"/>
  <cols>
    <col min="1" max="1" width="4.59765625" customWidth="1"/>
    <col min="2" max="2" width="22.796875" customWidth="1"/>
    <col min="3" max="4" width="11.796875" customWidth="1"/>
    <col min="5" max="5" width="48.59765625" customWidth="1"/>
    <col min="8" max="8" width="20" customWidth="1"/>
    <col min="9" max="9" width="18" customWidth="1"/>
    <col min="10" max="10" width="51.19921875" style="72" customWidth="1"/>
    <col min="13" max="13" width="31" customWidth="1"/>
    <col min="14" max="14" width="11" customWidth="1"/>
    <col min="15" max="15" width="15.19921875" customWidth="1"/>
    <col min="16" max="16" width="12.3984375" customWidth="1"/>
    <col min="17" max="17" width="15.796875" customWidth="1"/>
    <col min="18" max="18" width="14.796875" customWidth="1"/>
  </cols>
  <sheetData>
    <row r="2" spans="1:18" ht="24">
      <c r="B2" s="97" t="s">
        <v>2289</v>
      </c>
      <c r="H2" t="s">
        <v>2290</v>
      </c>
      <c r="I2" s="555"/>
      <c r="J2" s="72" t="s">
        <v>2291</v>
      </c>
    </row>
    <row r="3" spans="1:18" ht="29.25" customHeight="1">
      <c r="B3" s="1792" t="s">
        <v>2292</v>
      </c>
      <c r="C3" s="1792"/>
      <c r="D3" s="1792"/>
      <c r="E3" s="1792"/>
      <c r="H3" s="121" t="s">
        <v>2293</v>
      </c>
    </row>
    <row r="5" spans="1:18" ht="15" customHeight="1">
      <c r="A5" s="99"/>
      <c r="B5" s="18" t="s">
        <v>2294</v>
      </c>
      <c r="C5" s="98" t="s">
        <v>2295</v>
      </c>
      <c r="D5" s="98"/>
      <c r="E5" s="98" t="s">
        <v>96</v>
      </c>
      <c r="H5" s="18" t="s">
        <v>2296</v>
      </c>
      <c r="I5" s="98" t="s">
        <v>2295</v>
      </c>
      <c r="J5" s="823" t="s">
        <v>96</v>
      </c>
      <c r="M5" t="s">
        <v>2297</v>
      </c>
    </row>
    <row r="6" spans="1:18" ht="126">
      <c r="A6" s="99"/>
      <c r="B6" s="100" t="s">
        <v>2298</v>
      </c>
      <c r="C6" s="98" t="s">
        <v>473</v>
      </c>
      <c r="D6" s="98" t="s">
        <v>474</v>
      </c>
      <c r="E6" s="98"/>
      <c r="H6" s="100" t="s">
        <v>2298</v>
      </c>
      <c r="I6" s="98"/>
      <c r="J6" s="823"/>
      <c r="M6" s="824" t="s">
        <v>1085</v>
      </c>
      <c r="N6" s="824" t="s">
        <v>1086</v>
      </c>
      <c r="O6" s="824" t="s">
        <v>1087</v>
      </c>
      <c r="P6" s="824" t="s">
        <v>2299</v>
      </c>
      <c r="Q6" s="824" t="s">
        <v>2300</v>
      </c>
      <c r="R6" s="824" t="s">
        <v>2301</v>
      </c>
    </row>
    <row r="7" spans="1:18" ht="38.25" customHeight="1">
      <c r="A7" s="101"/>
      <c r="B7" s="101" t="s">
        <v>2302</v>
      </c>
      <c r="C7" s="504">
        <v>6000</v>
      </c>
      <c r="D7" s="504">
        <v>6000</v>
      </c>
      <c r="E7" s="185" t="s">
        <v>2303</v>
      </c>
      <c r="H7" s="101" t="s">
        <v>2304</v>
      </c>
      <c r="I7" s="139">
        <f>C8+C9</f>
        <v>1418.43</v>
      </c>
      <c r="J7" s="185" t="s">
        <v>2305</v>
      </c>
      <c r="L7">
        <v>266</v>
      </c>
      <c r="M7" s="824" t="s">
        <v>1587</v>
      </c>
      <c r="N7" s="825">
        <v>3</v>
      </c>
      <c r="O7" s="825">
        <v>418</v>
      </c>
      <c r="P7" s="825">
        <v>338</v>
      </c>
      <c r="Q7" s="825" t="s">
        <v>2306</v>
      </c>
      <c r="R7" s="825" t="s">
        <v>2306</v>
      </c>
    </row>
    <row r="8" spans="1:18" ht="39">
      <c r="A8" s="101"/>
      <c r="B8" s="101" t="s">
        <v>2304</v>
      </c>
      <c r="C8" s="504">
        <v>1125.22</v>
      </c>
      <c r="D8" s="504">
        <v>1125.22</v>
      </c>
      <c r="E8" s="185" t="s">
        <v>2307</v>
      </c>
      <c r="H8" s="1789" t="s">
        <v>2308</v>
      </c>
      <c r="I8" s="1793">
        <v>19938.64</v>
      </c>
      <c r="J8" s="1789" t="s">
        <v>2309</v>
      </c>
      <c r="L8">
        <v>267</v>
      </c>
      <c r="M8" s="824" t="s">
        <v>392</v>
      </c>
      <c r="N8" s="825">
        <v>3</v>
      </c>
      <c r="O8" s="825">
        <v>582</v>
      </c>
      <c r="P8" s="825">
        <v>582</v>
      </c>
      <c r="Q8" s="825" t="s">
        <v>2306</v>
      </c>
      <c r="R8" s="825" t="s">
        <v>2306</v>
      </c>
    </row>
    <row r="9" spans="1:18" ht="15">
      <c r="A9" s="101"/>
      <c r="B9" s="101" t="s">
        <v>2310</v>
      </c>
      <c r="C9" s="953">
        <v>293.20999999999998</v>
      </c>
      <c r="D9" s="953">
        <v>293.20999999999998</v>
      </c>
      <c r="E9" s="185"/>
      <c r="H9" s="1789"/>
      <c r="I9" s="1793"/>
      <c r="J9" s="1789"/>
      <c r="M9" s="824"/>
      <c r="N9" s="825"/>
      <c r="O9" s="825"/>
      <c r="P9" s="825"/>
      <c r="Q9" s="825"/>
      <c r="R9" s="825"/>
    </row>
    <row r="10" spans="1:18" ht="39">
      <c r="A10" s="101"/>
      <c r="B10" s="101" t="s">
        <v>2311</v>
      </c>
      <c r="C10" s="504">
        <v>850</v>
      </c>
      <c r="D10" s="504">
        <v>850</v>
      </c>
      <c r="E10" s="185" t="s">
        <v>2312</v>
      </c>
      <c r="H10" s="1789"/>
      <c r="I10" s="1793"/>
      <c r="J10" s="1789"/>
      <c r="L10">
        <v>324</v>
      </c>
      <c r="M10" s="824" t="s">
        <v>2313</v>
      </c>
      <c r="N10" s="825">
        <v>3</v>
      </c>
      <c r="O10" s="825">
        <v>1450</v>
      </c>
      <c r="P10" s="825">
        <v>1450</v>
      </c>
      <c r="Q10" s="825" t="s">
        <v>2314</v>
      </c>
      <c r="R10" s="825" t="s">
        <v>2306</v>
      </c>
    </row>
    <row r="11" spans="1:18" ht="67">
      <c r="A11" s="101"/>
      <c r="B11" s="101" t="s">
        <v>478</v>
      </c>
      <c r="C11" s="104">
        <v>1200</v>
      </c>
      <c r="D11" s="104">
        <v>4000</v>
      </c>
      <c r="E11" s="185" t="s">
        <v>2315</v>
      </c>
      <c r="H11" s="1789"/>
      <c r="I11" s="1793"/>
      <c r="J11" s="1789"/>
      <c r="L11">
        <v>308</v>
      </c>
      <c r="M11" s="824" t="s">
        <v>2147</v>
      </c>
      <c r="N11" s="825">
        <v>4</v>
      </c>
      <c r="O11" s="825">
        <v>1415</v>
      </c>
      <c r="P11" s="825">
        <v>1320</v>
      </c>
      <c r="Q11" s="825" t="s">
        <v>2306</v>
      </c>
      <c r="R11" s="825" t="s">
        <v>2306</v>
      </c>
    </row>
    <row r="12" spans="1:18" ht="45">
      <c r="A12" s="101"/>
      <c r="B12" s="101" t="s">
        <v>2316</v>
      </c>
      <c r="C12" s="504">
        <v>94</v>
      </c>
      <c r="D12" s="504">
        <v>94</v>
      </c>
      <c r="E12" s="72" t="s">
        <v>2317</v>
      </c>
      <c r="H12" s="1789"/>
      <c r="I12" s="1793"/>
      <c r="J12" s="1789"/>
      <c r="L12">
        <v>309</v>
      </c>
      <c r="M12" s="824" t="s">
        <v>2318</v>
      </c>
      <c r="N12" s="825">
        <v>3</v>
      </c>
      <c r="O12" s="825" t="s">
        <v>2319</v>
      </c>
      <c r="P12" s="825" t="s">
        <v>2319</v>
      </c>
      <c r="Q12" s="825" t="s">
        <v>1233</v>
      </c>
      <c r="R12" s="825" t="s">
        <v>2057</v>
      </c>
    </row>
    <row r="13" spans="1:18" ht="26">
      <c r="A13" s="101"/>
      <c r="B13" s="101" t="s">
        <v>479</v>
      </c>
      <c r="C13" s="104">
        <v>162.29</v>
      </c>
      <c r="D13" s="104">
        <v>540.97</v>
      </c>
      <c r="E13" s="185" t="s">
        <v>2320</v>
      </c>
      <c r="H13" s="1789"/>
      <c r="I13" s="1793"/>
      <c r="J13" s="1789"/>
      <c r="M13" s="824" t="s">
        <v>2172</v>
      </c>
      <c r="N13" s="825">
        <v>4</v>
      </c>
      <c r="O13" s="825">
        <v>1806</v>
      </c>
      <c r="P13" s="825">
        <v>1635</v>
      </c>
      <c r="Q13" s="825" t="s">
        <v>2306</v>
      </c>
      <c r="R13" s="825" t="s">
        <v>2306</v>
      </c>
    </row>
    <row r="14" spans="1:18" ht="78">
      <c r="A14" s="101"/>
      <c r="B14" s="101" t="s">
        <v>2321</v>
      </c>
      <c r="C14" s="504">
        <v>1506.07</v>
      </c>
      <c r="D14" s="504">
        <v>1506.07</v>
      </c>
      <c r="E14" s="186" t="s">
        <v>2322</v>
      </c>
      <c r="H14" s="1789"/>
      <c r="I14" s="1793"/>
      <c r="J14" s="1789"/>
      <c r="M14" s="824" t="s">
        <v>2160</v>
      </c>
      <c r="N14" s="825">
        <v>3</v>
      </c>
      <c r="O14" s="825">
        <v>1586</v>
      </c>
      <c r="P14" s="825">
        <v>1586</v>
      </c>
      <c r="Q14" s="825" t="s">
        <v>1704</v>
      </c>
      <c r="R14" s="825" t="s">
        <v>2306</v>
      </c>
    </row>
    <row r="15" spans="1:18" ht="78">
      <c r="A15" s="101"/>
      <c r="B15" s="102" t="s">
        <v>2323</v>
      </c>
      <c r="C15" s="505">
        <v>4057.29</v>
      </c>
      <c r="D15" s="505">
        <v>4057.29</v>
      </c>
      <c r="E15" s="187" t="s">
        <v>2324</v>
      </c>
      <c r="H15" s="1790"/>
      <c r="I15" s="1794"/>
      <c r="J15" s="1790"/>
      <c r="L15">
        <v>276</v>
      </c>
      <c r="M15" s="824" t="s">
        <v>2164</v>
      </c>
      <c r="N15" s="825">
        <v>3</v>
      </c>
      <c r="O15" s="825">
        <v>710</v>
      </c>
      <c r="P15" s="825">
        <v>629</v>
      </c>
      <c r="Q15" s="825" t="s">
        <v>2306</v>
      </c>
      <c r="R15" s="825" t="s">
        <v>2306</v>
      </c>
    </row>
    <row r="16" spans="1:18" ht="16">
      <c r="A16" s="101"/>
      <c r="B16" s="77" t="s">
        <v>2325</v>
      </c>
      <c r="C16" s="103">
        <f>SUM(C7:C15)</f>
        <v>15288.080000000002</v>
      </c>
      <c r="D16" s="103">
        <f>SUM(D7:D15)</f>
        <v>18466.759999999998</v>
      </c>
      <c r="E16" s="77"/>
      <c r="H16" s="77" t="s">
        <v>2325</v>
      </c>
      <c r="I16" s="1365">
        <f>SUM(I7:I15)</f>
        <v>21357.07</v>
      </c>
      <c r="J16" s="1366"/>
      <c r="M16" s="824" t="s">
        <v>2326</v>
      </c>
      <c r="N16" s="825">
        <v>2</v>
      </c>
      <c r="O16" s="825" t="s">
        <v>2319</v>
      </c>
      <c r="P16" s="825" t="s">
        <v>2319</v>
      </c>
      <c r="Q16" s="825" t="s">
        <v>1233</v>
      </c>
      <c r="R16" s="825" t="s">
        <v>2057</v>
      </c>
    </row>
    <row r="17" spans="1:18" ht="15.75" customHeight="1">
      <c r="M17" s="824" t="s">
        <v>2327</v>
      </c>
      <c r="N17" s="825">
        <v>1</v>
      </c>
      <c r="O17" s="825">
        <v>1586</v>
      </c>
      <c r="P17" s="825">
        <v>1586</v>
      </c>
      <c r="Q17" s="825" t="s">
        <v>2306</v>
      </c>
      <c r="R17" s="825" t="s">
        <v>2306</v>
      </c>
    </row>
    <row r="18" spans="1:18">
      <c r="L18">
        <v>297</v>
      </c>
      <c r="M18" s="824" t="s">
        <v>2328</v>
      </c>
      <c r="N18" s="826">
        <v>3</v>
      </c>
      <c r="O18" s="825">
        <v>624</v>
      </c>
      <c r="P18" s="825">
        <v>572</v>
      </c>
      <c r="Q18" s="825" t="s">
        <v>2306</v>
      </c>
      <c r="R18" s="825" t="s">
        <v>2306</v>
      </c>
    </row>
    <row r="19" spans="1:18" ht="16.5" customHeight="1">
      <c r="A19" s="1791" t="s">
        <v>2329</v>
      </c>
      <c r="B19" s="1791"/>
      <c r="C19" s="1791"/>
      <c r="D19" s="1791"/>
      <c r="E19" s="1791"/>
      <c r="L19">
        <v>305</v>
      </c>
      <c r="M19" s="824" t="s">
        <v>1095</v>
      </c>
      <c r="N19" s="825">
        <v>4</v>
      </c>
      <c r="O19" s="825">
        <v>1668</v>
      </c>
      <c r="P19" s="825">
        <v>1668</v>
      </c>
      <c r="Q19" s="825" t="s">
        <v>2306</v>
      </c>
      <c r="R19" s="825" t="s">
        <v>2306</v>
      </c>
    </row>
    <row r="20" spans="1:18" ht="24" customHeight="1">
      <c r="A20" s="1791" t="s">
        <v>2330</v>
      </c>
      <c r="B20" s="1791"/>
      <c r="C20" s="1791"/>
      <c r="D20" s="1791"/>
      <c r="E20" s="1791"/>
      <c r="L20">
        <v>296</v>
      </c>
      <c r="M20" s="824" t="s">
        <v>2217</v>
      </c>
      <c r="N20" s="825">
        <v>4</v>
      </c>
      <c r="O20" s="825">
        <v>675</v>
      </c>
      <c r="P20" s="825">
        <v>600</v>
      </c>
      <c r="Q20" s="825" t="s">
        <v>2306</v>
      </c>
      <c r="R20" s="825" t="s">
        <v>2306</v>
      </c>
    </row>
    <row r="21" spans="1:18" ht="16.5" customHeight="1">
      <c r="L21">
        <v>302</v>
      </c>
      <c r="M21" s="824" t="s">
        <v>2331</v>
      </c>
      <c r="N21" s="825">
        <v>4</v>
      </c>
      <c r="O21" s="825">
        <v>675</v>
      </c>
      <c r="P21" s="825">
        <v>600</v>
      </c>
      <c r="Q21" s="825" t="s">
        <v>2306</v>
      </c>
      <c r="R21" s="825" t="s">
        <v>2306</v>
      </c>
    </row>
    <row r="22" spans="1:18" ht="16.5" customHeight="1">
      <c r="L22">
        <v>310</v>
      </c>
      <c r="M22" s="824" t="s">
        <v>2186</v>
      </c>
      <c r="N22" s="825">
        <v>3</v>
      </c>
      <c r="O22" s="825" t="s">
        <v>2319</v>
      </c>
      <c r="P22" s="825" t="s">
        <v>2319</v>
      </c>
      <c r="Q22" s="825" t="s">
        <v>1233</v>
      </c>
      <c r="R22" s="825" t="s">
        <v>2057</v>
      </c>
    </row>
    <row r="23" spans="1:18" ht="16.5" customHeight="1">
      <c r="L23">
        <v>323</v>
      </c>
      <c r="M23" s="824" t="s">
        <v>2199</v>
      </c>
      <c r="N23" s="825">
        <v>4</v>
      </c>
      <c r="O23" s="825">
        <v>959</v>
      </c>
      <c r="P23" s="825">
        <v>791</v>
      </c>
      <c r="Q23" s="825" t="s">
        <v>1248</v>
      </c>
      <c r="R23" s="825" t="s">
        <v>2306</v>
      </c>
    </row>
    <row r="24" spans="1:18" ht="16.5" customHeight="1">
      <c r="L24">
        <v>317</v>
      </c>
      <c r="M24" s="824" t="s">
        <v>2332</v>
      </c>
      <c r="N24" s="825">
        <v>4</v>
      </c>
      <c r="O24" s="825">
        <v>1449</v>
      </c>
      <c r="P24" s="825">
        <v>1242</v>
      </c>
      <c r="Q24" s="825" t="s">
        <v>2306</v>
      </c>
      <c r="R24" s="825" t="s">
        <v>2306</v>
      </c>
    </row>
    <row r="25" spans="1:18" ht="16.5" customHeight="1">
      <c r="L25">
        <v>318</v>
      </c>
      <c r="M25" s="824" t="s">
        <v>2207</v>
      </c>
      <c r="N25" s="825">
        <v>4</v>
      </c>
      <c r="O25" s="825">
        <v>959</v>
      </c>
      <c r="P25" s="825">
        <v>791</v>
      </c>
      <c r="Q25" s="825" t="s">
        <v>1248</v>
      </c>
      <c r="R25" s="825" t="s">
        <v>2306</v>
      </c>
    </row>
    <row r="26" spans="1:18" ht="16.5" customHeight="1">
      <c r="L26">
        <v>328</v>
      </c>
      <c r="M26" s="824" t="s">
        <v>2207</v>
      </c>
      <c r="N26" s="825">
        <v>4</v>
      </c>
      <c r="O26" s="825">
        <v>959</v>
      </c>
      <c r="P26" s="825">
        <v>791</v>
      </c>
      <c r="Q26" s="825" t="s">
        <v>1248</v>
      </c>
      <c r="R26" s="825"/>
    </row>
    <row r="27" spans="1:18" ht="16.5" customHeight="1">
      <c r="L27">
        <v>370</v>
      </c>
      <c r="M27" s="824" t="s">
        <v>2333</v>
      </c>
      <c r="N27" s="825">
        <v>3</v>
      </c>
      <c r="O27" s="825">
        <v>809</v>
      </c>
      <c r="P27" s="825">
        <v>809</v>
      </c>
      <c r="Q27" s="825" t="s">
        <v>2306</v>
      </c>
      <c r="R27" s="825" t="s">
        <v>2306</v>
      </c>
    </row>
    <row r="28" spans="1:18" ht="16.5" customHeight="1">
      <c r="L28">
        <v>328</v>
      </c>
      <c r="M28" s="824" t="s">
        <v>2244</v>
      </c>
      <c r="N28" s="825">
        <v>4</v>
      </c>
      <c r="O28" s="825">
        <v>959</v>
      </c>
      <c r="P28" s="825">
        <v>791</v>
      </c>
      <c r="Q28" s="825" t="s">
        <v>1248</v>
      </c>
      <c r="R28" s="825" t="s">
        <v>2057</v>
      </c>
    </row>
    <row r="29" spans="1:18" ht="16.5" customHeight="1">
      <c r="L29">
        <v>312</v>
      </c>
      <c r="M29" s="824" t="s">
        <v>2334</v>
      </c>
      <c r="N29" s="825">
        <v>3</v>
      </c>
      <c r="O29" s="825">
        <v>1450</v>
      </c>
      <c r="P29" s="825">
        <v>1450</v>
      </c>
      <c r="Q29" s="825" t="s">
        <v>2314</v>
      </c>
      <c r="R29" s="825" t="s">
        <v>2306</v>
      </c>
    </row>
    <row r="30" spans="1:18" ht="16.5" customHeight="1">
      <c r="L30">
        <v>279</v>
      </c>
      <c r="M30" s="824" t="s">
        <v>2192</v>
      </c>
      <c r="N30" s="825">
        <v>3</v>
      </c>
      <c r="O30" s="825">
        <v>680</v>
      </c>
      <c r="P30" s="825">
        <v>547</v>
      </c>
      <c r="Q30" s="825" t="s">
        <v>2306</v>
      </c>
      <c r="R30" s="825" t="s">
        <v>2306</v>
      </c>
    </row>
    <row r="31" spans="1:18" ht="16.5" customHeight="1">
      <c r="L31">
        <v>301</v>
      </c>
      <c r="M31" s="824" t="s">
        <v>2335</v>
      </c>
      <c r="N31" s="825">
        <v>4</v>
      </c>
      <c r="O31" s="825">
        <v>675</v>
      </c>
      <c r="P31" s="825">
        <v>607</v>
      </c>
      <c r="Q31" s="825" t="s">
        <v>2306</v>
      </c>
      <c r="R31" s="825" t="s">
        <v>2306</v>
      </c>
    </row>
    <row r="32" spans="1:18" ht="16.5" customHeight="1">
      <c r="L32">
        <v>270</v>
      </c>
      <c r="M32" s="824" t="s">
        <v>2336</v>
      </c>
      <c r="N32" s="825">
        <v>3</v>
      </c>
      <c r="O32" s="825">
        <v>924</v>
      </c>
      <c r="P32" s="825">
        <v>924</v>
      </c>
      <c r="Q32" s="825" t="s">
        <v>2306</v>
      </c>
      <c r="R32" s="825" t="s">
        <v>2306</v>
      </c>
    </row>
    <row r="33" spans="12:18" ht="16.5" customHeight="1">
      <c r="L33">
        <v>327</v>
      </c>
      <c r="M33" s="824" t="s">
        <v>2336</v>
      </c>
      <c r="N33" s="825">
        <v>3</v>
      </c>
      <c r="O33" s="825">
        <v>924</v>
      </c>
      <c r="P33" s="825">
        <v>924</v>
      </c>
      <c r="Q33" s="825" t="s">
        <v>2306</v>
      </c>
      <c r="R33" s="825" t="s">
        <v>2306</v>
      </c>
    </row>
    <row r="34" spans="12:18" ht="16.5" customHeight="1">
      <c r="L34">
        <v>277</v>
      </c>
      <c r="M34" s="824" t="s">
        <v>2337</v>
      </c>
      <c r="N34" s="825">
        <v>3</v>
      </c>
      <c r="O34" s="825">
        <v>924</v>
      </c>
      <c r="P34" s="825">
        <v>924</v>
      </c>
      <c r="Q34" s="825" t="s">
        <v>2306</v>
      </c>
      <c r="R34" s="825" t="s">
        <v>2306</v>
      </c>
    </row>
    <row r="35" spans="12:18" ht="16.5" customHeight="1">
      <c r="L35">
        <v>311</v>
      </c>
      <c r="M35" s="824" t="s">
        <v>2338</v>
      </c>
      <c r="N35" s="825">
        <v>4</v>
      </c>
      <c r="O35" s="825">
        <v>2069</v>
      </c>
      <c r="P35" s="825">
        <v>2069</v>
      </c>
      <c r="Q35" s="825" t="s">
        <v>2306</v>
      </c>
      <c r="R35" s="825" t="s">
        <v>2306</v>
      </c>
    </row>
    <row r="36" spans="12:18" ht="16.5" customHeight="1">
      <c r="L36">
        <v>300</v>
      </c>
      <c r="M36" s="824" t="s">
        <v>630</v>
      </c>
      <c r="N36" s="825">
        <v>4</v>
      </c>
      <c r="O36" s="825">
        <v>675</v>
      </c>
      <c r="P36" s="825">
        <v>607</v>
      </c>
      <c r="Q36" s="825" t="s">
        <v>2306</v>
      </c>
      <c r="R36" s="825" t="s">
        <v>2306</v>
      </c>
    </row>
    <row r="37" spans="12:18" ht="16.5" customHeight="1">
      <c r="L37">
        <v>307</v>
      </c>
      <c r="M37" s="824" t="s">
        <v>2339</v>
      </c>
      <c r="N37" s="825">
        <v>4</v>
      </c>
      <c r="O37" s="825">
        <v>988</v>
      </c>
      <c r="P37" s="825">
        <v>828</v>
      </c>
      <c r="Q37" s="825" t="s">
        <v>2306</v>
      </c>
      <c r="R37" s="825" t="s">
        <v>2306</v>
      </c>
    </row>
    <row r="38" spans="12:18" ht="16.5" customHeight="1">
      <c r="L38">
        <v>314</v>
      </c>
      <c r="M38" s="824" t="s">
        <v>2340</v>
      </c>
      <c r="N38" s="825">
        <v>3</v>
      </c>
      <c r="O38" s="825">
        <v>1450</v>
      </c>
      <c r="P38" s="825">
        <v>1450</v>
      </c>
      <c r="Q38" s="825" t="s">
        <v>2314</v>
      </c>
      <c r="R38" s="825" t="s">
        <v>2306</v>
      </c>
    </row>
    <row r="39" spans="12:18" ht="16.5" customHeight="1">
      <c r="M39" s="824" t="s">
        <v>2196</v>
      </c>
      <c r="N39" s="825">
        <v>3</v>
      </c>
      <c r="O39" s="825">
        <v>1586</v>
      </c>
      <c r="P39" s="825">
        <v>1586</v>
      </c>
      <c r="Q39" s="825" t="s">
        <v>1704</v>
      </c>
      <c r="R39" s="825" t="s">
        <v>2306</v>
      </c>
    </row>
    <row r="40" spans="12:18" ht="16.5" customHeight="1">
      <c r="L40">
        <v>318</v>
      </c>
      <c r="M40" s="824" t="s">
        <v>2341</v>
      </c>
      <c r="N40" s="825">
        <v>4</v>
      </c>
      <c r="O40" s="825">
        <v>1250</v>
      </c>
      <c r="P40" s="825">
        <v>1132</v>
      </c>
      <c r="Q40" s="825" t="s">
        <v>2306</v>
      </c>
      <c r="R40" s="825" t="s">
        <v>2306</v>
      </c>
    </row>
    <row r="41" spans="12:18" ht="16.5" customHeight="1">
      <c r="L41">
        <v>298</v>
      </c>
      <c r="M41" s="824" t="s">
        <v>633</v>
      </c>
      <c r="N41" s="825">
        <v>3</v>
      </c>
      <c r="O41" s="825">
        <v>624</v>
      </c>
      <c r="P41" s="825">
        <v>572</v>
      </c>
      <c r="Q41" s="825" t="s">
        <v>2306</v>
      </c>
      <c r="R41" s="825" t="s">
        <v>2306</v>
      </c>
    </row>
    <row r="42" spans="12:18" ht="16.5" customHeight="1">
      <c r="L42">
        <v>293</v>
      </c>
      <c r="M42" s="824" t="s">
        <v>2342</v>
      </c>
      <c r="N42" s="825">
        <v>1</v>
      </c>
      <c r="O42" s="825" t="s">
        <v>2319</v>
      </c>
      <c r="P42" s="825" t="s">
        <v>2319</v>
      </c>
      <c r="Q42" s="825" t="s">
        <v>1233</v>
      </c>
      <c r="R42" s="825" t="s">
        <v>2057</v>
      </c>
    </row>
    <row r="43" spans="12:18" ht="16.5" customHeight="1">
      <c r="L43">
        <v>303</v>
      </c>
      <c r="M43" s="824" t="s">
        <v>2343</v>
      </c>
      <c r="N43" s="825">
        <v>4</v>
      </c>
      <c r="O43" s="825">
        <v>1386</v>
      </c>
      <c r="P43" s="825">
        <v>1221</v>
      </c>
      <c r="Q43" s="825" t="s">
        <v>2306</v>
      </c>
      <c r="R43" s="825" t="s">
        <v>2306</v>
      </c>
    </row>
    <row r="44" spans="12:18" ht="16.5" customHeight="1">
      <c r="L44">
        <v>315</v>
      </c>
      <c r="M44" s="824" t="s">
        <v>2314</v>
      </c>
      <c r="N44" s="825">
        <v>1</v>
      </c>
      <c r="O44" s="825">
        <v>1450</v>
      </c>
      <c r="P44" s="825">
        <v>1450</v>
      </c>
      <c r="Q44" s="825" t="s">
        <v>2306</v>
      </c>
      <c r="R44" s="825" t="s">
        <v>2306</v>
      </c>
    </row>
    <row r="45" spans="12:18" ht="16.5" customHeight="1">
      <c r="L45">
        <v>299</v>
      </c>
      <c r="M45" s="824" t="s">
        <v>2344</v>
      </c>
      <c r="N45" s="825">
        <v>4</v>
      </c>
      <c r="O45" s="825">
        <v>624</v>
      </c>
      <c r="P45" s="825">
        <v>572</v>
      </c>
      <c r="Q45" s="825" t="s">
        <v>633</v>
      </c>
      <c r="R45" s="825" t="s">
        <v>2306</v>
      </c>
    </row>
    <row r="46" spans="12:18">
      <c r="M46" s="824" t="s">
        <v>2345</v>
      </c>
      <c r="N46" s="825">
        <v>2</v>
      </c>
      <c r="O46" s="825" t="s">
        <v>2319</v>
      </c>
      <c r="P46" s="825" t="s">
        <v>2319</v>
      </c>
      <c r="Q46" s="825" t="s">
        <v>1233</v>
      </c>
      <c r="R46" s="825" t="s">
        <v>2057</v>
      </c>
    </row>
    <row r="47" spans="12:18">
      <c r="L47">
        <v>304</v>
      </c>
      <c r="M47" s="824" t="s">
        <v>1096</v>
      </c>
      <c r="N47" s="825">
        <v>4</v>
      </c>
      <c r="O47" s="825">
        <v>1220</v>
      </c>
      <c r="P47" s="825">
        <v>1102</v>
      </c>
      <c r="Q47" s="825" t="s">
        <v>2306</v>
      </c>
      <c r="R47" s="825" t="s">
        <v>2306</v>
      </c>
    </row>
    <row r="48" spans="12:18">
      <c r="L48">
        <v>286</v>
      </c>
      <c r="M48" t="s">
        <v>406</v>
      </c>
      <c r="N48">
        <f>INDEX(TableAFNSchools[Distance to Winnipeg in km],MATCH(L48,TableAFNSchools[Band No '#],0))</f>
        <v>276</v>
      </c>
      <c r="O48" s="19">
        <f t="shared" ref="O48:O54" si="0">N48*$O$63</f>
        <v>138.27600000000001</v>
      </c>
    </row>
    <row r="49" spans="12:15">
      <c r="L49">
        <v>288</v>
      </c>
      <c r="M49" t="s">
        <v>398</v>
      </c>
      <c r="N49">
        <f>INDEX(TableAFNSchools[Distance to Winnipeg in km],MATCH(L49,TableAFNSchools[Band No '#],0))</f>
        <v>122</v>
      </c>
      <c r="O49" s="19">
        <f t="shared" si="0"/>
        <v>61.122</v>
      </c>
    </row>
    <row r="50" spans="12:15">
      <c r="L50">
        <v>272</v>
      </c>
      <c r="M50" t="s">
        <v>734</v>
      </c>
      <c r="N50">
        <f>INDEX(TableAFNSchools[Distance to Winnipeg in km],MATCH(L50,TableAFNSchools[Band No '#],0))</f>
        <v>236</v>
      </c>
      <c r="O50" s="19">
        <f t="shared" si="0"/>
        <v>118.236</v>
      </c>
    </row>
    <row r="51" spans="12:15">
      <c r="L51">
        <v>275</v>
      </c>
      <c r="M51" t="s">
        <v>390</v>
      </c>
      <c r="N51">
        <f>INDEX(TableAFNSchools[Distance to Winnipeg in km],MATCH(L51,TableAFNSchools[Band No '#],0))</f>
        <v>261</v>
      </c>
      <c r="O51" s="19">
        <f t="shared" si="0"/>
        <v>130.761</v>
      </c>
    </row>
    <row r="52" spans="12:15">
      <c r="L52">
        <v>271</v>
      </c>
      <c r="M52" t="s">
        <v>396</v>
      </c>
      <c r="N52">
        <f>INDEX(TableAFNSchools[Distance to Winnipeg in km],MATCH(L52,TableAFNSchools[Band No '#],0))</f>
        <v>180</v>
      </c>
      <c r="O52" s="19">
        <f t="shared" si="0"/>
        <v>90.18</v>
      </c>
    </row>
    <row r="53" spans="12:15">
      <c r="L53">
        <v>261</v>
      </c>
      <c r="M53" t="s">
        <v>733</v>
      </c>
      <c r="N53">
        <f>INDEX(TableAFNSchools[Distance to Winnipeg in km],MATCH(L53,TableAFNSchools[Band No '#],0))</f>
        <v>72</v>
      </c>
      <c r="O53" s="19">
        <f t="shared" si="0"/>
        <v>36.072000000000003</v>
      </c>
    </row>
    <row r="54" spans="12:15">
      <c r="L54">
        <v>295</v>
      </c>
      <c r="M54" t="s">
        <v>320</v>
      </c>
      <c r="N54">
        <f>INDEX(TableAFNSchools[Distance to Winnipeg in km],MATCH(L54,TableAFNSchools[Band No '#],0))</f>
        <v>91</v>
      </c>
      <c r="O54" s="19">
        <f t="shared" si="0"/>
        <v>45.591000000000001</v>
      </c>
    </row>
    <row r="63" spans="12:15">
      <c r="N63" t="s">
        <v>2346</v>
      </c>
      <c r="O63" s="827">
        <v>0.501</v>
      </c>
    </row>
  </sheetData>
  <mergeCells count="6">
    <mergeCell ref="J8:J15"/>
    <mergeCell ref="A19:E19"/>
    <mergeCell ref="A20:E20"/>
    <mergeCell ref="B3:E3"/>
    <mergeCell ref="H8:H15"/>
    <mergeCell ref="I8:I15"/>
  </mergeCells>
  <hyperlinks>
    <hyperlink ref="E14" location="_ftn2" display="_ftn2" xr:uid="{00000000-0004-0000-4100-000000000000}"/>
  </hyperlinks>
  <pageMargins left="0.7" right="0.7" top="0.75" bottom="0.75" header="0.3" footer="0.3"/>
  <pageSetup orientation="portrait" r:id="rId1"/>
  <headerFooter>
    <oddHeader>&amp;LMFNERC First Nations Schools System 2017-18</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37"/>
  <dimension ref="A2:F42"/>
  <sheetViews>
    <sheetView workbookViewId="0">
      <selection activeCell="H13" sqref="H13"/>
    </sheetView>
  </sheetViews>
  <sheetFormatPr baseColWidth="10" defaultColWidth="9" defaultRowHeight="14"/>
  <cols>
    <col min="1" max="1" width="19.19921875" customWidth="1"/>
    <col min="2" max="2" width="13.3984375" customWidth="1"/>
    <col min="3" max="3" width="21.59765625" customWidth="1"/>
    <col min="4" max="4" width="16.19921875" customWidth="1"/>
    <col min="5" max="5" width="15.19921875" customWidth="1"/>
    <col min="6" max="6" width="12.19921875" customWidth="1"/>
  </cols>
  <sheetData>
    <row r="2" spans="1:6" ht="34.5" customHeight="1">
      <c r="A2" s="1795" t="s">
        <v>2347</v>
      </c>
      <c r="B2" s="1795"/>
      <c r="C2" s="1795"/>
      <c r="D2" s="1795"/>
      <c r="E2" s="1795"/>
      <c r="F2" s="1795"/>
    </row>
    <row r="3" spans="1:6">
      <c r="A3" s="1367"/>
      <c r="B3" s="1367"/>
      <c r="C3" s="1368" t="s">
        <v>2348</v>
      </c>
      <c r="D3" s="1368" t="s">
        <v>1816</v>
      </c>
      <c r="E3" s="1367"/>
      <c r="F3" s="1367"/>
    </row>
    <row r="4" spans="1:6">
      <c r="A4" s="188"/>
      <c r="B4" s="189" t="s">
        <v>2349</v>
      </c>
      <c r="C4" s="189" t="s">
        <v>1847</v>
      </c>
      <c r="D4" s="189" t="s">
        <v>1848</v>
      </c>
      <c r="E4" s="189" t="s">
        <v>2107</v>
      </c>
      <c r="F4" s="189" t="s">
        <v>2350</v>
      </c>
    </row>
    <row r="5" spans="1:6">
      <c r="A5" s="369" t="s">
        <v>2351</v>
      </c>
      <c r="B5" s="369" t="s">
        <v>2352</v>
      </c>
      <c r="C5" s="369" t="s">
        <v>1899</v>
      </c>
      <c r="D5" s="369" t="s">
        <v>1900</v>
      </c>
      <c r="E5" s="369" t="s">
        <v>2353</v>
      </c>
      <c r="F5" s="369" t="s">
        <v>2353</v>
      </c>
    </row>
    <row r="6" spans="1:6">
      <c r="A6" t="s">
        <v>2056</v>
      </c>
      <c r="B6" s="26">
        <f>'K. MB Funded Enrolment'!C7</f>
        <v>1756</v>
      </c>
      <c r="C6" s="20">
        <f>'E. 17-18 FRAME Budget'!Y10</f>
        <v>36000</v>
      </c>
      <c r="D6" s="20">
        <f>'E. 17-18 FRAME Budget'!Z10</f>
        <v>0</v>
      </c>
      <c r="E6" s="25">
        <f>C6/B6</f>
        <v>20.501138952164009</v>
      </c>
      <c r="F6" s="25">
        <f>D6/B6</f>
        <v>0</v>
      </c>
    </row>
    <row r="7" spans="1:6">
      <c r="A7" t="s">
        <v>1490</v>
      </c>
      <c r="B7" s="26">
        <f>'K. MB Funded Enrolment'!C8</f>
        <v>1984.8</v>
      </c>
      <c r="C7" s="20">
        <f>'E. 17-18 FRAME Budget'!Y11</f>
        <v>54000</v>
      </c>
      <c r="D7" s="20">
        <f>'E. 17-18 FRAME Budget'!Z11</f>
        <v>336</v>
      </c>
      <c r="E7" s="25">
        <f t="shared" ref="E7:E41" si="0">C7/B7</f>
        <v>27.206771463119711</v>
      </c>
      <c r="F7" s="25">
        <f t="shared" ref="F7:F41" si="1">D7/B7</f>
        <v>0.16928657799274485</v>
      </c>
    </row>
    <row r="8" spans="1:6">
      <c r="A8" t="s">
        <v>845</v>
      </c>
      <c r="B8" s="26">
        <f>'K. MB Funded Enrolment'!C9</f>
        <v>8327.2999999999993</v>
      </c>
      <c r="C8" s="20">
        <f>'E. 17-18 FRAME Budget'!Y12</f>
        <v>371000</v>
      </c>
      <c r="D8" s="20">
        <f>'E. 17-18 FRAME Budget'!Z12</f>
        <v>900</v>
      </c>
      <c r="E8" s="25">
        <f t="shared" si="0"/>
        <v>44.552255833223256</v>
      </c>
      <c r="F8" s="25">
        <f t="shared" si="1"/>
        <v>0.10807824865202408</v>
      </c>
    </row>
    <row r="9" spans="1:6">
      <c r="A9" t="s">
        <v>1936</v>
      </c>
      <c r="B9" s="26">
        <f>'K. MB Funded Enrolment'!C10</f>
        <v>5200.5</v>
      </c>
      <c r="C9" s="20">
        <f>'E. 17-18 FRAME Budget'!Y13</f>
        <v>530000</v>
      </c>
      <c r="D9" s="20">
        <f>'E. 17-18 FRAME Budget'!Z13</f>
        <v>4998</v>
      </c>
      <c r="E9" s="25">
        <f t="shared" si="0"/>
        <v>101.91327756946447</v>
      </c>
      <c r="F9" s="25">
        <f t="shared" si="1"/>
        <v>0.96106143640034614</v>
      </c>
    </row>
    <row r="10" spans="1:6">
      <c r="A10" t="s">
        <v>846</v>
      </c>
      <c r="B10" s="26">
        <f>'K. MB Funded Enrolment'!C11</f>
        <v>1381.1999999999998</v>
      </c>
      <c r="C10" s="20">
        <f>'E. 17-18 FRAME Budget'!Y14</f>
        <v>128000</v>
      </c>
      <c r="D10" s="20">
        <f>'E. 17-18 FRAME Budget'!Z14</f>
        <v>0</v>
      </c>
      <c r="E10" s="25">
        <f t="shared" si="0"/>
        <v>92.673037938024919</v>
      </c>
      <c r="F10" s="25">
        <f t="shared" si="1"/>
        <v>0</v>
      </c>
    </row>
    <row r="11" spans="1:6">
      <c r="A11" t="s">
        <v>1704</v>
      </c>
      <c r="B11" s="26">
        <f>'K. MB Funded Enrolment'!C12</f>
        <v>885.8</v>
      </c>
      <c r="C11" s="20">
        <f>'E. 17-18 FRAME Budget'!Y15</f>
        <v>81500</v>
      </c>
      <c r="D11" s="20">
        <f>'E. 17-18 FRAME Budget'!Z15</f>
        <v>0</v>
      </c>
      <c r="E11" s="25">
        <f t="shared" si="0"/>
        <v>92.007225107247692</v>
      </c>
      <c r="F11" s="25">
        <f t="shared" si="1"/>
        <v>0</v>
      </c>
    </row>
    <row r="12" spans="1:6">
      <c r="A12" t="s">
        <v>847</v>
      </c>
      <c r="B12" s="26">
        <f>'K. MB Funded Enrolment'!C13</f>
        <v>1322.5</v>
      </c>
      <c r="C12" s="20">
        <f>'E. 17-18 FRAME Budget'!Y16</f>
        <v>18000</v>
      </c>
      <c r="D12" s="20">
        <f>'E. 17-18 FRAME Budget'!Z16</f>
        <v>0</v>
      </c>
      <c r="E12" s="25">
        <f t="shared" si="0"/>
        <v>13.610586011342155</v>
      </c>
      <c r="F12" s="25">
        <f t="shared" si="1"/>
        <v>0</v>
      </c>
    </row>
    <row r="13" spans="1:6">
      <c r="A13" t="s">
        <v>1463</v>
      </c>
      <c r="B13" s="26">
        <f>'K. MB Funded Enrolment'!C14</f>
        <v>2256.5</v>
      </c>
      <c r="C13" s="20">
        <f>'E. 17-18 FRAME Budget'!Y17</f>
        <v>851750</v>
      </c>
      <c r="D13" s="20">
        <f>'E. 17-18 FRAME Budget'!Z17</f>
        <v>364</v>
      </c>
      <c r="E13" s="25">
        <f t="shared" si="0"/>
        <v>377.46510081985377</v>
      </c>
      <c r="F13" s="25">
        <f t="shared" si="1"/>
        <v>0.16131176600930644</v>
      </c>
    </row>
    <row r="14" spans="1:6">
      <c r="A14" t="s">
        <v>2058</v>
      </c>
      <c r="B14" s="26">
        <f>'K. MB Funded Enrolment'!C15</f>
        <v>4264.8999999999996</v>
      </c>
      <c r="C14" s="20">
        <f>'E. 17-18 FRAME Budget'!Y18</f>
        <v>27000</v>
      </c>
      <c r="D14" s="20">
        <f>'E. 17-18 FRAME Budget'!Z18</f>
        <v>13351</v>
      </c>
      <c r="E14" s="25">
        <f t="shared" si="0"/>
        <v>6.3307463246500513</v>
      </c>
      <c r="F14" s="25">
        <f t="shared" si="1"/>
        <v>3.1304368214964011</v>
      </c>
    </row>
    <row r="15" spans="1:6">
      <c r="A15" t="s">
        <v>1691</v>
      </c>
      <c r="B15" s="26">
        <f>'K. MB Funded Enrolment'!C16</f>
        <v>7630.2</v>
      </c>
      <c r="C15" s="20">
        <f>'E. 17-18 FRAME Budget'!Y19</f>
        <v>171000</v>
      </c>
      <c r="D15" s="20">
        <f>'E. 17-18 FRAME Budget'!Z19</f>
        <v>2072</v>
      </c>
      <c r="E15" s="25">
        <f t="shared" si="0"/>
        <v>22.410945977824959</v>
      </c>
      <c r="F15" s="25">
        <f t="shared" si="1"/>
        <v>0.27155251500615973</v>
      </c>
    </row>
    <row r="16" spans="1:6">
      <c r="A16" t="s">
        <v>849</v>
      </c>
      <c r="B16" s="26">
        <f>'K. MB Funded Enrolment'!C17</f>
        <v>2742.1</v>
      </c>
      <c r="C16" s="20">
        <f>'E. 17-18 FRAME Budget'!Y20</f>
        <v>135000</v>
      </c>
      <c r="D16" s="20">
        <f>'E. 17-18 FRAME Budget'!Z20</f>
        <v>0</v>
      </c>
      <c r="E16" s="25">
        <f t="shared" si="0"/>
        <v>49.232340177236424</v>
      </c>
      <c r="F16" s="25">
        <f t="shared" si="1"/>
        <v>0</v>
      </c>
    </row>
    <row r="17" spans="1:6">
      <c r="A17" t="s">
        <v>850</v>
      </c>
      <c r="B17" s="26">
        <f>'K. MB Funded Enrolment'!C18</f>
        <v>1523.6</v>
      </c>
      <c r="C17" s="20">
        <f>'E. 17-18 FRAME Budget'!Y21</f>
        <v>171000</v>
      </c>
      <c r="D17" s="20">
        <f>'E. 17-18 FRAME Budget'!Z21</f>
        <v>0</v>
      </c>
      <c r="E17" s="25">
        <f t="shared" si="0"/>
        <v>112.23418220005252</v>
      </c>
      <c r="F17" s="25">
        <f t="shared" si="1"/>
        <v>0</v>
      </c>
    </row>
    <row r="18" spans="1:6">
      <c r="A18" t="s">
        <v>851</v>
      </c>
      <c r="B18" s="26">
        <f>'K. MB Funded Enrolment'!C19</f>
        <v>992.5</v>
      </c>
      <c r="C18" s="20">
        <f>'E. 17-18 FRAME Budget'!Y22</f>
        <v>99000</v>
      </c>
      <c r="D18" s="20">
        <f>'E. 17-18 FRAME Budget'!Z22</f>
        <v>0</v>
      </c>
      <c r="E18" s="25">
        <f t="shared" si="0"/>
        <v>99.748110831234257</v>
      </c>
      <c r="F18" s="25">
        <f t="shared" si="1"/>
        <v>0</v>
      </c>
    </row>
    <row r="19" spans="1:6">
      <c r="A19" t="s">
        <v>1384</v>
      </c>
      <c r="B19" s="26">
        <f>'K. MB Funded Enrolment'!C20</f>
        <v>3862.8</v>
      </c>
      <c r="C19" s="20">
        <f>'E. 17-18 FRAME Budget'!Y23</f>
        <v>356500</v>
      </c>
      <c r="D19" s="20">
        <f>'E. 17-18 FRAME Budget'!Z23</f>
        <v>16789</v>
      </c>
      <c r="E19" s="25">
        <f t="shared" si="0"/>
        <v>92.290566428497456</v>
      </c>
      <c r="F19" s="25">
        <f t="shared" si="1"/>
        <v>4.3463290877083978</v>
      </c>
    </row>
    <row r="20" spans="1:6">
      <c r="A20" t="s">
        <v>852</v>
      </c>
      <c r="B20" s="26">
        <f>'K. MB Funded Enrolment'!C21</f>
        <v>14049.5</v>
      </c>
      <c r="C20" s="20">
        <f>'E. 17-18 FRAME Budget'!Y24</f>
        <v>803000</v>
      </c>
      <c r="D20" s="20">
        <f>'E. 17-18 FRAME Budget'!Z24</f>
        <v>4914</v>
      </c>
      <c r="E20" s="25">
        <f t="shared" si="0"/>
        <v>57.155058898893202</v>
      </c>
      <c r="F20" s="25">
        <f t="shared" si="1"/>
        <v>0.34976333677355065</v>
      </c>
    </row>
    <row r="21" spans="1:6">
      <c r="A21" t="s">
        <v>853</v>
      </c>
      <c r="B21" s="26">
        <f>'K. MB Funded Enrolment'!C22</f>
        <v>2903.2</v>
      </c>
      <c r="C21" s="20">
        <f>'E. 17-18 FRAME Budget'!Y25</f>
        <v>245000</v>
      </c>
      <c r="D21" s="20">
        <f>'E. 17-18 FRAME Budget'!Z25</f>
        <v>11570</v>
      </c>
      <c r="E21" s="25">
        <f t="shared" si="0"/>
        <v>84.389639019013501</v>
      </c>
      <c r="F21" s="25">
        <f t="shared" si="1"/>
        <v>3.9852576467346377</v>
      </c>
    </row>
    <row r="22" spans="1:6">
      <c r="A22" t="s">
        <v>854</v>
      </c>
      <c r="B22" s="26">
        <f>'K. MB Funded Enrolment'!C23</f>
        <v>2925.8</v>
      </c>
      <c r="C22" s="20">
        <f>'E. 17-18 FRAME Budget'!Y26</f>
        <v>296900</v>
      </c>
      <c r="D22" s="20">
        <f>'E. 17-18 FRAME Budget'!Z26</f>
        <v>11970</v>
      </c>
      <c r="E22" s="25">
        <f t="shared" si="0"/>
        <v>101.4765192426003</v>
      </c>
      <c r="F22" s="25">
        <f t="shared" si="1"/>
        <v>4.091188734705038</v>
      </c>
    </row>
    <row r="23" spans="1:6">
      <c r="A23" t="s">
        <v>1454</v>
      </c>
      <c r="B23" s="26">
        <f>'K. MB Funded Enrolment'!C24</f>
        <v>1490.5</v>
      </c>
      <c r="C23" s="20">
        <f>'E. 17-18 FRAME Budget'!Y27</f>
        <v>90500</v>
      </c>
      <c r="D23" s="20">
        <f>'E. 17-18 FRAME Budget'!Z27</f>
        <v>238</v>
      </c>
      <c r="E23" s="25">
        <f t="shared" si="0"/>
        <v>60.717879906071786</v>
      </c>
      <c r="F23" s="25">
        <f t="shared" si="1"/>
        <v>0.1596779604159678</v>
      </c>
    </row>
    <row r="24" spans="1:6">
      <c r="A24" t="s">
        <v>868</v>
      </c>
      <c r="B24" s="26">
        <f>'K. MB Funded Enrolment'!C25</f>
        <v>12895</v>
      </c>
      <c r="C24" s="20">
        <f>'E. 17-18 FRAME Budget'!Y28</f>
        <v>333000</v>
      </c>
      <c r="D24" s="20">
        <f>'E. 17-18 FRAME Budget'!Z28</f>
        <v>3164</v>
      </c>
      <c r="E24" s="25">
        <f t="shared" si="0"/>
        <v>25.823962776269873</v>
      </c>
      <c r="F24" s="25">
        <f t="shared" si="1"/>
        <v>0.24536642109344708</v>
      </c>
    </row>
    <row r="25" spans="1:6">
      <c r="A25" t="s">
        <v>1645</v>
      </c>
      <c r="B25" s="26">
        <f>'K. MB Funded Enrolment'!C26</f>
        <v>990</v>
      </c>
      <c r="C25" s="20">
        <f>'E. 17-18 FRAME Budget'!Y29</f>
        <v>47000</v>
      </c>
      <c r="D25" s="20">
        <f>'E. 17-18 FRAME Budget'!Z29</f>
        <v>0</v>
      </c>
      <c r="E25" s="25">
        <f t="shared" si="0"/>
        <v>47.474747474747474</v>
      </c>
      <c r="F25" s="25">
        <f t="shared" si="1"/>
        <v>0</v>
      </c>
    </row>
    <row r="26" spans="1:6">
      <c r="A26" t="s">
        <v>856</v>
      </c>
      <c r="B26" s="26">
        <f>'K. MB Funded Enrolment'!C27</f>
        <v>3120.5</v>
      </c>
      <c r="C26" s="20">
        <f>'E. 17-18 FRAME Budget'!Y30</f>
        <v>245000</v>
      </c>
      <c r="D26" s="20">
        <f>'E. 17-18 FRAME Budget'!Z30</f>
        <v>2086</v>
      </c>
      <c r="E26" s="25">
        <f t="shared" si="0"/>
        <v>78.513058804678735</v>
      </c>
      <c r="F26" s="25">
        <f t="shared" si="1"/>
        <v>0.66848261496555039</v>
      </c>
    </row>
    <row r="27" spans="1:6">
      <c r="A27" t="s">
        <v>1594</v>
      </c>
      <c r="B27" s="26">
        <f>'K. MB Funded Enrolment'!C28</f>
        <v>2151.1999999999998</v>
      </c>
      <c r="C27" s="20">
        <f>'E. 17-18 FRAME Budget'!Y31</f>
        <v>99000</v>
      </c>
      <c r="D27" s="20">
        <f>'E. 17-18 FRAME Budget'!Z31</f>
        <v>0</v>
      </c>
      <c r="E27" s="25">
        <f t="shared" si="0"/>
        <v>46.020825585719599</v>
      </c>
      <c r="F27" s="25">
        <f t="shared" si="1"/>
        <v>0</v>
      </c>
    </row>
    <row r="28" spans="1:6">
      <c r="A28" t="s">
        <v>1573</v>
      </c>
      <c r="B28" s="26">
        <f>'K. MB Funded Enrolment'!C29</f>
        <v>1991.7</v>
      </c>
      <c r="C28" s="20">
        <f>'E. 17-18 FRAME Budget'!Y32</f>
        <v>36000</v>
      </c>
      <c r="D28" s="20">
        <f>'E. 17-18 FRAME Budget'!Z32</f>
        <v>390</v>
      </c>
      <c r="E28" s="25">
        <f t="shared" si="0"/>
        <v>18.07501129688206</v>
      </c>
      <c r="F28" s="25">
        <f t="shared" si="1"/>
        <v>0.19581262238288899</v>
      </c>
    </row>
    <row r="29" spans="1:6">
      <c r="A29" t="s">
        <v>857</v>
      </c>
      <c r="B29" s="26">
        <f>'K. MB Funded Enrolment'!C30</f>
        <v>2040.9</v>
      </c>
      <c r="C29" s="20">
        <f>'E. 17-18 FRAME Budget'!Y33</f>
        <v>108000</v>
      </c>
      <c r="D29" s="20">
        <f>'E. 17-18 FRAME Budget'!Z33</f>
        <v>574</v>
      </c>
      <c r="E29" s="25">
        <f t="shared" si="0"/>
        <v>52.917830368954867</v>
      </c>
      <c r="F29" s="25">
        <f t="shared" si="1"/>
        <v>0.28124846881277865</v>
      </c>
    </row>
    <row r="30" spans="1:6">
      <c r="A30" t="s">
        <v>1388</v>
      </c>
      <c r="B30" s="26">
        <f>'K. MB Funded Enrolment'!C31</f>
        <v>15492</v>
      </c>
      <c r="C30" s="20">
        <f>'E. 17-18 FRAME Budget'!Y34</f>
        <v>864000</v>
      </c>
      <c r="D30" s="20">
        <f>'E. 17-18 FRAME Budget'!Z34</f>
        <v>54796</v>
      </c>
      <c r="E30" s="25">
        <f t="shared" si="0"/>
        <v>55.770720371804799</v>
      </c>
      <c r="F30" s="25">
        <f t="shared" si="1"/>
        <v>3.5370513813581201</v>
      </c>
    </row>
    <row r="31" spans="1:6">
      <c r="A31" t="s">
        <v>1666</v>
      </c>
      <c r="B31" s="26">
        <f>'K. MB Funded Enrolment'!C32</f>
        <v>1553.1</v>
      </c>
      <c r="C31" s="20">
        <f>'E. 17-18 FRAME Budget'!Y35</f>
        <v>74000</v>
      </c>
      <c r="D31" s="20">
        <f>'E. 17-18 FRAME Budget'!Z35</f>
        <v>140</v>
      </c>
      <c r="E31" s="25">
        <f t="shared" si="0"/>
        <v>47.646642199472026</v>
      </c>
      <c r="F31" s="25">
        <f t="shared" si="1"/>
        <v>9.0142296053055182E-2</v>
      </c>
    </row>
    <row r="32" spans="1:6">
      <c r="A32" t="s">
        <v>1484</v>
      </c>
      <c r="B32" s="26">
        <f>'K. MB Funded Enrolment'!C33</f>
        <v>4185</v>
      </c>
      <c r="C32" s="20">
        <f>'E. 17-18 FRAME Budget'!Y36</f>
        <v>396000</v>
      </c>
      <c r="D32" s="20">
        <f>'E. 17-18 FRAME Budget'!Z36</f>
        <v>0</v>
      </c>
      <c r="E32" s="25">
        <f t="shared" si="0"/>
        <v>94.623655913978496</v>
      </c>
      <c r="F32" s="25">
        <f t="shared" si="1"/>
        <v>0</v>
      </c>
    </row>
    <row r="33" spans="1:6">
      <c r="A33" t="s">
        <v>862</v>
      </c>
      <c r="B33" s="26">
        <f>'K. MB Funded Enrolment'!C34</f>
        <v>10891.8</v>
      </c>
      <c r="C33" s="20">
        <f>'E. 17-18 FRAME Budget'!Y37</f>
        <v>359500</v>
      </c>
      <c r="D33" s="20">
        <f>'E. 17-18 FRAME Budget'!Z37</f>
        <v>23668</v>
      </c>
      <c r="E33" s="25">
        <f t="shared" si="0"/>
        <v>33.006481940542429</v>
      </c>
      <c r="F33" s="25">
        <f t="shared" si="1"/>
        <v>2.1730108889256141</v>
      </c>
    </row>
    <row r="34" spans="1:6">
      <c r="A34" t="s">
        <v>2059</v>
      </c>
      <c r="B34" s="26">
        <f>'K. MB Funded Enrolment'!C35</f>
        <v>1501.4</v>
      </c>
      <c r="C34" s="20">
        <f>'E. 17-18 FRAME Budget'!Y38</f>
        <v>36000</v>
      </c>
      <c r="D34" s="20">
        <f>'E. 17-18 FRAME Budget'!Z38</f>
        <v>0</v>
      </c>
      <c r="E34" s="25">
        <f t="shared" si="0"/>
        <v>23.97762088717197</v>
      </c>
      <c r="F34" s="25">
        <f t="shared" si="1"/>
        <v>0</v>
      </c>
    </row>
    <row r="35" spans="1:6">
      <c r="A35" t="s">
        <v>1405</v>
      </c>
      <c r="B35" s="26">
        <f>'K. MB Funded Enrolment'!C36</f>
        <v>7987.5</v>
      </c>
      <c r="C35" s="20">
        <f>'E. 17-18 FRAME Budget'!Y39</f>
        <v>371200</v>
      </c>
      <c r="D35" s="20">
        <f>'E. 17-18 FRAME Budget'!Z39</f>
        <v>1260</v>
      </c>
      <c r="E35" s="25">
        <f t="shared" si="0"/>
        <v>46.472613458528954</v>
      </c>
      <c r="F35" s="25">
        <f t="shared" si="1"/>
        <v>0.15774647887323945</v>
      </c>
    </row>
    <row r="36" spans="1:6">
      <c r="A36" t="s">
        <v>864</v>
      </c>
      <c r="B36" s="26">
        <f>'K. MB Funded Enrolment'!C37</f>
        <v>4391</v>
      </c>
      <c r="C36" s="20">
        <f>'E. 17-18 FRAME Budget'!Y40</f>
        <v>255000</v>
      </c>
      <c r="D36" s="20">
        <f>'E. 17-18 FRAME Budget'!Z40</f>
        <v>12272</v>
      </c>
      <c r="E36" s="25">
        <f t="shared" si="0"/>
        <v>58.073331815076294</v>
      </c>
      <c r="F36" s="25">
        <f t="shared" si="1"/>
        <v>2.7948075609200638</v>
      </c>
    </row>
    <row r="37" spans="1:6">
      <c r="A37" t="s">
        <v>865</v>
      </c>
      <c r="B37" s="26">
        <f>'K. MB Funded Enrolment'!C38</f>
        <v>1343.6</v>
      </c>
      <c r="C37" s="20">
        <f>'E. 17-18 FRAME Budget'!Y41</f>
        <v>146000</v>
      </c>
      <c r="D37" s="20">
        <f>'E. 17-18 FRAME Budget'!Z41</f>
        <v>0</v>
      </c>
      <c r="E37" s="25">
        <f t="shared" si="0"/>
        <v>108.66329264662103</v>
      </c>
      <c r="F37" s="25">
        <f t="shared" si="1"/>
        <v>0</v>
      </c>
    </row>
    <row r="38" spans="1:6">
      <c r="A38" t="s">
        <v>866</v>
      </c>
      <c r="B38" s="26">
        <f>'K. MB Funded Enrolment'!C39</f>
        <v>963.69999999999993</v>
      </c>
      <c r="C38" s="20">
        <f>'E. 17-18 FRAME Budget'!Y42</f>
        <v>27000</v>
      </c>
      <c r="D38" s="20">
        <f>'E. 17-18 FRAME Budget'!Z42</f>
        <v>1372</v>
      </c>
      <c r="E38" s="25">
        <f t="shared" si="0"/>
        <v>28.017017744111239</v>
      </c>
      <c r="F38" s="25">
        <f t="shared" si="1"/>
        <v>1.4236795683303933</v>
      </c>
    </row>
    <row r="39" spans="1:6">
      <c r="A39" t="s">
        <v>2283</v>
      </c>
      <c r="B39" s="26">
        <f>'K. MB Funded Enrolment'!C40</f>
        <v>693.3</v>
      </c>
      <c r="C39" s="20">
        <f>'E. 17-18 FRAME Budget'!Y43</f>
        <v>99000</v>
      </c>
      <c r="D39" s="20">
        <f>'E. 17-18 FRAME Budget'!Z43</f>
        <v>0</v>
      </c>
      <c r="E39" s="25">
        <f t="shared" si="0"/>
        <v>142.79532669839898</v>
      </c>
      <c r="F39" s="25">
        <f t="shared" si="1"/>
        <v>0</v>
      </c>
    </row>
    <row r="40" spans="1:6">
      <c r="A40" t="s">
        <v>2061</v>
      </c>
      <c r="B40" s="26">
        <f>'K. MB Funded Enrolment'!C41</f>
        <v>1662.4</v>
      </c>
      <c r="C40" s="20">
        <f>'E. 17-18 FRAME Budget'!Y44</f>
        <v>27000</v>
      </c>
      <c r="D40" s="20">
        <f>'E. 17-18 FRAME Budget'!Z44</f>
        <v>0</v>
      </c>
      <c r="E40" s="25">
        <f t="shared" si="0"/>
        <v>16.241578440808468</v>
      </c>
      <c r="F40" s="25">
        <f t="shared" si="1"/>
        <v>0</v>
      </c>
    </row>
    <row r="41" spans="1:6" ht="15" thickBot="1">
      <c r="A41" s="21" t="s">
        <v>1233</v>
      </c>
      <c r="B41" s="30">
        <f>'K. MB Funded Enrolment'!C42</f>
        <v>29637.4</v>
      </c>
      <c r="C41" s="31">
        <f>'E. 17-18 FRAME Budget'!Y45</f>
        <v>2374400</v>
      </c>
      <c r="D41" s="31">
        <f>'E. 17-18 FRAME Budget'!Z45</f>
        <v>49706</v>
      </c>
      <c r="E41" s="32">
        <f t="shared" si="0"/>
        <v>80.114989843913435</v>
      </c>
      <c r="F41" s="32">
        <f t="shared" si="1"/>
        <v>1.6771376706458729</v>
      </c>
    </row>
    <row r="42" spans="1:6" ht="15">
      <c r="A42" s="2" t="s">
        <v>2354</v>
      </c>
      <c r="B42" s="27">
        <f>SUM(B6:B41)</f>
        <v>168991.19999999998</v>
      </c>
      <c r="C42" s="29">
        <f>SUM(C6:C41)</f>
        <v>10362250</v>
      </c>
      <c r="D42" s="29">
        <f>SUM(D6:D41)</f>
        <v>216930</v>
      </c>
      <c r="E42" s="28">
        <f>C42/B42</f>
        <v>61.318281662003706</v>
      </c>
      <c r="F42" s="28">
        <f>D42/B42</f>
        <v>1.2836763097723434</v>
      </c>
    </row>
  </sheetData>
  <mergeCells count="1">
    <mergeCell ref="A2:F2"/>
  </mergeCell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53"/>
  <sheetViews>
    <sheetView topLeftCell="A4" workbookViewId="0">
      <selection activeCell="D45" sqref="D45"/>
    </sheetView>
  </sheetViews>
  <sheetFormatPr baseColWidth="10" defaultColWidth="9" defaultRowHeight="14"/>
  <cols>
    <col min="1" max="1" width="19.19921875" customWidth="1"/>
    <col min="2" max="2" width="33.3984375" customWidth="1"/>
    <col min="3" max="3" width="27.3984375" customWidth="1"/>
    <col min="4" max="4" width="7.19921875" customWidth="1"/>
    <col min="5" max="5" width="18.19921875" customWidth="1"/>
    <col min="6" max="6" width="11.796875" customWidth="1"/>
    <col min="7" max="8" width="12.796875" customWidth="1"/>
    <col min="9" max="10" width="16.59765625" customWidth="1"/>
  </cols>
  <sheetData>
    <row r="1" spans="1:10">
      <c r="E1" s="1369"/>
      <c r="F1" s="1370" t="s">
        <v>2355</v>
      </c>
      <c r="G1" s="1371"/>
      <c r="H1" s="1371"/>
      <c r="I1" s="1372"/>
      <c r="J1" s="1372"/>
    </row>
    <row r="2" spans="1:10" ht="16">
      <c r="A2" s="10" t="s">
        <v>2034</v>
      </c>
      <c r="E2" s="587"/>
      <c r="F2" s="588" t="s">
        <v>2356</v>
      </c>
      <c r="G2" s="589"/>
      <c r="H2" s="589"/>
      <c r="I2" s="590"/>
      <c r="J2" s="590"/>
    </row>
    <row r="3" spans="1:10">
      <c r="E3" s="557"/>
      <c r="F3" s="591"/>
      <c r="G3" s="591"/>
      <c r="H3" s="591"/>
      <c r="I3" s="591"/>
      <c r="J3" s="557"/>
    </row>
    <row r="4" spans="1:10" ht="13.5" customHeight="1">
      <c r="B4" s="334" t="s">
        <v>2357</v>
      </c>
      <c r="C4" s="334" t="s">
        <v>2357</v>
      </c>
      <c r="E4" s="557"/>
      <c r="F4" s="1373" t="s">
        <v>2358</v>
      </c>
      <c r="G4" s="1547"/>
      <c r="H4" s="592"/>
      <c r="I4" s="1374" t="s">
        <v>2359</v>
      </c>
      <c r="J4" s="1375" t="s">
        <v>2359</v>
      </c>
    </row>
    <row r="5" spans="1:10" s="35" customFormat="1" ht="17.25" customHeight="1">
      <c r="B5" s="336" t="s">
        <v>2360</v>
      </c>
      <c r="C5" s="337" t="s">
        <v>2361</v>
      </c>
      <c r="E5" s="557"/>
      <c r="F5" s="1797" t="s">
        <v>2362</v>
      </c>
      <c r="G5" s="1798"/>
      <c r="H5" s="1799"/>
      <c r="I5" s="1803" t="s">
        <v>2363</v>
      </c>
      <c r="J5" s="1803" t="s">
        <v>2364</v>
      </c>
    </row>
    <row r="6" spans="1:10">
      <c r="A6" s="1548" t="s">
        <v>429</v>
      </c>
      <c r="B6" s="1549"/>
      <c r="C6" s="1549"/>
      <c r="E6" s="557"/>
      <c r="F6" s="1800"/>
      <c r="G6" s="1801"/>
      <c r="H6" s="1802"/>
      <c r="I6" s="1804" t="s">
        <v>2137</v>
      </c>
      <c r="J6" s="1804" t="s">
        <v>2137</v>
      </c>
    </row>
    <row r="7" spans="1:10" ht="12.75" customHeight="1">
      <c r="A7" t="s">
        <v>2056</v>
      </c>
      <c r="B7" s="206">
        <v>1831</v>
      </c>
      <c r="C7" s="207">
        <v>1756</v>
      </c>
      <c r="E7" s="1376"/>
      <c r="F7" s="1805" t="s">
        <v>2365</v>
      </c>
      <c r="G7" s="1745" t="s">
        <v>2366</v>
      </c>
      <c r="H7" s="1745" t="s">
        <v>2367</v>
      </c>
      <c r="I7" s="1745" t="s">
        <v>2367</v>
      </c>
      <c r="J7" s="1806" t="s">
        <v>2367</v>
      </c>
    </row>
    <row r="8" spans="1:10" ht="12.75" customHeight="1">
      <c r="A8" t="s">
        <v>844</v>
      </c>
      <c r="B8" s="206">
        <v>2075</v>
      </c>
      <c r="C8" s="207">
        <v>1984.8</v>
      </c>
      <c r="E8" s="559" t="s">
        <v>1995</v>
      </c>
      <c r="F8" s="1762"/>
      <c r="G8" s="1747"/>
      <c r="H8" s="1747"/>
      <c r="I8" s="1747"/>
      <c r="J8" s="1807"/>
    </row>
    <row r="9" spans="1:10">
      <c r="A9" t="s">
        <v>845</v>
      </c>
      <c r="B9" s="206">
        <v>8702</v>
      </c>
      <c r="C9" s="207">
        <v>8327.2999999999993</v>
      </c>
      <c r="E9" s="561"/>
      <c r="F9" s="557"/>
      <c r="G9" s="557"/>
      <c r="H9" s="557"/>
      <c r="I9" s="557"/>
      <c r="J9" s="557"/>
    </row>
    <row r="10" spans="1:10" ht="12.75" customHeight="1">
      <c r="A10" t="s">
        <v>1936</v>
      </c>
      <c r="B10" s="206">
        <v>5449</v>
      </c>
      <c r="C10" s="207">
        <v>5200.5</v>
      </c>
      <c r="E10" s="563" t="s">
        <v>1997</v>
      </c>
      <c r="F10" s="554">
        <v>1864</v>
      </c>
      <c r="G10" s="554">
        <v>0</v>
      </c>
      <c r="H10" s="554">
        <f>+F10-G10</f>
        <v>1864</v>
      </c>
      <c r="I10" s="593">
        <v>1783.2</v>
      </c>
      <c r="J10" s="593">
        <v>1756</v>
      </c>
    </row>
    <row r="11" spans="1:10">
      <c r="A11" t="s">
        <v>846</v>
      </c>
      <c r="B11" s="206">
        <v>1437</v>
      </c>
      <c r="C11" s="207">
        <v>1381.1999999999998</v>
      </c>
      <c r="E11" s="564" t="s">
        <v>1998</v>
      </c>
      <c r="F11" s="555">
        <v>2162</v>
      </c>
      <c r="G11" s="555">
        <v>0</v>
      </c>
      <c r="H11" s="555">
        <f t="shared" ref="H11:H45" si="0">+F11-G11</f>
        <v>2162</v>
      </c>
      <c r="I11" s="594">
        <v>1976.1</v>
      </c>
      <c r="J11" s="594">
        <v>1984.8</v>
      </c>
    </row>
    <row r="12" spans="1:10">
      <c r="A12" t="s">
        <v>1704</v>
      </c>
      <c r="B12" s="206">
        <v>943</v>
      </c>
      <c r="C12" s="207">
        <v>885.8</v>
      </c>
      <c r="E12" s="563" t="s">
        <v>1999</v>
      </c>
      <c r="F12" s="554">
        <v>8805</v>
      </c>
      <c r="G12" s="554">
        <v>0</v>
      </c>
      <c r="H12" s="554">
        <f t="shared" si="0"/>
        <v>8805</v>
      </c>
      <c r="I12" s="593">
        <v>8406.7999999999993</v>
      </c>
      <c r="J12" s="593">
        <v>8322.2999999999993</v>
      </c>
    </row>
    <row r="13" spans="1:10">
      <c r="A13" t="s">
        <v>847</v>
      </c>
      <c r="B13" s="206">
        <v>1373</v>
      </c>
      <c r="C13" s="207">
        <v>1322.5</v>
      </c>
      <c r="E13" s="564" t="s">
        <v>2000</v>
      </c>
      <c r="F13" s="555">
        <v>5642</v>
      </c>
      <c r="G13" s="555">
        <v>34</v>
      </c>
      <c r="H13" s="555">
        <f t="shared" si="0"/>
        <v>5608</v>
      </c>
      <c r="I13" s="594">
        <v>5320.8</v>
      </c>
      <c r="J13" s="594">
        <v>5199.5</v>
      </c>
    </row>
    <row r="14" spans="1:10">
      <c r="A14" t="s">
        <v>1463</v>
      </c>
      <c r="B14" s="206">
        <v>2358</v>
      </c>
      <c r="C14" s="207">
        <v>2256.5</v>
      </c>
      <c r="E14" s="563" t="s">
        <v>2001</v>
      </c>
      <c r="F14" s="554">
        <v>1443</v>
      </c>
      <c r="G14" s="554">
        <v>0</v>
      </c>
      <c r="H14" s="554">
        <f t="shared" si="0"/>
        <v>1443</v>
      </c>
      <c r="I14" s="593">
        <v>1362.8</v>
      </c>
      <c r="J14" s="593">
        <v>1381.1999999999998</v>
      </c>
    </row>
    <row r="15" spans="1:10">
      <c r="A15" t="s">
        <v>2058</v>
      </c>
      <c r="B15" s="206">
        <v>4439</v>
      </c>
      <c r="C15" s="207">
        <v>4264.8999999999996</v>
      </c>
      <c r="E15" s="564" t="s">
        <v>2002</v>
      </c>
      <c r="F15" s="555">
        <v>950</v>
      </c>
      <c r="G15" s="555">
        <v>0</v>
      </c>
      <c r="H15" s="555">
        <f t="shared" si="0"/>
        <v>950</v>
      </c>
      <c r="I15" s="594">
        <v>890.9</v>
      </c>
      <c r="J15" s="594">
        <v>885.8</v>
      </c>
    </row>
    <row r="16" spans="1:10">
      <c r="A16" t="s">
        <v>848</v>
      </c>
      <c r="B16" s="206">
        <v>7972</v>
      </c>
      <c r="C16" s="207">
        <v>7630.2</v>
      </c>
      <c r="E16" s="563" t="s">
        <v>2003</v>
      </c>
      <c r="F16" s="554">
        <v>1448</v>
      </c>
      <c r="G16" s="554">
        <v>5</v>
      </c>
      <c r="H16" s="554">
        <f>+F16-G16</f>
        <v>1443</v>
      </c>
      <c r="I16" s="593">
        <v>1320.8</v>
      </c>
      <c r="J16" s="593">
        <v>1320.5</v>
      </c>
    </row>
    <row r="17" spans="1:10">
      <c r="A17" t="s">
        <v>849</v>
      </c>
      <c r="B17" s="206">
        <v>2858</v>
      </c>
      <c r="C17" s="207">
        <v>2742.1</v>
      </c>
      <c r="E17" s="564" t="s">
        <v>2004</v>
      </c>
      <c r="F17" s="555">
        <v>6656</v>
      </c>
      <c r="G17" s="555">
        <v>469</v>
      </c>
      <c r="H17" s="555">
        <f t="shared" si="0"/>
        <v>6187</v>
      </c>
      <c r="I17" s="594">
        <v>2210.9</v>
      </c>
      <c r="J17" s="594">
        <v>2256.5</v>
      </c>
    </row>
    <row r="18" spans="1:10">
      <c r="A18" t="s">
        <v>850</v>
      </c>
      <c r="B18" s="206">
        <v>1587</v>
      </c>
      <c r="C18" s="207">
        <v>1523.6</v>
      </c>
      <c r="E18" s="563" t="s">
        <v>2005</v>
      </c>
      <c r="F18" s="554">
        <v>4576</v>
      </c>
      <c r="G18" s="554">
        <v>0</v>
      </c>
      <c r="H18" s="554">
        <f t="shared" si="0"/>
        <v>4576</v>
      </c>
      <c r="I18" s="593">
        <v>4386.1000000000004</v>
      </c>
      <c r="J18" s="593">
        <v>4264.8999999999996</v>
      </c>
    </row>
    <row r="19" spans="1:10">
      <c r="A19" t="s">
        <v>851</v>
      </c>
      <c r="B19" s="206">
        <v>1027</v>
      </c>
      <c r="C19" s="207">
        <v>992.5</v>
      </c>
      <c r="E19" s="564" t="s">
        <v>2006</v>
      </c>
      <c r="F19" s="555">
        <v>8101</v>
      </c>
      <c r="G19" s="555">
        <v>0</v>
      </c>
      <c r="H19" s="555">
        <f t="shared" si="0"/>
        <v>8101</v>
      </c>
      <c r="I19" s="594">
        <v>7792.6</v>
      </c>
      <c r="J19" s="594">
        <v>7630.2</v>
      </c>
    </row>
    <row r="20" spans="1:10">
      <c r="A20" t="s">
        <v>1384</v>
      </c>
      <c r="B20" s="206">
        <v>3997</v>
      </c>
      <c r="C20" s="207">
        <v>3862.8</v>
      </c>
      <c r="E20" s="563" t="s">
        <v>2007</v>
      </c>
      <c r="F20" s="554">
        <v>2901</v>
      </c>
      <c r="G20" s="554">
        <v>0</v>
      </c>
      <c r="H20" s="554">
        <f t="shared" si="0"/>
        <v>2901</v>
      </c>
      <c r="I20" s="593">
        <v>2780.8</v>
      </c>
      <c r="J20" s="593">
        <v>2742.1</v>
      </c>
    </row>
    <row r="21" spans="1:10">
      <c r="A21" t="s">
        <v>852</v>
      </c>
      <c r="B21" s="206">
        <v>14643</v>
      </c>
      <c r="C21" s="207">
        <v>14049.5</v>
      </c>
      <c r="E21" s="564" t="s">
        <v>2008</v>
      </c>
      <c r="F21" s="555">
        <v>1569</v>
      </c>
      <c r="G21" s="555">
        <v>0</v>
      </c>
      <c r="H21" s="555">
        <f t="shared" si="0"/>
        <v>1569</v>
      </c>
      <c r="I21" s="594">
        <v>1493.4</v>
      </c>
      <c r="J21" s="594">
        <v>1523.6</v>
      </c>
    </row>
    <row r="22" spans="1:10">
      <c r="A22" t="s">
        <v>853</v>
      </c>
      <c r="B22" s="206">
        <v>3018</v>
      </c>
      <c r="C22" s="207">
        <v>2903.2</v>
      </c>
      <c r="E22" s="563" t="s">
        <v>2009</v>
      </c>
      <c r="F22" s="554">
        <v>1072</v>
      </c>
      <c r="G22" s="554">
        <v>0</v>
      </c>
      <c r="H22" s="554">
        <f t="shared" si="0"/>
        <v>1072</v>
      </c>
      <c r="I22" s="593">
        <v>955</v>
      </c>
      <c r="J22" s="593">
        <v>990.8</v>
      </c>
    </row>
    <row r="23" spans="1:10">
      <c r="A23" t="s">
        <v>854</v>
      </c>
      <c r="B23" s="206">
        <v>3056</v>
      </c>
      <c r="C23" s="207">
        <v>2925.8</v>
      </c>
      <c r="E23" s="564" t="s">
        <v>2010</v>
      </c>
      <c r="F23" s="555">
        <v>4021</v>
      </c>
      <c r="G23" s="555">
        <v>0</v>
      </c>
      <c r="H23" s="555">
        <f t="shared" si="0"/>
        <v>4021</v>
      </c>
      <c r="I23" s="594">
        <v>3814.3</v>
      </c>
      <c r="J23" s="594">
        <v>3863.8</v>
      </c>
    </row>
    <row r="24" spans="1:10">
      <c r="A24" t="s">
        <v>1454</v>
      </c>
      <c r="B24" s="206">
        <v>1540</v>
      </c>
      <c r="C24" s="207">
        <v>1490.5</v>
      </c>
      <c r="E24" s="563" t="s">
        <v>2011</v>
      </c>
      <c r="F24" s="554">
        <v>15263</v>
      </c>
      <c r="G24" s="554">
        <v>0</v>
      </c>
      <c r="H24" s="554">
        <f t="shared" si="0"/>
        <v>15263</v>
      </c>
      <c r="I24" s="593">
        <v>14333.2</v>
      </c>
      <c r="J24" s="593">
        <v>14048.5</v>
      </c>
    </row>
    <row r="25" spans="1:10">
      <c r="A25" t="s">
        <v>868</v>
      </c>
      <c r="B25" s="206">
        <v>13349</v>
      </c>
      <c r="C25" s="207">
        <v>12895</v>
      </c>
      <c r="E25" s="564" t="s">
        <v>2012</v>
      </c>
      <c r="F25" s="555">
        <v>3055</v>
      </c>
      <c r="G25" s="555">
        <v>0</v>
      </c>
      <c r="H25" s="555">
        <f t="shared" si="0"/>
        <v>3055</v>
      </c>
      <c r="I25" s="594">
        <v>2846.7</v>
      </c>
      <c r="J25" s="594">
        <v>2903.2</v>
      </c>
    </row>
    <row r="26" spans="1:10">
      <c r="A26" t="s">
        <v>1645</v>
      </c>
      <c r="B26" s="206">
        <v>1031</v>
      </c>
      <c r="C26" s="207">
        <v>990</v>
      </c>
      <c r="E26" s="563" t="s">
        <v>2013</v>
      </c>
      <c r="F26" s="554">
        <v>3163</v>
      </c>
      <c r="G26" s="554">
        <v>0</v>
      </c>
      <c r="H26" s="554">
        <f t="shared" si="0"/>
        <v>3163</v>
      </c>
      <c r="I26" s="593">
        <v>2983.9</v>
      </c>
      <c r="J26" s="593">
        <v>2925.8</v>
      </c>
    </row>
    <row r="27" spans="1:10">
      <c r="A27" t="s">
        <v>856</v>
      </c>
      <c r="B27" s="206">
        <v>3276</v>
      </c>
      <c r="C27" s="207">
        <v>3120.5</v>
      </c>
      <c r="E27" s="564" t="s">
        <v>2014</v>
      </c>
      <c r="F27" s="555">
        <v>2059</v>
      </c>
      <c r="G27" s="555">
        <v>34</v>
      </c>
      <c r="H27" s="555">
        <f t="shared" si="0"/>
        <v>2025</v>
      </c>
      <c r="I27" s="594">
        <v>1462.5</v>
      </c>
      <c r="J27" s="594">
        <v>1490.5</v>
      </c>
    </row>
    <row r="28" spans="1:10">
      <c r="A28" t="s">
        <v>1594</v>
      </c>
      <c r="B28" s="206">
        <v>2253</v>
      </c>
      <c r="C28" s="207">
        <v>2151.1999999999998</v>
      </c>
      <c r="E28" s="563" t="s">
        <v>2015</v>
      </c>
      <c r="F28" s="554">
        <v>13920</v>
      </c>
      <c r="G28" s="554">
        <v>0</v>
      </c>
      <c r="H28" s="554">
        <f t="shared" si="0"/>
        <v>13920</v>
      </c>
      <c r="I28" s="593">
        <v>13186.699999999999</v>
      </c>
      <c r="J28" s="593">
        <v>12903.099999999999</v>
      </c>
    </row>
    <row r="29" spans="1:10">
      <c r="A29" t="s">
        <v>1573</v>
      </c>
      <c r="B29" s="206">
        <v>2069</v>
      </c>
      <c r="C29" s="207">
        <v>1991.7</v>
      </c>
      <c r="E29" s="564" t="s">
        <v>2016</v>
      </c>
      <c r="F29" s="555">
        <v>1053</v>
      </c>
      <c r="G29" s="555">
        <v>0</v>
      </c>
      <c r="H29" s="555">
        <f t="shared" si="0"/>
        <v>1053</v>
      </c>
      <c r="I29" s="594">
        <v>1007.2</v>
      </c>
      <c r="J29" s="594">
        <v>990</v>
      </c>
    </row>
    <row r="30" spans="1:10">
      <c r="A30" t="s">
        <v>857</v>
      </c>
      <c r="B30" s="206">
        <v>2115</v>
      </c>
      <c r="C30" s="207">
        <v>2040.9</v>
      </c>
      <c r="E30" s="563" t="s">
        <v>2017</v>
      </c>
      <c r="F30" s="554">
        <v>3502</v>
      </c>
      <c r="G30" s="554">
        <v>0</v>
      </c>
      <c r="H30" s="554">
        <f t="shared" si="0"/>
        <v>3502</v>
      </c>
      <c r="I30" s="593">
        <v>3110.4</v>
      </c>
      <c r="J30" s="593">
        <v>3120.5</v>
      </c>
    </row>
    <row r="31" spans="1:10">
      <c r="A31" t="s">
        <v>1388</v>
      </c>
      <c r="B31" s="206">
        <v>16060</v>
      </c>
      <c r="C31" s="207">
        <v>15492</v>
      </c>
      <c r="E31" s="564" t="s">
        <v>2018</v>
      </c>
      <c r="F31" s="555">
        <v>2282</v>
      </c>
      <c r="G31" s="555">
        <v>0</v>
      </c>
      <c r="H31" s="555">
        <f t="shared" si="0"/>
        <v>2282</v>
      </c>
      <c r="I31" s="594">
        <v>2184.3000000000002</v>
      </c>
      <c r="J31" s="594">
        <v>2153.1999999999998</v>
      </c>
    </row>
    <row r="32" spans="1:10">
      <c r="A32" t="s">
        <v>1666</v>
      </c>
      <c r="B32" s="206">
        <v>1613</v>
      </c>
      <c r="C32" s="207">
        <v>1553.1</v>
      </c>
      <c r="E32" s="563" t="s">
        <v>2019</v>
      </c>
      <c r="F32" s="554">
        <v>2169</v>
      </c>
      <c r="G32" s="554">
        <v>0</v>
      </c>
      <c r="H32" s="554">
        <f t="shared" si="0"/>
        <v>2169</v>
      </c>
      <c r="I32" s="593">
        <v>2057.7999999999997</v>
      </c>
      <c r="J32" s="593">
        <v>1991.1</v>
      </c>
    </row>
    <row r="33" spans="1:10">
      <c r="A33" t="s">
        <v>1484</v>
      </c>
      <c r="B33" s="206">
        <v>4360</v>
      </c>
      <c r="C33" s="207">
        <v>4185</v>
      </c>
      <c r="E33" s="564" t="s">
        <v>2020</v>
      </c>
      <c r="F33" s="555">
        <v>2188</v>
      </c>
      <c r="G33" s="555">
        <v>0</v>
      </c>
      <c r="H33" s="555">
        <f t="shared" si="0"/>
        <v>2188</v>
      </c>
      <c r="I33" s="594">
        <v>2100.8000000000002</v>
      </c>
      <c r="J33" s="594">
        <v>2040.9</v>
      </c>
    </row>
    <row r="34" spans="1:10">
      <c r="A34" t="s">
        <v>862</v>
      </c>
      <c r="B34" s="206">
        <v>11335</v>
      </c>
      <c r="C34" s="207">
        <v>10891.8</v>
      </c>
      <c r="E34" s="563" t="s">
        <v>2021</v>
      </c>
      <c r="F34" s="554">
        <v>16497</v>
      </c>
      <c r="G34" s="554">
        <v>0</v>
      </c>
      <c r="H34" s="554">
        <f t="shared" si="0"/>
        <v>16497</v>
      </c>
      <c r="I34" s="593">
        <v>15713.5</v>
      </c>
      <c r="J34" s="593">
        <v>15492</v>
      </c>
    </row>
    <row r="35" spans="1:10">
      <c r="A35" t="s">
        <v>2059</v>
      </c>
      <c r="B35" s="206">
        <v>1555</v>
      </c>
      <c r="C35" s="207">
        <v>1501.4</v>
      </c>
      <c r="E35" s="564" t="s">
        <v>2022</v>
      </c>
      <c r="F35" s="555">
        <v>1751</v>
      </c>
      <c r="G35" s="555">
        <v>0</v>
      </c>
      <c r="H35" s="555">
        <f t="shared" si="0"/>
        <v>1751</v>
      </c>
      <c r="I35" s="594">
        <v>1576.6</v>
      </c>
      <c r="J35" s="594">
        <v>1552.6</v>
      </c>
    </row>
    <row r="36" spans="1:10">
      <c r="A36" t="s">
        <v>1405</v>
      </c>
      <c r="B36" s="206">
        <v>8289</v>
      </c>
      <c r="C36" s="207">
        <v>7987.5</v>
      </c>
      <c r="E36" s="563" t="s">
        <v>2023</v>
      </c>
      <c r="F36" s="554">
        <v>4385</v>
      </c>
      <c r="G36" s="554">
        <v>0</v>
      </c>
      <c r="H36" s="554">
        <f t="shared" si="0"/>
        <v>4385</v>
      </c>
      <c r="I36" s="593">
        <v>4188.1000000000004</v>
      </c>
      <c r="J36" s="593">
        <v>4183.7</v>
      </c>
    </row>
    <row r="37" spans="1:10">
      <c r="A37" t="s">
        <v>864</v>
      </c>
      <c r="B37" s="206">
        <v>4568</v>
      </c>
      <c r="C37" s="207">
        <v>4391</v>
      </c>
      <c r="E37" s="564" t="s">
        <v>2024</v>
      </c>
      <c r="F37" s="555">
        <v>11523</v>
      </c>
      <c r="G37" s="555">
        <v>0</v>
      </c>
      <c r="H37" s="555">
        <f t="shared" si="0"/>
        <v>11523</v>
      </c>
      <c r="I37" s="594">
        <v>10968.7</v>
      </c>
      <c r="J37" s="594">
        <v>10888.8</v>
      </c>
    </row>
    <row r="38" spans="1:10">
      <c r="A38" t="s">
        <v>865</v>
      </c>
      <c r="B38" s="206">
        <v>1399</v>
      </c>
      <c r="C38" s="207">
        <v>1343.6</v>
      </c>
      <c r="E38" s="563" t="s">
        <v>2025</v>
      </c>
      <c r="F38" s="554">
        <v>1590</v>
      </c>
      <c r="G38" s="554">
        <v>0</v>
      </c>
      <c r="H38" s="554">
        <f t="shared" si="0"/>
        <v>1590</v>
      </c>
      <c r="I38" s="593">
        <v>1513</v>
      </c>
      <c r="J38" s="593">
        <v>1500.8000000000002</v>
      </c>
    </row>
    <row r="39" spans="1:10">
      <c r="A39" t="s">
        <v>866</v>
      </c>
      <c r="B39" s="206">
        <v>1011</v>
      </c>
      <c r="C39" s="207">
        <v>963.69999999999993</v>
      </c>
      <c r="E39" s="564" t="s">
        <v>2026</v>
      </c>
      <c r="F39" s="555">
        <v>8430</v>
      </c>
      <c r="G39" s="555">
        <v>0</v>
      </c>
      <c r="H39" s="555">
        <f t="shared" si="0"/>
        <v>8430</v>
      </c>
      <c r="I39" s="594">
        <v>7973.3</v>
      </c>
      <c r="J39" s="594">
        <v>7987.5</v>
      </c>
    </row>
    <row r="40" spans="1:10">
      <c r="A40" t="s">
        <v>2060</v>
      </c>
      <c r="B40" s="206">
        <v>720</v>
      </c>
      <c r="C40" s="207">
        <v>693.3</v>
      </c>
      <c r="E40" s="563" t="s">
        <v>2027</v>
      </c>
      <c r="F40" s="554">
        <v>4613</v>
      </c>
      <c r="G40" s="554">
        <v>0</v>
      </c>
      <c r="H40" s="554">
        <f t="shared" si="0"/>
        <v>4613</v>
      </c>
      <c r="I40" s="593">
        <v>4402</v>
      </c>
      <c r="J40" s="593">
        <v>4391</v>
      </c>
    </row>
    <row r="41" spans="1:10">
      <c r="A41" t="s">
        <v>2061</v>
      </c>
      <c r="B41" s="206">
        <v>1740</v>
      </c>
      <c r="C41" s="207">
        <v>1662.4</v>
      </c>
      <c r="E41" s="564" t="s">
        <v>2028</v>
      </c>
      <c r="F41" s="555">
        <v>1465</v>
      </c>
      <c r="G41" s="555">
        <v>0</v>
      </c>
      <c r="H41" s="555">
        <f t="shared" si="0"/>
        <v>1465</v>
      </c>
      <c r="I41" s="594">
        <v>1369.5</v>
      </c>
      <c r="J41" s="594">
        <v>1343.6</v>
      </c>
    </row>
    <row r="42" spans="1:10">
      <c r="A42" t="s">
        <v>1233</v>
      </c>
      <c r="B42" s="206">
        <v>31184</v>
      </c>
      <c r="C42" s="207">
        <v>29637.4</v>
      </c>
      <c r="E42" s="563" t="s">
        <v>2029</v>
      </c>
      <c r="F42" s="554">
        <v>1005</v>
      </c>
      <c r="G42" s="554">
        <v>0</v>
      </c>
      <c r="H42" s="554">
        <f t="shared" si="0"/>
        <v>1005</v>
      </c>
      <c r="I42" s="593">
        <v>969</v>
      </c>
      <c r="J42" s="593">
        <v>962.69999999999993</v>
      </c>
    </row>
    <row r="43" spans="1:10">
      <c r="E43" s="564" t="s">
        <v>2030</v>
      </c>
      <c r="F43" s="555">
        <v>721</v>
      </c>
      <c r="G43" s="555">
        <v>0</v>
      </c>
      <c r="H43" s="555">
        <f t="shared" si="0"/>
        <v>721</v>
      </c>
      <c r="I43" s="594">
        <v>693.8</v>
      </c>
      <c r="J43" s="594">
        <v>693.3</v>
      </c>
    </row>
    <row r="44" spans="1:10">
      <c r="A44" s="1548" t="s">
        <v>2062</v>
      </c>
      <c r="B44" s="1550">
        <f>SUM(B7:B42)</f>
        <v>176232</v>
      </c>
      <c r="C44" s="1551">
        <f>SUM(C7:C42)</f>
        <v>168991.19999999998</v>
      </c>
      <c r="E44" s="563" t="s">
        <v>2031</v>
      </c>
      <c r="F44" s="554">
        <v>1797</v>
      </c>
      <c r="G44" s="554">
        <v>0</v>
      </c>
      <c r="H44" s="554">
        <f t="shared" si="0"/>
        <v>1797</v>
      </c>
      <c r="I44" s="593">
        <v>1701.3999999999999</v>
      </c>
      <c r="J44" s="593">
        <v>1662.4</v>
      </c>
    </row>
    <row r="45" spans="1:10" ht="15" customHeight="1">
      <c r="B45" s="206"/>
      <c r="E45" s="564" t="s">
        <v>2032</v>
      </c>
      <c r="F45" s="555">
        <v>33231</v>
      </c>
      <c r="G45" s="555">
        <v>1785</v>
      </c>
      <c r="H45" s="555">
        <f t="shared" si="0"/>
        <v>31446</v>
      </c>
      <c r="I45" s="594">
        <v>29591</v>
      </c>
      <c r="J45" s="594">
        <v>29638.2</v>
      </c>
    </row>
    <row r="46" spans="1:10">
      <c r="A46" t="s">
        <v>2064</v>
      </c>
      <c r="B46" s="206">
        <v>164</v>
      </c>
      <c r="C46" s="206">
        <v>155</v>
      </c>
    </row>
    <row r="47" spans="1:10">
      <c r="A47" s="1549" t="s">
        <v>72</v>
      </c>
      <c r="B47" s="1552">
        <f>SUM(B44:B46)</f>
        <v>176396</v>
      </c>
      <c r="C47" s="1552">
        <f>SUM(C44:C46)</f>
        <v>169146.19999999998</v>
      </c>
      <c r="E47" s="1377" t="s">
        <v>452</v>
      </c>
      <c r="F47" s="1378">
        <f>SUM(F10:F45)</f>
        <v>186872</v>
      </c>
      <c r="G47" s="1378">
        <f>SUM(G10:G45)</f>
        <v>2327</v>
      </c>
      <c r="H47" s="1378">
        <f>SUM(H10:H45)</f>
        <v>184545</v>
      </c>
      <c r="I47" s="1379">
        <f>SUM(I10:I45)</f>
        <v>170427.9</v>
      </c>
      <c r="J47" s="1379">
        <f>SUM(J10:J45)</f>
        <v>168985.40000000002</v>
      </c>
    </row>
    <row r="48" spans="1:10">
      <c r="E48" s="595" t="s">
        <v>462</v>
      </c>
      <c r="F48" s="596"/>
      <c r="G48" s="596"/>
      <c r="H48" s="596"/>
      <c r="I48" s="597"/>
      <c r="J48" s="597"/>
    </row>
    <row r="49" spans="1:10">
      <c r="A49" s="335" t="s">
        <v>2368</v>
      </c>
      <c r="E49" s="564" t="s">
        <v>2369</v>
      </c>
      <c r="F49" s="555">
        <v>164</v>
      </c>
      <c r="G49" s="555">
        <v>0</v>
      </c>
      <c r="H49" s="555">
        <f>+F49-G49</f>
        <v>164</v>
      </c>
      <c r="I49" s="594">
        <v>154</v>
      </c>
      <c r="J49" s="594">
        <v>155</v>
      </c>
    </row>
    <row r="50" spans="1:10" ht="24" customHeight="1">
      <c r="A50" s="1796" t="s">
        <v>2370</v>
      </c>
      <c r="B50" s="1796"/>
      <c r="C50" s="1796"/>
      <c r="E50" s="598" t="s">
        <v>2371</v>
      </c>
      <c r="F50" s="554">
        <v>0</v>
      </c>
      <c r="G50" s="554">
        <v>0</v>
      </c>
      <c r="H50" s="554">
        <f>+F50-G50</f>
        <v>0</v>
      </c>
      <c r="I50" s="593"/>
      <c r="J50" s="593"/>
    </row>
    <row r="53" spans="1:10">
      <c r="E53" t="s">
        <v>2372</v>
      </c>
    </row>
  </sheetData>
  <mergeCells count="9">
    <mergeCell ref="A50:C50"/>
    <mergeCell ref="F5:H6"/>
    <mergeCell ref="I5:I6"/>
    <mergeCell ref="J5:J6"/>
    <mergeCell ref="F7:F8"/>
    <mergeCell ref="G7:G8"/>
    <mergeCell ref="H7:H8"/>
    <mergeCell ref="I7:I8"/>
    <mergeCell ref="J7:J8"/>
  </mergeCells>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41">
    <pageSetUpPr autoPageBreaks="0"/>
  </sheetPr>
  <dimension ref="A1:V31"/>
  <sheetViews>
    <sheetView workbookViewId="0">
      <selection activeCell="J25" sqref="J25"/>
    </sheetView>
  </sheetViews>
  <sheetFormatPr baseColWidth="10" defaultColWidth="9.19921875" defaultRowHeight="13"/>
  <cols>
    <col min="1" max="1" width="45.796875" style="39" customWidth="1"/>
    <col min="2" max="4" width="7.19921875" style="39" customWidth="1"/>
    <col min="5" max="17" width="7.796875" style="39" customWidth="1"/>
    <col min="18" max="18" width="8.796875" style="38" customWidth="1"/>
    <col min="19" max="19" width="13.3984375" style="39" customWidth="1"/>
    <col min="20" max="20" width="13" style="39" customWidth="1"/>
    <col min="21" max="16384" width="9.19921875" style="39"/>
  </cols>
  <sheetData>
    <row r="1" spans="1:22" ht="20.25" customHeight="1">
      <c r="A1" s="1783" t="s">
        <v>2373</v>
      </c>
      <c r="B1" s="1773"/>
      <c r="C1" s="1773"/>
      <c r="D1" s="1773"/>
      <c r="E1" s="1773"/>
      <c r="F1" s="1773"/>
      <c r="G1" s="1773"/>
      <c r="H1" s="1773"/>
      <c r="I1" s="1773"/>
      <c r="J1" s="1773"/>
      <c r="K1" s="1773"/>
      <c r="L1" s="1773"/>
      <c r="M1" s="1773"/>
      <c r="N1" s="1773"/>
      <c r="O1" s="1773"/>
      <c r="P1" s="1773"/>
      <c r="Q1" s="1773"/>
      <c r="R1" s="1784"/>
      <c r="S1" s="38"/>
      <c r="T1"/>
    </row>
    <row r="2" spans="1:22" ht="25.25" customHeight="1">
      <c r="A2" s="1774" t="s">
        <v>2374</v>
      </c>
      <c r="B2" s="1775"/>
      <c r="C2" s="1775"/>
      <c r="D2" s="1775"/>
      <c r="E2" s="1775"/>
      <c r="F2" s="1775"/>
      <c r="G2" s="1775"/>
      <c r="H2" s="1775"/>
      <c r="I2" s="1775"/>
      <c r="J2" s="1775"/>
      <c r="K2" s="1775"/>
      <c r="L2" s="1775"/>
      <c r="M2" s="1775"/>
      <c r="N2" s="1775"/>
      <c r="O2" s="1775"/>
      <c r="P2" s="1775"/>
      <c r="Q2" s="1775"/>
      <c r="R2" s="1776"/>
      <c r="S2" s="1808" t="s">
        <v>2375</v>
      </c>
      <c r="T2" s="1809"/>
    </row>
    <row r="3" spans="1:22" ht="20.25" customHeight="1">
      <c r="A3" s="1350"/>
      <c r="B3" s="1351" t="s">
        <v>72</v>
      </c>
      <c r="C3" s="1352"/>
      <c r="D3" s="1352"/>
      <c r="E3" s="1352"/>
      <c r="F3" s="1353"/>
      <c r="G3" s="1353"/>
      <c r="H3" s="1353"/>
      <c r="I3" s="1353"/>
      <c r="J3" s="1353"/>
      <c r="K3" s="1353"/>
      <c r="L3" s="1353"/>
      <c r="M3" s="1353"/>
      <c r="N3" s="1353"/>
      <c r="O3" s="1353"/>
      <c r="P3" s="1353"/>
      <c r="Q3" s="1353"/>
      <c r="R3" s="1352"/>
      <c r="S3" s="1380" t="s">
        <v>2376</v>
      </c>
      <c r="T3" s="1553" t="s">
        <v>2377</v>
      </c>
    </row>
    <row r="4" spans="1:22" ht="20.25" customHeight="1">
      <c r="A4" s="338" t="s">
        <v>2127</v>
      </c>
      <c r="B4" s="339" t="s">
        <v>2128</v>
      </c>
      <c r="C4" s="340" t="s">
        <v>2129</v>
      </c>
      <c r="D4" s="340" t="s">
        <v>2130</v>
      </c>
      <c r="E4" s="340" t="s">
        <v>2131</v>
      </c>
      <c r="F4" s="341">
        <v>1</v>
      </c>
      <c r="G4" s="341">
        <v>2</v>
      </c>
      <c r="H4" s="341">
        <v>3</v>
      </c>
      <c r="I4" s="341">
        <v>4</v>
      </c>
      <c r="J4" s="341">
        <v>5</v>
      </c>
      <c r="K4" s="341">
        <v>6</v>
      </c>
      <c r="L4" s="341">
        <v>7</v>
      </c>
      <c r="M4" s="341">
        <v>8</v>
      </c>
      <c r="N4" s="341">
        <v>9</v>
      </c>
      <c r="O4" s="341">
        <v>10</v>
      </c>
      <c r="P4" s="341">
        <v>11</v>
      </c>
      <c r="Q4" s="341">
        <v>12</v>
      </c>
      <c r="R4" s="340" t="s">
        <v>322</v>
      </c>
      <c r="S4" s="361" t="s">
        <v>2378</v>
      </c>
      <c r="T4" s="362"/>
    </row>
    <row r="5" spans="1:22" ht="28.25" customHeight="1">
      <c r="A5" s="1354" t="s">
        <v>2136</v>
      </c>
      <c r="B5" s="342"/>
      <c r="C5" s="343" t="s">
        <v>2137</v>
      </c>
      <c r="D5" s="343" t="s">
        <v>2137</v>
      </c>
      <c r="E5" s="343" t="s">
        <v>2137</v>
      </c>
      <c r="F5" s="343" t="s">
        <v>2137</v>
      </c>
      <c r="G5" s="343" t="s">
        <v>2137</v>
      </c>
      <c r="H5" s="343" t="s">
        <v>2137</v>
      </c>
      <c r="I5" s="343" t="s">
        <v>2137</v>
      </c>
      <c r="J5" s="343" t="s">
        <v>2137</v>
      </c>
      <c r="K5" s="343" t="s">
        <v>2137</v>
      </c>
      <c r="L5" s="343" t="s">
        <v>2137</v>
      </c>
      <c r="M5" s="343" t="s">
        <v>2137</v>
      </c>
      <c r="N5" s="343" t="s">
        <v>2137</v>
      </c>
      <c r="O5" s="343" t="s">
        <v>2137</v>
      </c>
      <c r="P5" s="343" t="s">
        <v>2137</v>
      </c>
      <c r="Q5" s="343" t="s">
        <v>2137</v>
      </c>
      <c r="R5" s="344">
        <v>0</v>
      </c>
      <c r="S5" s="209"/>
      <c r="T5" s="208"/>
    </row>
    <row r="6" spans="1:22" ht="28.25" customHeight="1">
      <c r="A6" s="1357" t="s">
        <v>2140</v>
      </c>
      <c r="B6" s="1358">
        <v>682</v>
      </c>
      <c r="C6" s="1358">
        <v>856</v>
      </c>
      <c r="D6" s="1358">
        <v>2105</v>
      </c>
      <c r="E6" s="1358">
        <v>13301</v>
      </c>
      <c r="F6" s="1358">
        <v>13519</v>
      </c>
      <c r="G6" s="1358">
        <v>13806</v>
      </c>
      <c r="H6" s="1358">
        <v>13695</v>
      </c>
      <c r="I6" s="1358">
        <v>13681</v>
      </c>
      <c r="J6" s="1358">
        <v>13258</v>
      </c>
      <c r="K6" s="1358">
        <v>12887</v>
      </c>
      <c r="L6" s="1358">
        <v>12805</v>
      </c>
      <c r="M6" s="1358">
        <v>12994</v>
      </c>
      <c r="N6" s="1358">
        <v>13618</v>
      </c>
      <c r="O6" s="1358">
        <v>13943</v>
      </c>
      <c r="P6" s="1358">
        <v>14362</v>
      </c>
      <c r="Q6" s="1358">
        <v>16768</v>
      </c>
      <c r="R6" s="1426">
        <v>181598</v>
      </c>
      <c r="S6" s="210">
        <f>SUM(N6:Q6)</f>
        <v>58691</v>
      </c>
      <c r="T6" s="211">
        <f>SUM(L6:Q6)</f>
        <v>84490</v>
      </c>
    </row>
    <row r="7" spans="1:22" ht="28.25" customHeight="1">
      <c r="A7" s="1542" t="s">
        <v>2144</v>
      </c>
      <c r="B7" s="1425">
        <v>2</v>
      </c>
      <c r="C7" s="1425">
        <v>0</v>
      </c>
      <c r="D7" s="1425">
        <v>0</v>
      </c>
      <c r="E7" s="1425">
        <v>17</v>
      </c>
      <c r="F7" s="1425">
        <v>7</v>
      </c>
      <c r="G7" s="1425">
        <v>8</v>
      </c>
      <c r="H7" s="1425">
        <v>7</v>
      </c>
      <c r="I7" s="1425">
        <v>12</v>
      </c>
      <c r="J7" s="1425">
        <v>11</v>
      </c>
      <c r="K7" s="1425">
        <v>17</v>
      </c>
      <c r="L7" s="1425">
        <v>10</v>
      </c>
      <c r="M7" s="1425">
        <v>14</v>
      </c>
      <c r="N7" s="1425">
        <v>16</v>
      </c>
      <c r="O7" s="1425">
        <v>14</v>
      </c>
      <c r="P7" s="1425">
        <v>18</v>
      </c>
      <c r="Q7" s="1425">
        <v>13</v>
      </c>
      <c r="R7" s="1426">
        <v>164</v>
      </c>
      <c r="S7" s="209"/>
      <c r="T7" s="208"/>
    </row>
    <row r="8" spans="1:22" ht="28.25" customHeight="1">
      <c r="A8" s="345" t="s">
        <v>2148</v>
      </c>
      <c r="B8" s="346">
        <v>684</v>
      </c>
      <c r="C8" s="346">
        <v>856</v>
      </c>
      <c r="D8" s="346">
        <v>2105</v>
      </c>
      <c r="E8" s="346">
        <v>13318</v>
      </c>
      <c r="F8" s="346">
        <v>13526</v>
      </c>
      <c r="G8" s="346">
        <v>13814</v>
      </c>
      <c r="H8" s="346">
        <v>13702</v>
      </c>
      <c r="I8" s="346">
        <v>13693</v>
      </c>
      <c r="J8" s="346">
        <v>13269</v>
      </c>
      <c r="K8" s="346">
        <v>12904</v>
      </c>
      <c r="L8" s="346">
        <v>12815</v>
      </c>
      <c r="M8" s="346">
        <v>13008</v>
      </c>
      <c r="N8" s="346">
        <v>13634</v>
      </c>
      <c r="O8" s="346">
        <v>13957</v>
      </c>
      <c r="P8" s="346">
        <v>14380</v>
      </c>
      <c r="Q8" s="346">
        <v>16781</v>
      </c>
      <c r="R8" s="346">
        <v>181762</v>
      </c>
      <c r="S8" s="209"/>
      <c r="T8" s="208"/>
    </row>
    <row r="9" spans="1:22" ht="18" customHeight="1">
      <c r="A9" s="1350" t="s">
        <v>2152</v>
      </c>
      <c r="B9" s="1353"/>
      <c r="C9" s="1353"/>
      <c r="D9" s="1353"/>
      <c r="E9" s="1353"/>
      <c r="F9" s="1353"/>
      <c r="G9" s="1353"/>
      <c r="H9" s="1353"/>
      <c r="I9" s="1353"/>
      <c r="J9" s="1353"/>
      <c r="K9" s="1353"/>
      <c r="L9" s="1353"/>
      <c r="M9" s="1353"/>
      <c r="N9" s="1353"/>
      <c r="O9" s="1353"/>
      <c r="P9" s="1353"/>
      <c r="Q9" s="1353"/>
      <c r="R9" s="1353"/>
      <c r="S9" s="209"/>
      <c r="T9" s="208"/>
    </row>
    <row r="10" spans="1:22" ht="16.25" customHeight="1">
      <c r="A10" s="347" t="s">
        <v>2379</v>
      </c>
      <c r="B10" s="348">
        <v>10</v>
      </c>
      <c r="C10" s="348">
        <v>0</v>
      </c>
      <c r="D10" s="348">
        <v>267</v>
      </c>
      <c r="E10" s="348">
        <v>269</v>
      </c>
      <c r="F10" s="348">
        <v>276</v>
      </c>
      <c r="G10" s="348">
        <v>301</v>
      </c>
      <c r="H10" s="348">
        <v>307</v>
      </c>
      <c r="I10" s="348">
        <v>290</v>
      </c>
      <c r="J10" s="348">
        <v>260</v>
      </c>
      <c r="K10" s="348">
        <v>243</v>
      </c>
      <c r="L10" s="348">
        <v>314</v>
      </c>
      <c r="M10" s="348">
        <v>279</v>
      </c>
      <c r="N10" s="348">
        <v>262</v>
      </c>
      <c r="O10" s="348">
        <v>217</v>
      </c>
      <c r="P10" s="348">
        <v>210</v>
      </c>
      <c r="Q10" s="348">
        <v>132</v>
      </c>
      <c r="R10" s="349">
        <v>3627</v>
      </c>
      <c r="S10" s="209"/>
      <c r="T10" s="208"/>
    </row>
    <row r="11" spans="1:22" ht="22.25" customHeight="1">
      <c r="A11" s="1359" t="s">
        <v>2161</v>
      </c>
      <c r="B11" s="1353"/>
      <c r="C11" s="1353"/>
      <c r="D11" s="1353"/>
      <c r="E11" s="1353"/>
      <c r="F11" s="1353"/>
      <c r="G11" s="1353"/>
      <c r="H11" s="1353"/>
      <c r="I11" s="1353"/>
      <c r="J11" s="1353"/>
      <c r="K11" s="1353"/>
      <c r="L11" s="1353"/>
      <c r="M11" s="1353"/>
      <c r="N11" s="1353"/>
      <c r="O11" s="1353"/>
      <c r="P11" s="1353"/>
      <c r="Q11" s="1353"/>
      <c r="R11" s="1353"/>
      <c r="S11" s="209"/>
      <c r="T11" s="208"/>
    </row>
    <row r="12" spans="1:22" ht="16.25" customHeight="1">
      <c r="A12" s="350" t="s">
        <v>2165</v>
      </c>
      <c r="B12" s="349">
        <v>694</v>
      </c>
      <c r="C12" s="349">
        <v>856</v>
      </c>
      <c r="D12" s="349">
        <v>2372</v>
      </c>
      <c r="E12" s="349">
        <v>13587</v>
      </c>
      <c r="F12" s="349">
        <v>13802</v>
      </c>
      <c r="G12" s="349">
        <v>14115</v>
      </c>
      <c r="H12" s="349">
        <v>14009</v>
      </c>
      <c r="I12" s="349">
        <v>13983</v>
      </c>
      <c r="J12" s="349">
        <v>13529</v>
      </c>
      <c r="K12" s="349">
        <v>13147</v>
      </c>
      <c r="L12" s="349">
        <v>13129</v>
      </c>
      <c r="M12" s="349">
        <v>13287</v>
      </c>
      <c r="N12" s="349">
        <v>13896</v>
      </c>
      <c r="O12" s="349">
        <v>14174</v>
      </c>
      <c r="P12" s="349">
        <v>14590</v>
      </c>
      <c r="Q12" s="349">
        <v>16913</v>
      </c>
      <c r="R12" s="349">
        <v>185389</v>
      </c>
      <c r="S12" s="209"/>
      <c r="T12" s="208"/>
    </row>
    <row r="13" spans="1:22" ht="30" customHeight="1">
      <c r="A13" s="351" t="s">
        <v>2169</v>
      </c>
      <c r="B13" s="342"/>
      <c r="C13" s="343" t="s">
        <v>2137</v>
      </c>
      <c r="D13" s="343" t="s">
        <v>2137</v>
      </c>
      <c r="E13" s="343" t="s">
        <v>2137</v>
      </c>
      <c r="F13" s="343" t="s">
        <v>2137</v>
      </c>
      <c r="G13" s="343" t="s">
        <v>2137</v>
      </c>
      <c r="H13" s="343" t="s">
        <v>2137</v>
      </c>
      <c r="I13" s="343" t="s">
        <v>2137</v>
      </c>
      <c r="J13" s="343" t="s">
        <v>2137</v>
      </c>
      <c r="K13" s="343" t="s">
        <v>2137</v>
      </c>
      <c r="L13" s="343" t="s">
        <v>2137</v>
      </c>
      <c r="M13" s="343" t="s">
        <v>2137</v>
      </c>
      <c r="N13" s="343" t="s">
        <v>2137</v>
      </c>
      <c r="O13" s="343" t="s">
        <v>2137</v>
      </c>
      <c r="P13" s="343" t="s">
        <v>2137</v>
      </c>
      <c r="Q13" s="343" t="s">
        <v>2137</v>
      </c>
      <c r="R13" s="344">
        <v>0</v>
      </c>
      <c r="S13" s="209"/>
      <c r="T13" s="208"/>
    </row>
    <row r="14" spans="1:22" ht="28.25" customHeight="1">
      <c r="A14" s="1360" t="s">
        <v>2173</v>
      </c>
      <c r="B14" s="1358">
        <v>60</v>
      </c>
      <c r="C14" s="1358">
        <v>0</v>
      </c>
      <c r="D14" s="1358">
        <v>415</v>
      </c>
      <c r="E14" s="1358">
        <v>1004</v>
      </c>
      <c r="F14" s="1358">
        <v>1060</v>
      </c>
      <c r="G14" s="1358">
        <v>1049</v>
      </c>
      <c r="H14" s="1358">
        <v>1004</v>
      </c>
      <c r="I14" s="1358">
        <v>970</v>
      </c>
      <c r="J14" s="1358">
        <v>991</v>
      </c>
      <c r="K14" s="1358">
        <v>981</v>
      </c>
      <c r="L14" s="1358">
        <v>1036</v>
      </c>
      <c r="M14" s="1358">
        <v>1114</v>
      </c>
      <c r="N14" s="1358">
        <v>1090</v>
      </c>
      <c r="O14" s="1358">
        <v>1113</v>
      </c>
      <c r="P14" s="1358">
        <v>1097</v>
      </c>
      <c r="Q14" s="1358">
        <v>1307</v>
      </c>
      <c r="R14" s="1361">
        <v>14231</v>
      </c>
      <c r="S14" s="209"/>
      <c r="T14" s="208"/>
    </row>
    <row r="15" spans="1:22" ht="28.25" customHeight="1">
      <c r="A15" s="1542" t="s">
        <v>2380</v>
      </c>
      <c r="B15" s="1425">
        <v>50</v>
      </c>
      <c r="C15" s="1425">
        <v>0</v>
      </c>
      <c r="D15" s="1425">
        <v>27</v>
      </c>
      <c r="E15" s="1425">
        <v>71</v>
      </c>
      <c r="F15" s="1425">
        <v>190</v>
      </c>
      <c r="G15" s="1425">
        <v>160</v>
      </c>
      <c r="H15" s="1425">
        <v>202</v>
      </c>
      <c r="I15" s="1425">
        <v>164</v>
      </c>
      <c r="J15" s="1425">
        <v>176</v>
      </c>
      <c r="K15" s="1425">
        <v>176</v>
      </c>
      <c r="L15" s="1425">
        <v>137</v>
      </c>
      <c r="M15" s="1425">
        <v>153</v>
      </c>
      <c r="N15" s="1425">
        <v>117</v>
      </c>
      <c r="O15" s="1425">
        <v>69</v>
      </c>
      <c r="P15" s="1425">
        <v>48</v>
      </c>
      <c r="Q15" s="1425">
        <v>45</v>
      </c>
      <c r="R15" s="1426">
        <v>1735</v>
      </c>
      <c r="S15" s="209"/>
      <c r="T15" s="208"/>
    </row>
    <row r="16" spans="1:22" s="38" customFormat="1" ht="28.25" customHeight="1">
      <c r="A16" s="1362" t="s">
        <v>2180</v>
      </c>
      <c r="B16" s="1363">
        <v>110</v>
      </c>
      <c r="C16" s="1363">
        <v>0</v>
      </c>
      <c r="D16" s="1363">
        <v>442</v>
      </c>
      <c r="E16" s="1363">
        <v>1075</v>
      </c>
      <c r="F16" s="1363">
        <v>1250</v>
      </c>
      <c r="G16" s="1363">
        <v>1209</v>
      </c>
      <c r="H16" s="1363">
        <v>1206</v>
      </c>
      <c r="I16" s="1363">
        <v>1134</v>
      </c>
      <c r="J16" s="1363">
        <v>1167</v>
      </c>
      <c r="K16" s="1363">
        <v>1157</v>
      </c>
      <c r="L16" s="1363">
        <v>1173</v>
      </c>
      <c r="M16" s="1363">
        <v>1267</v>
      </c>
      <c r="N16" s="1363">
        <v>1207</v>
      </c>
      <c r="O16" s="1363">
        <v>1182</v>
      </c>
      <c r="P16" s="1363">
        <v>1145</v>
      </c>
      <c r="Q16" s="1363">
        <v>1352</v>
      </c>
      <c r="R16" s="1363">
        <v>15966</v>
      </c>
      <c r="S16" s="212"/>
      <c r="T16" s="208"/>
      <c r="U16" s="40"/>
      <c r="V16" s="41"/>
    </row>
    <row r="17" spans="1:22" s="38" customFormat="1" ht="22.25" customHeight="1">
      <c r="A17" s="1350" t="s">
        <v>2183</v>
      </c>
      <c r="B17" s="1353"/>
      <c r="C17" s="1353"/>
      <c r="D17" s="1353"/>
      <c r="E17" s="1353"/>
      <c r="F17" s="1353"/>
      <c r="G17" s="1353"/>
      <c r="H17" s="1353"/>
      <c r="I17" s="1353"/>
      <c r="J17" s="1353"/>
      <c r="K17" s="1353"/>
      <c r="L17" s="1353"/>
      <c r="M17" s="1353"/>
      <c r="N17" s="1353"/>
      <c r="O17" s="1353"/>
      <c r="P17" s="1353"/>
      <c r="Q17" s="1353"/>
      <c r="R17" s="1353"/>
      <c r="S17" s="212"/>
      <c r="T17" s="208"/>
      <c r="U17" s="40"/>
      <c r="V17" s="41"/>
    </row>
    <row r="18" spans="1:22" ht="16.25" customHeight="1">
      <c r="A18" s="350" t="s">
        <v>2165</v>
      </c>
      <c r="B18" s="349">
        <v>804</v>
      </c>
      <c r="C18" s="349">
        <v>856</v>
      </c>
      <c r="D18" s="349">
        <v>2814</v>
      </c>
      <c r="E18" s="349">
        <v>14662</v>
      </c>
      <c r="F18" s="349">
        <v>15052</v>
      </c>
      <c r="G18" s="349">
        <v>15324</v>
      </c>
      <c r="H18" s="349">
        <v>15215</v>
      </c>
      <c r="I18" s="349">
        <v>15117</v>
      </c>
      <c r="J18" s="349">
        <v>14696</v>
      </c>
      <c r="K18" s="349">
        <v>14304</v>
      </c>
      <c r="L18" s="349">
        <v>14302</v>
      </c>
      <c r="M18" s="349">
        <v>14554</v>
      </c>
      <c r="N18" s="349">
        <v>15103</v>
      </c>
      <c r="O18" s="349">
        <v>15356</v>
      </c>
      <c r="P18" s="349">
        <v>15735</v>
      </c>
      <c r="Q18" s="349">
        <v>18265</v>
      </c>
      <c r="R18" s="349">
        <v>201355</v>
      </c>
      <c r="S18" s="209"/>
      <c r="T18" s="208"/>
    </row>
    <row r="19" spans="1:22" ht="30" customHeight="1">
      <c r="A19" s="352" t="s">
        <v>2189</v>
      </c>
      <c r="B19" s="353">
        <v>1470</v>
      </c>
      <c r="C19" s="354">
        <v>0</v>
      </c>
      <c r="D19" s="354">
        <v>3</v>
      </c>
      <c r="E19" s="354">
        <v>108</v>
      </c>
      <c r="F19" s="354">
        <v>254</v>
      </c>
      <c r="G19" s="354">
        <v>356</v>
      </c>
      <c r="H19" s="354">
        <v>343</v>
      </c>
      <c r="I19" s="354">
        <v>312</v>
      </c>
      <c r="J19" s="354">
        <v>324</v>
      </c>
      <c r="K19" s="354">
        <v>330</v>
      </c>
      <c r="L19" s="354">
        <v>287</v>
      </c>
      <c r="M19" s="354">
        <v>259</v>
      </c>
      <c r="N19" s="354">
        <v>231</v>
      </c>
      <c r="O19" s="354">
        <v>238</v>
      </c>
      <c r="P19" s="354">
        <v>192</v>
      </c>
      <c r="Q19" s="354">
        <v>158</v>
      </c>
      <c r="R19" s="346">
        <v>3395</v>
      </c>
      <c r="S19" s="209"/>
      <c r="T19" s="208"/>
    </row>
    <row r="20" spans="1:22" ht="32.25" customHeight="1">
      <c r="A20" s="1362" t="s">
        <v>2193</v>
      </c>
      <c r="B20" s="1363">
        <v>2274</v>
      </c>
      <c r="C20" s="1363">
        <v>856</v>
      </c>
      <c r="D20" s="1363">
        <v>2817</v>
      </c>
      <c r="E20" s="1363">
        <v>14770</v>
      </c>
      <c r="F20" s="1363">
        <v>15306</v>
      </c>
      <c r="G20" s="1363">
        <v>15680</v>
      </c>
      <c r="H20" s="1363">
        <v>15558</v>
      </c>
      <c r="I20" s="1363">
        <v>15429</v>
      </c>
      <c r="J20" s="1363">
        <v>15020</v>
      </c>
      <c r="K20" s="1363">
        <v>14634</v>
      </c>
      <c r="L20" s="1363">
        <v>14589</v>
      </c>
      <c r="M20" s="1363">
        <v>14813</v>
      </c>
      <c r="N20" s="1363">
        <v>15334</v>
      </c>
      <c r="O20" s="1363">
        <v>15594</v>
      </c>
      <c r="P20" s="1363">
        <v>15927</v>
      </c>
      <c r="Q20" s="1363">
        <v>18423</v>
      </c>
      <c r="R20" s="1363">
        <v>204750</v>
      </c>
      <c r="S20" s="209"/>
      <c r="T20" s="208"/>
    </row>
    <row r="21" spans="1:22" ht="8.25" customHeight="1">
      <c r="A21" s="1543"/>
      <c r="B21" s="1544"/>
      <c r="C21" s="1545"/>
      <c r="D21" s="1545"/>
      <c r="E21" s="1545"/>
      <c r="F21" s="1545"/>
      <c r="G21" s="1545"/>
      <c r="H21" s="1545"/>
      <c r="I21" s="1545"/>
      <c r="J21" s="1545"/>
      <c r="K21" s="1545"/>
      <c r="L21" s="1545"/>
      <c r="M21" s="1545"/>
      <c r="N21" s="1545"/>
      <c r="O21" s="1545"/>
      <c r="P21" s="1545"/>
      <c r="Q21" s="1545"/>
      <c r="R21" s="1546"/>
      <c r="S21" s="42"/>
    </row>
    <row r="22" spans="1:22" ht="15" customHeight="1">
      <c r="A22" s="1771" t="s">
        <v>2200</v>
      </c>
      <c r="B22" s="1772"/>
      <c r="C22" s="1772"/>
      <c r="D22" s="1772"/>
      <c r="E22" s="1772"/>
      <c r="F22" s="1772"/>
      <c r="G22" s="1772"/>
      <c r="H22" s="1772"/>
      <c r="I22" s="1772"/>
      <c r="J22" s="1772"/>
      <c r="K22" s="1772"/>
      <c r="L22" s="1772"/>
      <c r="M22" s="1772"/>
      <c r="N22" s="1772"/>
      <c r="O22" s="1772"/>
      <c r="P22" s="1772"/>
      <c r="Q22" s="1772"/>
      <c r="R22" s="1772"/>
      <c r="S22" s="42"/>
    </row>
    <row r="23" spans="1:22" ht="15" hidden="1" customHeight="1">
      <c r="A23" s="1771" t="s">
        <v>2204</v>
      </c>
      <c r="B23" s="1772"/>
      <c r="C23" s="1772"/>
      <c r="D23" s="1772"/>
      <c r="E23" s="1772"/>
      <c r="F23" s="1772"/>
      <c r="G23" s="1772"/>
      <c r="H23" s="1772"/>
      <c r="I23" s="1772"/>
      <c r="J23" s="1772"/>
      <c r="K23" s="1772"/>
      <c r="L23" s="1772"/>
      <c r="M23" s="1772"/>
      <c r="N23" s="1772"/>
      <c r="O23" s="1772"/>
      <c r="P23" s="1772"/>
      <c r="Q23" s="1772"/>
      <c r="R23" s="1772"/>
      <c r="S23" s="42"/>
    </row>
    <row r="24" spans="1:22" ht="15" hidden="1" customHeight="1">
      <c r="A24" s="1772"/>
      <c r="B24" s="1772"/>
      <c r="C24" s="1772"/>
      <c r="D24" s="1772"/>
      <c r="E24" s="1772"/>
      <c r="F24" s="1772"/>
      <c r="G24" s="1772"/>
      <c r="H24" s="1772"/>
      <c r="I24" s="1772"/>
      <c r="J24" s="1772"/>
      <c r="K24" s="1772"/>
      <c r="L24" s="1772"/>
      <c r="M24" s="1772"/>
      <c r="N24" s="1772"/>
      <c r="O24" s="1772"/>
      <c r="P24" s="1772"/>
      <c r="Q24" s="1772"/>
      <c r="R24" s="1772"/>
      <c r="S24" s="42"/>
    </row>
    <row r="25" spans="1:22" ht="12.75" customHeight="1">
      <c r="A25" s="355"/>
      <c r="B25" s="355"/>
      <c r="C25" s="355"/>
      <c r="D25" s="355"/>
      <c r="E25" s="355"/>
      <c r="F25" s="355"/>
      <c r="G25" s="355"/>
      <c r="H25" s="355"/>
      <c r="I25" s="355"/>
      <c r="J25" s="355"/>
      <c r="K25" s="355"/>
      <c r="L25" s="355"/>
      <c r="M25" s="355"/>
      <c r="N25" s="355"/>
      <c r="O25" s="355"/>
      <c r="P25" s="355"/>
      <c r="Q25" s="355"/>
      <c r="R25" s="355"/>
      <c r="S25" s="42"/>
    </row>
    <row r="26" spans="1:22" ht="15" customHeight="1">
      <c r="A26" s="356" t="s">
        <v>2381</v>
      </c>
      <c r="B26" s="357"/>
      <c r="C26" s="358"/>
      <c r="D26" s="358"/>
      <c r="E26" s="358"/>
      <c r="F26" s="358"/>
      <c r="G26" s="358"/>
      <c r="H26" s="358"/>
      <c r="I26" s="358"/>
      <c r="J26" s="358"/>
      <c r="K26" s="358"/>
      <c r="L26" s="358"/>
      <c r="M26" s="358"/>
      <c r="N26" s="358"/>
      <c r="O26" s="358"/>
      <c r="P26" s="358"/>
      <c r="Q26" s="358"/>
      <c r="R26" s="359"/>
      <c r="S26" s="42"/>
    </row>
    <row r="27" spans="1:22" ht="15" customHeight="1">
      <c r="A27" s="356" t="s">
        <v>2382</v>
      </c>
      <c r="B27" s="357"/>
      <c r="C27" s="358"/>
      <c r="D27" s="358"/>
      <c r="E27" s="358"/>
      <c r="F27" s="358"/>
      <c r="G27" s="358"/>
      <c r="H27" s="358"/>
      <c r="I27" s="358"/>
      <c r="J27" s="358"/>
      <c r="K27" s="358"/>
      <c r="L27" s="358"/>
      <c r="M27" s="358"/>
      <c r="N27" s="358"/>
      <c r="O27" s="358"/>
      <c r="P27" s="358"/>
      <c r="Q27" s="358"/>
      <c r="R27" s="359"/>
      <c r="S27" s="42"/>
    </row>
    <row r="28" spans="1:22" ht="15" customHeight="1">
      <c r="A28" s="356" t="s">
        <v>2383</v>
      </c>
      <c r="B28" s="357"/>
      <c r="C28" s="358"/>
      <c r="D28" s="358"/>
      <c r="E28" s="358"/>
      <c r="F28" s="358"/>
      <c r="G28" s="358"/>
      <c r="H28" s="360"/>
      <c r="I28" s="358"/>
      <c r="J28" s="358"/>
      <c r="K28" s="358"/>
      <c r="L28" s="358"/>
      <c r="M28" s="358"/>
      <c r="N28" s="358"/>
      <c r="O28" s="360"/>
      <c r="P28" s="358"/>
      <c r="Q28" s="358"/>
      <c r="R28" s="359"/>
      <c r="S28" s="42"/>
    </row>
    <row r="29" spans="1:22" ht="28.25" customHeight="1">
      <c r="A29" s="43"/>
      <c r="B29" s="44"/>
      <c r="C29" s="45"/>
      <c r="D29" s="45"/>
      <c r="E29" s="45"/>
      <c r="F29" s="45"/>
      <c r="G29" s="45"/>
      <c r="H29" s="47"/>
      <c r="I29" s="45"/>
      <c r="J29" s="45"/>
      <c r="K29" s="45"/>
      <c r="L29" s="45"/>
      <c r="M29" s="45"/>
      <c r="N29" s="45"/>
      <c r="O29" s="47"/>
      <c r="P29" s="45"/>
      <c r="Q29" s="45"/>
      <c r="R29" s="46"/>
      <c r="S29" s="42"/>
    </row>
    <row r="30" spans="1:22">
      <c r="A30" s="39" t="s">
        <v>2384</v>
      </c>
    </row>
    <row r="31" spans="1:22">
      <c r="O31" s="47"/>
    </row>
  </sheetData>
  <mergeCells count="5">
    <mergeCell ref="A1:R1"/>
    <mergeCell ref="A2:R2"/>
    <mergeCell ref="A22:R22"/>
    <mergeCell ref="A23:R24"/>
    <mergeCell ref="S2:T2"/>
  </mergeCells>
  <hyperlinks>
    <hyperlink ref="A1:R1" r:id="rId1" display="PROVINCIAL ENROLMENT SUMMARY" xr:uid="{00000000-0004-0000-4400-000000000000}"/>
  </hyperlinks>
  <printOptions horizontalCentered="1"/>
  <pageMargins left="0.19685039370078741" right="0.19685039370078741" top="0.78740157480314965" bottom="0.39370078740157483" header="0" footer="0.39370078740157483"/>
  <pageSetup scale="73" orientation="landscape" r:id="rId2"/>
  <headerFooter alignWithMargins="0">
    <oddFooter>&amp;C&amp;"Arial Narrow,Regular"&amp;12- 5 -</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19">
    <pageSetUpPr autoPageBreaks="0"/>
  </sheetPr>
  <dimension ref="A1:T58"/>
  <sheetViews>
    <sheetView topLeftCell="A22" workbookViewId="0">
      <selection activeCell="I39" sqref="I39"/>
    </sheetView>
  </sheetViews>
  <sheetFormatPr baseColWidth="10" defaultColWidth="9.19921875" defaultRowHeight="13"/>
  <cols>
    <col min="1" max="1" width="40.796875" style="3" customWidth="1"/>
    <col min="2" max="2" width="20.796875" style="3" customWidth="1"/>
    <col min="3" max="7" width="6.796875" style="3" customWidth="1"/>
    <col min="8" max="8" width="9" style="3" customWidth="1"/>
    <col min="9" max="17" width="6.796875" style="3" customWidth="1"/>
    <col min="18" max="18" width="7.796875" style="11" customWidth="1"/>
    <col min="19" max="19" width="3.59765625" style="3" customWidth="1"/>
    <col min="20" max="20" width="11" style="3" customWidth="1"/>
    <col min="21" max="16384" width="9.19921875" style="3"/>
  </cols>
  <sheetData>
    <row r="1" spans="1:20" ht="18" customHeight="1">
      <c r="A1" s="1773" t="s">
        <v>2086</v>
      </c>
      <c r="B1" s="1773"/>
      <c r="C1" s="1773"/>
      <c r="D1" s="1773"/>
      <c r="E1" s="1773"/>
      <c r="F1" s="1773"/>
      <c r="G1" s="1773"/>
      <c r="H1" s="1773"/>
      <c r="I1" s="1773"/>
      <c r="J1" s="1773"/>
      <c r="K1" s="1773"/>
      <c r="L1" s="1773"/>
      <c r="M1" s="1773"/>
      <c r="N1" s="1773"/>
      <c r="O1" s="1773"/>
      <c r="P1" s="1773"/>
      <c r="Q1" s="1773"/>
      <c r="R1" s="1773"/>
      <c r="S1" s="11"/>
    </row>
    <row r="2" spans="1:20" ht="18" customHeight="1">
      <c r="A2" s="1810" t="s">
        <v>2374</v>
      </c>
      <c r="B2" s="1811"/>
      <c r="C2" s="1811"/>
      <c r="D2" s="1811"/>
      <c r="E2" s="1811"/>
      <c r="F2" s="1811"/>
      <c r="G2" s="1811"/>
      <c r="H2" s="1811"/>
      <c r="I2" s="1811"/>
      <c r="J2" s="1811"/>
      <c r="K2" s="1811"/>
      <c r="L2" s="1811"/>
      <c r="M2" s="1811"/>
      <c r="N2" s="1811"/>
      <c r="O2" s="1811"/>
      <c r="P2" s="1811"/>
      <c r="Q2" s="1811"/>
      <c r="R2" s="1811"/>
      <c r="S2" s="11"/>
      <c r="T2"/>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2" t="s">
        <v>2135</v>
      </c>
      <c r="B4" s="1813"/>
      <c r="C4" s="1813"/>
      <c r="D4" s="1813"/>
      <c r="E4" s="1813"/>
      <c r="F4" s="1813"/>
      <c r="G4" s="1813"/>
      <c r="H4" s="1813"/>
      <c r="I4" s="1813"/>
      <c r="J4" s="1813"/>
      <c r="K4" s="1813"/>
      <c r="L4" s="1813"/>
      <c r="M4" s="1813"/>
      <c r="N4" s="1813"/>
      <c r="O4" s="1813"/>
      <c r="P4" s="1813"/>
      <c r="Q4" s="1813"/>
      <c r="R4" s="1814"/>
    </row>
    <row r="5" spans="1:20" ht="20.25" customHeight="1">
      <c r="A5" s="822" t="s">
        <v>2138</v>
      </c>
      <c r="B5" s="822" t="s">
        <v>2139</v>
      </c>
      <c r="C5" s="1355" t="s">
        <v>2129</v>
      </c>
      <c r="D5" s="1355" t="s">
        <v>2130</v>
      </c>
      <c r="E5" s="1355" t="s">
        <v>2131</v>
      </c>
      <c r="F5" s="1356" t="s">
        <v>1559</v>
      </c>
      <c r="G5" s="1356" t="s">
        <v>1560</v>
      </c>
      <c r="H5" s="1356" t="s">
        <v>1561</v>
      </c>
      <c r="I5" s="1356" t="s">
        <v>1562</v>
      </c>
      <c r="J5" s="1356" t="s">
        <v>1547</v>
      </c>
      <c r="K5" s="1356" t="s">
        <v>1548</v>
      </c>
      <c r="L5" s="1356" t="s">
        <v>1549</v>
      </c>
      <c r="M5" s="1356" t="s">
        <v>1550</v>
      </c>
      <c r="N5" s="1356" t="s">
        <v>1551</v>
      </c>
      <c r="O5" s="1356" t="s">
        <v>1552</v>
      </c>
      <c r="P5" s="1356" t="s">
        <v>1553</v>
      </c>
      <c r="Q5" s="1356" t="s">
        <v>1554</v>
      </c>
      <c r="R5" s="1355" t="s">
        <v>322</v>
      </c>
    </row>
    <row r="6" spans="1:20" ht="19.25" customHeight="1">
      <c r="A6" s="1381" t="s">
        <v>2146</v>
      </c>
      <c r="B6" s="1382" t="s">
        <v>2147</v>
      </c>
      <c r="C6" s="1383">
        <v>0</v>
      </c>
      <c r="D6" s="1383">
        <v>14</v>
      </c>
      <c r="E6" s="1383">
        <v>17</v>
      </c>
      <c r="F6" s="1383">
        <v>13</v>
      </c>
      <c r="G6" s="1383">
        <v>9</v>
      </c>
      <c r="H6" s="1383">
        <v>16</v>
      </c>
      <c r="I6" s="1383">
        <v>11</v>
      </c>
      <c r="J6" s="1383">
        <v>12</v>
      </c>
      <c r="K6" s="1383">
        <v>11</v>
      </c>
      <c r="L6" s="1383">
        <v>8</v>
      </c>
      <c r="M6" s="1383">
        <v>15</v>
      </c>
      <c r="N6" s="1383">
        <v>18</v>
      </c>
      <c r="O6" s="1383">
        <v>1</v>
      </c>
      <c r="P6" s="1383">
        <v>2</v>
      </c>
      <c r="Q6" s="1383">
        <v>1</v>
      </c>
      <c r="R6" s="1384">
        <v>148</v>
      </c>
    </row>
    <row r="7" spans="1:20" ht="19.25" customHeight="1">
      <c r="A7" s="1381" t="s">
        <v>2150</v>
      </c>
      <c r="B7" s="1382" t="s">
        <v>2151</v>
      </c>
      <c r="C7" s="1383">
        <v>0</v>
      </c>
      <c r="D7" s="1383">
        <v>0</v>
      </c>
      <c r="E7" s="1383">
        <v>2</v>
      </c>
      <c r="F7" s="1383">
        <v>3</v>
      </c>
      <c r="G7" s="1383">
        <v>3</v>
      </c>
      <c r="H7" s="1383">
        <v>3</v>
      </c>
      <c r="I7" s="1383">
        <v>3</v>
      </c>
      <c r="J7" s="1383">
        <v>2</v>
      </c>
      <c r="K7" s="1383">
        <v>3</v>
      </c>
      <c r="L7" s="1383">
        <v>1</v>
      </c>
      <c r="M7" s="1383">
        <v>5</v>
      </c>
      <c r="N7" s="1383">
        <v>0</v>
      </c>
      <c r="O7" s="1383">
        <v>0</v>
      </c>
      <c r="P7" s="1383">
        <v>0</v>
      </c>
      <c r="Q7" s="1383">
        <v>0</v>
      </c>
      <c r="R7" s="1384">
        <v>25</v>
      </c>
    </row>
    <row r="8" spans="1:20" ht="19.25" customHeight="1">
      <c r="A8" s="1381" t="s">
        <v>2154</v>
      </c>
      <c r="B8" s="1382" t="s">
        <v>2155</v>
      </c>
      <c r="C8" s="1383">
        <v>0</v>
      </c>
      <c r="D8" s="1383">
        <v>4</v>
      </c>
      <c r="E8" s="1383">
        <v>6</v>
      </c>
      <c r="F8" s="1383">
        <v>8</v>
      </c>
      <c r="G8" s="1383">
        <v>4</v>
      </c>
      <c r="H8" s="1383">
        <v>10</v>
      </c>
      <c r="I8" s="1383">
        <v>13</v>
      </c>
      <c r="J8" s="1383">
        <v>7</v>
      </c>
      <c r="K8" s="1383">
        <v>10</v>
      </c>
      <c r="L8" s="1383">
        <v>7</v>
      </c>
      <c r="M8" s="1383">
        <v>6</v>
      </c>
      <c r="N8" s="1383">
        <v>8</v>
      </c>
      <c r="O8" s="1383">
        <v>4</v>
      </c>
      <c r="P8" s="1383">
        <v>4</v>
      </c>
      <c r="Q8" s="1383">
        <v>3</v>
      </c>
      <c r="R8" s="1384">
        <v>94</v>
      </c>
    </row>
    <row r="9" spans="1:20" ht="19.25" customHeight="1">
      <c r="A9" s="1381" t="s">
        <v>2159</v>
      </c>
      <c r="B9" s="1382" t="s">
        <v>2160</v>
      </c>
      <c r="C9" s="1383">
        <v>0</v>
      </c>
      <c r="D9" s="1383">
        <v>8</v>
      </c>
      <c r="E9" s="1383">
        <v>8</v>
      </c>
      <c r="F9" s="1383">
        <v>13</v>
      </c>
      <c r="G9" s="1383">
        <v>11</v>
      </c>
      <c r="H9" s="1383">
        <v>5</v>
      </c>
      <c r="I9" s="1383">
        <v>7</v>
      </c>
      <c r="J9" s="1383">
        <v>7</v>
      </c>
      <c r="K9" s="1383">
        <v>8</v>
      </c>
      <c r="L9" s="1383">
        <v>8</v>
      </c>
      <c r="M9" s="1383">
        <v>11</v>
      </c>
      <c r="N9" s="1383">
        <v>0</v>
      </c>
      <c r="O9" s="1383">
        <v>0</v>
      </c>
      <c r="P9" s="1383">
        <v>0</v>
      </c>
      <c r="Q9" s="1383">
        <v>0</v>
      </c>
      <c r="R9" s="1384">
        <v>86</v>
      </c>
    </row>
    <row r="10" spans="1:20" ht="19.25" customHeight="1">
      <c r="A10" s="1381" t="s">
        <v>2163</v>
      </c>
      <c r="B10" s="1382" t="s">
        <v>2164</v>
      </c>
      <c r="C10" s="1383">
        <v>0</v>
      </c>
      <c r="D10" s="1383">
        <v>6</v>
      </c>
      <c r="E10" s="1383">
        <v>12</v>
      </c>
      <c r="F10" s="1383">
        <v>12</v>
      </c>
      <c r="G10" s="1383">
        <v>20</v>
      </c>
      <c r="H10" s="1383">
        <v>13</v>
      </c>
      <c r="I10" s="1383">
        <v>12</v>
      </c>
      <c r="J10" s="1383">
        <v>5</v>
      </c>
      <c r="K10" s="1383">
        <v>8</v>
      </c>
      <c r="L10" s="1383">
        <v>7</v>
      </c>
      <c r="M10" s="1383">
        <v>7</v>
      </c>
      <c r="N10" s="1383">
        <v>4</v>
      </c>
      <c r="O10" s="1383">
        <v>0</v>
      </c>
      <c r="P10" s="1383">
        <v>0</v>
      </c>
      <c r="Q10" s="1383">
        <v>0</v>
      </c>
      <c r="R10" s="1384">
        <v>106</v>
      </c>
    </row>
    <row r="11" spans="1:20" ht="19.25" customHeight="1">
      <c r="A11" s="1381" t="s">
        <v>2167</v>
      </c>
      <c r="B11" s="1382" t="s">
        <v>2168</v>
      </c>
      <c r="C11" s="1383">
        <v>0</v>
      </c>
      <c r="D11" s="1383">
        <v>10</v>
      </c>
      <c r="E11" s="1383">
        <v>9</v>
      </c>
      <c r="F11" s="1383">
        <v>11</v>
      </c>
      <c r="G11" s="1383">
        <v>15</v>
      </c>
      <c r="H11" s="1383">
        <v>12</v>
      </c>
      <c r="I11" s="1383">
        <v>4</v>
      </c>
      <c r="J11" s="1383">
        <v>9</v>
      </c>
      <c r="K11" s="1383">
        <v>5</v>
      </c>
      <c r="L11" s="1383">
        <v>9</v>
      </c>
      <c r="M11" s="1383">
        <v>4</v>
      </c>
      <c r="N11" s="1383">
        <v>8</v>
      </c>
      <c r="O11" s="1383">
        <v>0</v>
      </c>
      <c r="P11" s="1383">
        <v>0</v>
      </c>
      <c r="Q11" s="1383">
        <v>0</v>
      </c>
      <c r="R11" s="1384">
        <v>96</v>
      </c>
    </row>
    <row r="12" spans="1:20" ht="19.25" customHeight="1">
      <c r="A12" s="1381" t="s">
        <v>2385</v>
      </c>
      <c r="B12" s="1382" t="s">
        <v>2172</v>
      </c>
      <c r="C12" s="1383">
        <v>0</v>
      </c>
      <c r="D12" s="1383">
        <v>11</v>
      </c>
      <c r="E12" s="1383">
        <v>14</v>
      </c>
      <c r="F12" s="1383">
        <v>18</v>
      </c>
      <c r="G12" s="1383">
        <v>13</v>
      </c>
      <c r="H12" s="1383">
        <v>17</v>
      </c>
      <c r="I12" s="1383">
        <v>15</v>
      </c>
      <c r="J12" s="1383">
        <v>19</v>
      </c>
      <c r="K12" s="1383">
        <v>19</v>
      </c>
      <c r="L12" s="1383">
        <v>9</v>
      </c>
      <c r="M12" s="1383">
        <v>9</v>
      </c>
      <c r="N12" s="1383">
        <v>17</v>
      </c>
      <c r="O12" s="1383">
        <v>22</v>
      </c>
      <c r="P12" s="1383">
        <v>12</v>
      </c>
      <c r="Q12" s="1383">
        <v>15</v>
      </c>
      <c r="R12" s="1384">
        <v>210</v>
      </c>
    </row>
    <row r="13" spans="1:20" ht="19.25" customHeight="1">
      <c r="A13" s="1381" t="s">
        <v>2175</v>
      </c>
      <c r="B13" s="1382" t="s">
        <v>2176</v>
      </c>
      <c r="C13" s="1383">
        <v>0</v>
      </c>
      <c r="D13" s="1383">
        <v>4</v>
      </c>
      <c r="E13" s="1383">
        <v>3</v>
      </c>
      <c r="F13" s="1383">
        <v>6</v>
      </c>
      <c r="G13" s="1383">
        <v>2</v>
      </c>
      <c r="H13" s="1383">
        <v>3</v>
      </c>
      <c r="I13" s="1383">
        <v>5</v>
      </c>
      <c r="J13" s="1383">
        <v>3</v>
      </c>
      <c r="K13" s="1383">
        <v>0</v>
      </c>
      <c r="L13" s="1383">
        <v>3</v>
      </c>
      <c r="M13" s="1383">
        <v>3</v>
      </c>
      <c r="N13" s="1383">
        <v>5</v>
      </c>
      <c r="O13" s="1383">
        <v>2</v>
      </c>
      <c r="P13" s="1383">
        <v>0</v>
      </c>
      <c r="Q13" s="1383">
        <v>0</v>
      </c>
      <c r="R13" s="1384">
        <v>39</v>
      </c>
    </row>
    <row r="14" spans="1:20" ht="19.25" customHeight="1">
      <c r="A14" s="1381" t="s">
        <v>2386</v>
      </c>
      <c r="B14" s="1382" t="s">
        <v>2160</v>
      </c>
      <c r="C14" s="1383">
        <v>0</v>
      </c>
      <c r="D14" s="1383">
        <v>0</v>
      </c>
      <c r="E14" s="1383">
        <v>0</v>
      </c>
      <c r="F14" s="1383">
        <v>0</v>
      </c>
      <c r="G14" s="1383">
        <v>0</v>
      </c>
      <c r="H14" s="1383">
        <v>0</v>
      </c>
      <c r="I14" s="1383">
        <v>0</v>
      </c>
      <c r="J14" s="1383">
        <v>0</v>
      </c>
      <c r="K14" s="1383">
        <v>0</v>
      </c>
      <c r="L14" s="1383">
        <v>0</v>
      </c>
      <c r="M14" s="1383">
        <v>0</v>
      </c>
      <c r="N14" s="1383">
        <v>64</v>
      </c>
      <c r="O14" s="1383">
        <v>71</v>
      </c>
      <c r="P14" s="1383">
        <v>78</v>
      </c>
      <c r="Q14" s="1383">
        <v>58</v>
      </c>
      <c r="R14" s="1384">
        <v>271</v>
      </c>
    </row>
    <row r="15" spans="1:20" ht="19.25" customHeight="1">
      <c r="A15" s="1381" t="s">
        <v>2182</v>
      </c>
      <c r="B15" s="1382" t="s">
        <v>1095</v>
      </c>
      <c r="C15" s="1383">
        <v>0</v>
      </c>
      <c r="D15" s="1383">
        <v>18</v>
      </c>
      <c r="E15" s="1383">
        <v>29</v>
      </c>
      <c r="F15" s="1383">
        <v>25</v>
      </c>
      <c r="G15" s="1383">
        <v>23</v>
      </c>
      <c r="H15" s="1383">
        <v>33</v>
      </c>
      <c r="I15" s="1383">
        <v>26</v>
      </c>
      <c r="J15" s="1383">
        <v>29</v>
      </c>
      <c r="K15" s="1383">
        <v>21</v>
      </c>
      <c r="L15" s="1383">
        <v>25</v>
      </c>
      <c r="M15" s="1383">
        <v>27</v>
      </c>
      <c r="N15" s="1383">
        <v>19</v>
      </c>
      <c r="O15" s="1383">
        <v>34</v>
      </c>
      <c r="P15" s="1383">
        <v>17</v>
      </c>
      <c r="Q15" s="1383">
        <v>26</v>
      </c>
      <c r="R15" s="1384">
        <v>352</v>
      </c>
    </row>
    <row r="16" spans="1:20" ht="19.25" customHeight="1">
      <c r="A16" s="1381" t="s">
        <v>2185</v>
      </c>
      <c r="B16" s="1382" t="s">
        <v>2186</v>
      </c>
      <c r="C16" s="1383">
        <v>0</v>
      </c>
      <c r="D16" s="1383">
        <v>30</v>
      </c>
      <c r="E16" s="1383">
        <v>36</v>
      </c>
      <c r="F16" s="1383">
        <v>28</v>
      </c>
      <c r="G16" s="1383">
        <v>36</v>
      </c>
      <c r="H16" s="1383">
        <v>31</v>
      </c>
      <c r="I16" s="1383">
        <v>30</v>
      </c>
      <c r="J16" s="1383">
        <v>29</v>
      </c>
      <c r="K16" s="1383">
        <v>25</v>
      </c>
      <c r="L16" s="1383">
        <v>25</v>
      </c>
      <c r="M16" s="1383">
        <v>24</v>
      </c>
      <c r="N16" s="1383">
        <v>24</v>
      </c>
      <c r="O16" s="1383">
        <v>21</v>
      </c>
      <c r="P16" s="1383">
        <v>14</v>
      </c>
      <c r="Q16" s="1383">
        <v>15</v>
      </c>
      <c r="R16" s="1384">
        <v>368</v>
      </c>
    </row>
    <row r="17" spans="1:18" ht="19.25" customHeight="1">
      <c r="A17" s="1381" t="s">
        <v>2188</v>
      </c>
      <c r="B17" s="1382" t="s">
        <v>1414</v>
      </c>
      <c r="C17" s="1383">
        <v>0</v>
      </c>
      <c r="D17" s="1383">
        <v>4</v>
      </c>
      <c r="E17" s="1383">
        <v>7</v>
      </c>
      <c r="F17" s="1383">
        <v>1</v>
      </c>
      <c r="G17" s="1383">
        <v>5</v>
      </c>
      <c r="H17" s="1383">
        <v>8</v>
      </c>
      <c r="I17" s="1383">
        <v>4</v>
      </c>
      <c r="J17" s="1383">
        <v>7</v>
      </c>
      <c r="K17" s="1383">
        <v>7</v>
      </c>
      <c r="L17" s="1383">
        <v>7</v>
      </c>
      <c r="M17" s="1383">
        <v>4</v>
      </c>
      <c r="N17" s="1383">
        <v>0</v>
      </c>
      <c r="O17" s="1383">
        <v>0</v>
      </c>
      <c r="P17" s="1383">
        <v>0</v>
      </c>
      <c r="Q17" s="1383">
        <v>0</v>
      </c>
      <c r="R17" s="1384">
        <v>54</v>
      </c>
    </row>
    <row r="18" spans="1:18" ht="19.25" customHeight="1">
      <c r="A18" s="1381" t="s">
        <v>2191</v>
      </c>
      <c r="B18" s="1382" t="s">
        <v>2192</v>
      </c>
      <c r="C18" s="1383">
        <v>0</v>
      </c>
      <c r="D18" s="1383">
        <v>41</v>
      </c>
      <c r="E18" s="1383">
        <v>58</v>
      </c>
      <c r="F18" s="1383">
        <v>53</v>
      </c>
      <c r="G18" s="1383">
        <v>61</v>
      </c>
      <c r="H18" s="1383">
        <v>44</v>
      </c>
      <c r="I18" s="1383">
        <v>52</v>
      </c>
      <c r="J18" s="1383">
        <v>43</v>
      </c>
      <c r="K18" s="1383">
        <v>62</v>
      </c>
      <c r="L18" s="1383">
        <v>0</v>
      </c>
      <c r="M18" s="1383">
        <v>0</v>
      </c>
      <c r="N18" s="1383">
        <v>0</v>
      </c>
      <c r="O18" s="1383">
        <v>0</v>
      </c>
      <c r="P18" s="1383">
        <v>0</v>
      </c>
      <c r="Q18" s="1383">
        <v>0</v>
      </c>
      <c r="R18" s="1384">
        <v>414</v>
      </c>
    </row>
    <row r="19" spans="1:18" ht="19.25" customHeight="1">
      <c r="A19" s="1381" t="s">
        <v>2195</v>
      </c>
      <c r="B19" s="1382" t="s">
        <v>2196</v>
      </c>
      <c r="C19" s="1383">
        <v>0</v>
      </c>
      <c r="D19" s="1383">
        <v>14</v>
      </c>
      <c r="E19" s="1383">
        <v>13</v>
      </c>
      <c r="F19" s="1383">
        <v>12</v>
      </c>
      <c r="G19" s="1383">
        <v>13</v>
      </c>
      <c r="H19" s="1383">
        <v>7</v>
      </c>
      <c r="I19" s="1383">
        <v>8</v>
      </c>
      <c r="J19" s="1383">
        <v>9</v>
      </c>
      <c r="K19" s="1383">
        <v>8</v>
      </c>
      <c r="L19" s="1383">
        <v>4</v>
      </c>
      <c r="M19" s="1383">
        <v>6</v>
      </c>
      <c r="N19" s="1383">
        <v>15</v>
      </c>
      <c r="O19" s="1383">
        <v>5</v>
      </c>
      <c r="P19" s="1383">
        <v>10</v>
      </c>
      <c r="Q19" s="1383">
        <v>13</v>
      </c>
      <c r="R19" s="1384">
        <v>137</v>
      </c>
    </row>
    <row r="20" spans="1:18" ht="19.25" customHeight="1">
      <c r="A20" s="1381" t="s">
        <v>2198</v>
      </c>
      <c r="B20" s="1382" t="s">
        <v>2199</v>
      </c>
      <c r="C20" s="1383">
        <v>0</v>
      </c>
      <c r="D20" s="1383">
        <v>2</v>
      </c>
      <c r="E20" s="1383">
        <v>0</v>
      </c>
      <c r="F20" s="1383">
        <v>10</v>
      </c>
      <c r="G20" s="1383">
        <v>4</v>
      </c>
      <c r="H20" s="1383">
        <v>3</v>
      </c>
      <c r="I20" s="1383">
        <v>3</v>
      </c>
      <c r="J20" s="1383">
        <v>2</v>
      </c>
      <c r="K20" s="1383">
        <v>4</v>
      </c>
      <c r="L20" s="1383">
        <v>3</v>
      </c>
      <c r="M20" s="1383">
        <v>2</v>
      </c>
      <c r="N20" s="1383">
        <v>0</v>
      </c>
      <c r="O20" s="1383">
        <v>0</v>
      </c>
      <c r="P20" s="1383">
        <v>0</v>
      </c>
      <c r="Q20" s="1383">
        <v>0</v>
      </c>
      <c r="R20" s="1384">
        <v>33</v>
      </c>
    </row>
    <row r="21" spans="1:18" ht="19.25" customHeight="1">
      <c r="A21" s="1381" t="s">
        <v>2202</v>
      </c>
      <c r="B21" s="1382" t="s">
        <v>2203</v>
      </c>
      <c r="C21" s="1383">
        <v>0</v>
      </c>
      <c r="D21" s="1383">
        <v>2</v>
      </c>
      <c r="E21" s="1383">
        <v>5</v>
      </c>
      <c r="F21" s="1383">
        <v>5</v>
      </c>
      <c r="G21" s="1383">
        <v>5</v>
      </c>
      <c r="H21" s="1383">
        <v>5</v>
      </c>
      <c r="I21" s="1383">
        <v>3</v>
      </c>
      <c r="J21" s="1383">
        <v>4</v>
      </c>
      <c r="K21" s="1383">
        <v>2</v>
      </c>
      <c r="L21" s="1383">
        <v>3</v>
      </c>
      <c r="M21" s="1383">
        <v>4</v>
      </c>
      <c r="N21" s="1383">
        <v>0</v>
      </c>
      <c r="O21" s="1383">
        <v>0</v>
      </c>
      <c r="P21" s="1383">
        <v>0</v>
      </c>
      <c r="Q21" s="1383">
        <v>0</v>
      </c>
      <c r="R21" s="1384">
        <v>38</v>
      </c>
    </row>
    <row r="22" spans="1:18" ht="19.25" customHeight="1">
      <c r="A22" s="1381" t="s">
        <v>2206</v>
      </c>
      <c r="B22" s="1382" t="s">
        <v>2207</v>
      </c>
      <c r="C22" s="1383">
        <v>0</v>
      </c>
      <c r="D22" s="1383">
        <v>7</v>
      </c>
      <c r="E22" s="1383">
        <v>9</v>
      </c>
      <c r="F22" s="1383">
        <v>17</v>
      </c>
      <c r="G22" s="1383">
        <v>8</v>
      </c>
      <c r="H22" s="1383">
        <v>22</v>
      </c>
      <c r="I22" s="1383">
        <v>13</v>
      </c>
      <c r="J22" s="1383">
        <v>7</v>
      </c>
      <c r="K22" s="1383">
        <v>18</v>
      </c>
      <c r="L22" s="1383">
        <v>21</v>
      </c>
      <c r="M22" s="1383">
        <v>8</v>
      </c>
      <c r="N22" s="1383">
        <v>21</v>
      </c>
      <c r="O22" s="1383">
        <v>7</v>
      </c>
      <c r="P22" s="1383">
        <v>6</v>
      </c>
      <c r="Q22" s="1383">
        <v>8</v>
      </c>
      <c r="R22" s="1384">
        <v>172</v>
      </c>
    </row>
    <row r="23" spans="1:18" ht="19.25" customHeight="1">
      <c r="A23" s="1381" t="s">
        <v>2209</v>
      </c>
      <c r="B23" s="1382" t="s">
        <v>2210</v>
      </c>
      <c r="C23" s="1383">
        <v>0</v>
      </c>
      <c r="D23" s="1383">
        <v>0</v>
      </c>
      <c r="E23" s="1383">
        <v>2</v>
      </c>
      <c r="F23" s="1383">
        <v>2</v>
      </c>
      <c r="G23" s="1383">
        <v>1</v>
      </c>
      <c r="H23" s="1383">
        <v>1</v>
      </c>
      <c r="I23" s="1383">
        <v>1</v>
      </c>
      <c r="J23" s="1383">
        <v>3</v>
      </c>
      <c r="K23" s="1383">
        <v>4</v>
      </c>
      <c r="L23" s="1383">
        <v>1</v>
      </c>
      <c r="M23" s="1383">
        <v>0</v>
      </c>
      <c r="N23" s="1383">
        <v>1</v>
      </c>
      <c r="O23" s="1383">
        <v>0</v>
      </c>
      <c r="P23" s="1383">
        <v>0</v>
      </c>
      <c r="Q23" s="1383">
        <v>0</v>
      </c>
      <c r="R23" s="1384">
        <v>16</v>
      </c>
    </row>
    <row r="24" spans="1:18" ht="19.25" customHeight="1">
      <c r="A24" s="1381" t="s">
        <v>2212</v>
      </c>
      <c r="B24" s="1382" t="s">
        <v>2213</v>
      </c>
      <c r="C24" s="1383">
        <v>0</v>
      </c>
      <c r="D24" s="1383">
        <v>11</v>
      </c>
      <c r="E24" s="1383">
        <v>7</v>
      </c>
      <c r="F24" s="1383">
        <v>9</v>
      </c>
      <c r="G24" s="1383">
        <v>10</v>
      </c>
      <c r="H24" s="1383">
        <v>12</v>
      </c>
      <c r="I24" s="1383">
        <v>9</v>
      </c>
      <c r="J24" s="1383">
        <v>6</v>
      </c>
      <c r="K24" s="1383">
        <v>12</v>
      </c>
      <c r="L24" s="1383">
        <v>8</v>
      </c>
      <c r="M24" s="1383">
        <v>8</v>
      </c>
      <c r="N24" s="1383">
        <v>8</v>
      </c>
      <c r="O24" s="1383">
        <v>11</v>
      </c>
      <c r="P24" s="1383">
        <v>14</v>
      </c>
      <c r="Q24" s="1383">
        <v>7</v>
      </c>
      <c r="R24" s="1384">
        <v>132</v>
      </c>
    </row>
    <row r="25" spans="1:18" ht="19.25" customHeight="1">
      <c r="A25" s="1381" t="s">
        <v>2216</v>
      </c>
      <c r="B25" s="1382" t="s">
        <v>2217</v>
      </c>
      <c r="C25" s="1383">
        <v>0</v>
      </c>
      <c r="D25" s="1383">
        <v>1</v>
      </c>
      <c r="E25" s="1383">
        <v>4</v>
      </c>
      <c r="F25" s="1383">
        <v>1</v>
      </c>
      <c r="G25" s="1383">
        <v>1</v>
      </c>
      <c r="H25" s="1383">
        <v>3</v>
      </c>
      <c r="I25" s="1383">
        <v>2</v>
      </c>
      <c r="J25" s="1383">
        <v>0</v>
      </c>
      <c r="K25" s="1383">
        <v>1</v>
      </c>
      <c r="L25" s="1383">
        <v>2</v>
      </c>
      <c r="M25" s="1383">
        <v>1</v>
      </c>
      <c r="N25" s="1383">
        <v>0</v>
      </c>
      <c r="O25" s="1383">
        <v>0</v>
      </c>
      <c r="P25" s="1383">
        <v>0</v>
      </c>
      <c r="Q25" s="1383">
        <v>0</v>
      </c>
      <c r="R25" s="1384">
        <v>16</v>
      </c>
    </row>
    <row r="26" spans="1:18" ht="19.25" customHeight="1">
      <c r="A26" s="1381" t="s">
        <v>2387</v>
      </c>
      <c r="B26" s="1382" t="s">
        <v>2143</v>
      </c>
      <c r="C26" s="1383">
        <v>0</v>
      </c>
      <c r="D26" s="1383">
        <v>0</v>
      </c>
      <c r="E26" s="1383">
        <v>1</v>
      </c>
      <c r="F26" s="1383">
        <v>2</v>
      </c>
      <c r="G26" s="1383">
        <v>2</v>
      </c>
      <c r="H26" s="1383">
        <v>1</v>
      </c>
      <c r="I26" s="1383">
        <v>6</v>
      </c>
      <c r="J26" s="1383">
        <v>5</v>
      </c>
      <c r="K26" s="1383">
        <v>1</v>
      </c>
      <c r="L26" s="1383">
        <v>1</v>
      </c>
      <c r="M26" s="1383">
        <v>3</v>
      </c>
      <c r="N26" s="1383">
        <v>0</v>
      </c>
      <c r="O26" s="1383">
        <v>0</v>
      </c>
      <c r="P26" s="1383">
        <v>0</v>
      </c>
      <c r="Q26" s="1383">
        <v>0</v>
      </c>
      <c r="R26" s="1384">
        <v>22</v>
      </c>
    </row>
    <row r="27" spans="1:18" ht="19.25" customHeight="1">
      <c r="A27" s="1381" t="s">
        <v>2219</v>
      </c>
      <c r="B27" s="1382" t="s">
        <v>2220</v>
      </c>
      <c r="C27" s="1383">
        <v>0</v>
      </c>
      <c r="D27" s="1383">
        <v>0</v>
      </c>
      <c r="E27" s="1383">
        <v>0</v>
      </c>
      <c r="F27" s="1383">
        <v>0</v>
      </c>
      <c r="G27" s="1383">
        <v>0</v>
      </c>
      <c r="H27" s="1383">
        <v>0</v>
      </c>
      <c r="I27" s="1383">
        <v>0</v>
      </c>
      <c r="J27" s="1383">
        <v>1</v>
      </c>
      <c r="K27" s="1383">
        <v>0</v>
      </c>
      <c r="L27" s="1383">
        <v>0</v>
      </c>
      <c r="M27" s="1383">
        <v>2</v>
      </c>
      <c r="N27" s="1383">
        <v>1</v>
      </c>
      <c r="O27" s="1383">
        <v>1</v>
      </c>
      <c r="P27" s="1383">
        <v>1</v>
      </c>
      <c r="Q27" s="1383">
        <v>1</v>
      </c>
      <c r="R27" s="1384">
        <v>7</v>
      </c>
    </row>
    <row r="28" spans="1:18" ht="19.25" customHeight="1">
      <c r="A28" s="1381" t="s">
        <v>2222</v>
      </c>
      <c r="B28" s="1382" t="s">
        <v>2223</v>
      </c>
      <c r="C28" s="1383">
        <v>0</v>
      </c>
      <c r="D28" s="1383">
        <v>0</v>
      </c>
      <c r="E28" s="1383">
        <v>14</v>
      </c>
      <c r="F28" s="1383">
        <v>8</v>
      </c>
      <c r="G28" s="1383">
        <v>14</v>
      </c>
      <c r="H28" s="1383">
        <v>15</v>
      </c>
      <c r="I28" s="1383">
        <v>16</v>
      </c>
      <c r="J28" s="1383">
        <v>17</v>
      </c>
      <c r="K28" s="1383">
        <v>13</v>
      </c>
      <c r="L28" s="1383">
        <v>16</v>
      </c>
      <c r="M28" s="1383">
        <v>15</v>
      </c>
      <c r="N28" s="1383">
        <v>0</v>
      </c>
      <c r="O28" s="1383">
        <v>0</v>
      </c>
      <c r="P28" s="1383">
        <v>0</v>
      </c>
      <c r="Q28" s="1383">
        <v>0</v>
      </c>
      <c r="R28" s="1384">
        <v>128</v>
      </c>
    </row>
    <row r="29" spans="1:18" ht="19.25" customHeight="1">
      <c r="A29" s="1385" t="s">
        <v>2225</v>
      </c>
      <c r="B29" s="1386" t="s">
        <v>2226</v>
      </c>
      <c r="C29" s="1387">
        <v>0</v>
      </c>
      <c r="D29" s="1387">
        <v>2</v>
      </c>
      <c r="E29" s="1387">
        <v>0</v>
      </c>
      <c r="F29" s="1387">
        <v>0</v>
      </c>
      <c r="G29" s="1387">
        <v>1</v>
      </c>
      <c r="H29" s="1387">
        <v>1</v>
      </c>
      <c r="I29" s="1387">
        <v>3</v>
      </c>
      <c r="J29" s="1387">
        <v>2</v>
      </c>
      <c r="K29" s="1387">
        <v>1</v>
      </c>
      <c r="L29" s="1387">
        <v>2</v>
      </c>
      <c r="M29" s="1387">
        <v>1</v>
      </c>
      <c r="N29" s="1387">
        <v>0</v>
      </c>
      <c r="O29" s="1387">
        <v>0</v>
      </c>
      <c r="P29" s="1387">
        <v>0</v>
      </c>
      <c r="Q29" s="1387">
        <v>0</v>
      </c>
      <c r="R29" s="1388">
        <v>13</v>
      </c>
    </row>
    <row r="30" spans="1:18" ht="19.25" customHeight="1">
      <c r="A30" s="1389" t="s">
        <v>2228</v>
      </c>
      <c r="B30" s="1390" t="s">
        <v>2229</v>
      </c>
      <c r="C30" s="1391">
        <v>0</v>
      </c>
      <c r="D30" s="1391">
        <v>0</v>
      </c>
      <c r="E30" s="1391">
        <v>1</v>
      </c>
      <c r="F30" s="1391">
        <v>4</v>
      </c>
      <c r="G30" s="1391">
        <v>3</v>
      </c>
      <c r="H30" s="1391">
        <v>4</v>
      </c>
      <c r="I30" s="1391">
        <v>6</v>
      </c>
      <c r="J30" s="1391">
        <v>3</v>
      </c>
      <c r="K30" s="1391">
        <v>2</v>
      </c>
      <c r="L30" s="1391">
        <v>2</v>
      </c>
      <c r="M30" s="1391">
        <v>2</v>
      </c>
      <c r="N30" s="1391">
        <v>17</v>
      </c>
      <c r="O30" s="1391">
        <v>10</v>
      </c>
      <c r="P30" s="1391">
        <v>15</v>
      </c>
      <c r="Q30" s="1391">
        <v>13</v>
      </c>
      <c r="R30" s="1392">
        <v>82</v>
      </c>
    </row>
    <row r="31" spans="1:18" ht="19.25" customHeight="1">
      <c r="A31" s="363" t="s">
        <v>2231</v>
      </c>
      <c r="B31" s="1382" t="s">
        <v>2232</v>
      </c>
      <c r="C31" s="364">
        <v>0</v>
      </c>
      <c r="D31" s="364">
        <v>0</v>
      </c>
      <c r="E31" s="364">
        <v>2</v>
      </c>
      <c r="F31" s="364">
        <v>0</v>
      </c>
      <c r="G31" s="364">
        <v>2</v>
      </c>
      <c r="H31" s="364">
        <v>2</v>
      </c>
      <c r="I31" s="364">
        <v>2</v>
      </c>
      <c r="J31" s="364">
        <v>2</v>
      </c>
      <c r="K31" s="364">
        <v>0</v>
      </c>
      <c r="L31" s="364">
        <v>2</v>
      </c>
      <c r="M31" s="364">
        <v>0</v>
      </c>
      <c r="N31" s="364">
        <v>1</v>
      </c>
      <c r="O31" s="364">
        <v>0</v>
      </c>
      <c r="P31" s="364">
        <v>0</v>
      </c>
      <c r="Q31" s="364">
        <v>0</v>
      </c>
      <c r="R31" s="365">
        <v>13</v>
      </c>
    </row>
    <row r="32" spans="1:18" ht="19.25" customHeight="1">
      <c r="A32" s="1381" t="s">
        <v>2234</v>
      </c>
      <c r="B32" s="1382" t="s">
        <v>2235</v>
      </c>
      <c r="C32" s="1383">
        <v>0</v>
      </c>
      <c r="D32" s="1383">
        <v>1</v>
      </c>
      <c r="E32" s="1383">
        <v>2</v>
      </c>
      <c r="F32" s="1383">
        <v>2</v>
      </c>
      <c r="G32" s="1383">
        <v>2</v>
      </c>
      <c r="H32" s="1383">
        <v>1</v>
      </c>
      <c r="I32" s="1383">
        <v>3</v>
      </c>
      <c r="J32" s="1383">
        <v>0</v>
      </c>
      <c r="K32" s="1383">
        <v>0</v>
      </c>
      <c r="L32" s="1383">
        <v>2</v>
      </c>
      <c r="M32" s="1383">
        <v>3</v>
      </c>
      <c r="N32" s="1383">
        <v>1</v>
      </c>
      <c r="O32" s="1383">
        <v>0</v>
      </c>
      <c r="P32" s="1383">
        <v>0</v>
      </c>
      <c r="Q32" s="1383">
        <v>0</v>
      </c>
      <c r="R32" s="1384">
        <v>17</v>
      </c>
    </row>
    <row r="33" spans="1:20" ht="19.25" customHeight="1">
      <c r="A33" s="1381" t="s">
        <v>2237</v>
      </c>
      <c r="B33" s="1382" t="s">
        <v>2238</v>
      </c>
      <c r="C33" s="1383">
        <v>0</v>
      </c>
      <c r="D33" s="1383">
        <v>4</v>
      </c>
      <c r="E33" s="1383">
        <v>2</v>
      </c>
      <c r="F33" s="1383">
        <v>3</v>
      </c>
      <c r="G33" s="1383">
        <v>2</v>
      </c>
      <c r="H33" s="1383">
        <v>3</v>
      </c>
      <c r="I33" s="1383">
        <v>3</v>
      </c>
      <c r="J33" s="1383">
        <v>3</v>
      </c>
      <c r="K33" s="1383">
        <v>1</v>
      </c>
      <c r="L33" s="1383">
        <v>4</v>
      </c>
      <c r="M33" s="1383">
        <v>7</v>
      </c>
      <c r="N33" s="1383">
        <v>0</v>
      </c>
      <c r="O33" s="1383">
        <v>0</v>
      </c>
      <c r="P33" s="1383">
        <v>0</v>
      </c>
      <c r="Q33" s="1383">
        <v>0</v>
      </c>
      <c r="R33" s="1384">
        <v>32</v>
      </c>
      <c r="T33"/>
    </row>
    <row r="34" spans="1:20" ht="19.25" customHeight="1">
      <c r="A34" s="1381" t="s">
        <v>2240</v>
      </c>
      <c r="B34" s="1382" t="s">
        <v>2241</v>
      </c>
      <c r="C34" s="1383">
        <v>0</v>
      </c>
      <c r="D34" s="1383">
        <v>6</v>
      </c>
      <c r="E34" s="1383">
        <v>6</v>
      </c>
      <c r="F34" s="1383">
        <v>4</v>
      </c>
      <c r="G34" s="1383">
        <v>8</v>
      </c>
      <c r="H34" s="1383">
        <v>9</v>
      </c>
      <c r="I34" s="1383">
        <v>5</v>
      </c>
      <c r="J34" s="1383">
        <v>7</v>
      </c>
      <c r="K34" s="1383">
        <v>2</v>
      </c>
      <c r="L34" s="1383">
        <v>6</v>
      </c>
      <c r="M34" s="1383">
        <v>6</v>
      </c>
      <c r="N34" s="1383">
        <v>7</v>
      </c>
      <c r="O34" s="1383">
        <v>0</v>
      </c>
      <c r="P34" s="1383">
        <v>0</v>
      </c>
      <c r="Q34" s="1383">
        <v>0</v>
      </c>
      <c r="R34" s="1384">
        <v>66</v>
      </c>
      <c r="T34"/>
    </row>
    <row r="35" spans="1:20" ht="19.25" customHeight="1">
      <c r="A35" s="1393" t="s">
        <v>2243</v>
      </c>
      <c r="B35" s="1382" t="s">
        <v>2244</v>
      </c>
      <c r="C35" s="1394">
        <v>0</v>
      </c>
      <c r="D35" s="1383">
        <v>0</v>
      </c>
      <c r="E35" s="1383">
        <v>13</v>
      </c>
      <c r="F35" s="1383">
        <v>18</v>
      </c>
      <c r="G35" s="1383">
        <v>20</v>
      </c>
      <c r="H35" s="1383">
        <v>16</v>
      </c>
      <c r="I35" s="1383">
        <v>15</v>
      </c>
      <c r="J35" s="1383">
        <v>17</v>
      </c>
      <c r="K35" s="1383">
        <v>10</v>
      </c>
      <c r="L35" s="1383">
        <v>19</v>
      </c>
      <c r="M35" s="1383">
        <v>4</v>
      </c>
      <c r="N35" s="1383">
        <v>9</v>
      </c>
      <c r="O35" s="1383">
        <v>13</v>
      </c>
      <c r="P35" s="1383">
        <v>17</v>
      </c>
      <c r="Q35" s="1383">
        <v>12</v>
      </c>
      <c r="R35" s="1384">
        <v>183</v>
      </c>
      <c r="T35"/>
    </row>
    <row r="36" spans="1:20" ht="20.25" customHeight="1" thickBot="1">
      <c r="A36" s="367" t="s">
        <v>2247</v>
      </c>
      <c r="B36" s="367" t="s">
        <v>2248</v>
      </c>
      <c r="C36" s="368">
        <v>0</v>
      </c>
      <c r="D36" s="368">
        <v>200</v>
      </c>
      <c r="E36" s="368">
        <v>282</v>
      </c>
      <c r="F36" s="368">
        <v>288</v>
      </c>
      <c r="G36" s="368">
        <v>298</v>
      </c>
      <c r="H36" s="368">
        <v>300</v>
      </c>
      <c r="I36" s="368">
        <v>280</v>
      </c>
      <c r="J36" s="368">
        <v>260</v>
      </c>
      <c r="K36" s="368">
        <v>258</v>
      </c>
      <c r="L36" s="368">
        <v>205</v>
      </c>
      <c r="M36" s="368">
        <v>187</v>
      </c>
      <c r="N36" s="368">
        <v>248</v>
      </c>
      <c r="O36" s="368">
        <v>202</v>
      </c>
      <c r="P36" s="368">
        <v>190</v>
      </c>
      <c r="Q36" s="368">
        <v>172</v>
      </c>
      <c r="R36" s="368">
        <v>3370</v>
      </c>
      <c r="T36"/>
    </row>
    <row r="37" spans="1:20" ht="15" customHeight="1">
      <c r="A37" s="16"/>
      <c r="B37" s="17"/>
      <c r="C37" s="15"/>
      <c r="D37" s="15"/>
      <c r="E37" s="15"/>
      <c r="F37" s="15"/>
      <c r="G37" s="15"/>
      <c r="H37" s="15"/>
      <c r="I37" s="15"/>
      <c r="J37" s="15"/>
      <c r="K37" s="15"/>
      <c r="L37" s="15"/>
      <c r="M37" s="15"/>
      <c r="N37" s="15"/>
      <c r="O37" s="15"/>
      <c r="P37" s="15"/>
      <c r="Q37" s="15"/>
      <c r="R37" s="15"/>
    </row>
    <row r="38" spans="1:20" ht="18" customHeight="1">
      <c r="B38" s="1395"/>
      <c r="C38" s="1395"/>
      <c r="D38" s="1395"/>
      <c r="E38" s="1395"/>
      <c r="F38" s="1396"/>
      <c r="G38" s="1397" t="s">
        <v>2388</v>
      </c>
      <c r="H38" s="1398">
        <f>E36+F36+G36+H36</f>
        <v>1168</v>
      </c>
    </row>
    <row r="39" spans="1:20" ht="18.75" customHeight="1">
      <c r="B39" s="1395"/>
      <c r="C39" s="1396"/>
      <c r="D39" s="1396"/>
      <c r="E39" s="1396"/>
      <c r="F39" s="1396"/>
      <c r="G39" s="1397" t="s">
        <v>2389</v>
      </c>
      <c r="H39" s="1399">
        <f>H38/(R36-D36)</f>
        <v>0.36845425867507886</v>
      </c>
    </row>
    <row r="42" spans="1:20" ht="26.25" customHeight="1">
      <c r="A42" s="1815" t="s">
        <v>2390</v>
      </c>
      <c r="B42" s="1816"/>
      <c r="C42" s="1816"/>
      <c r="D42" s="1816"/>
      <c r="E42" s="1816"/>
      <c r="F42" s="1816"/>
      <c r="G42" s="1816"/>
      <c r="H42" s="1816"/>
      <c r="I42" s="1816"/>
      <c r="J42" s="1816"/>
      <c r="K42" s="1816"/>
      <c r="L42" s="1816"/>
      <c r="M42" s="1816"/>
      <c r="N42" s="1816"/>
      <c r="O42" s="1816"/>
      <c r="P42" s="1816"/>
      <c r="Q42" s="1816"/>
      <c r="R42" s="1817"/>
    </row>
    <row r="43" spans="1:20" ht="20.25" customHeight="1">
      <c r="A43" s="822" t="s">
        <v>2138</v>
      </c>
      <c r="B43" s="822" t="s">
        <v>2139</v>
      </c>
      <c r="C43" s="1355" t="s">
        <v>2129</v>
      </c>
      <c r="D43" s="1355" t="s">
        <v>2130</v>
      </c>
      <c r="E43" s="1355" t="s">
        <v>2131</v>
      </c>
      <c r="F43" s="1356" t="s">
        <v>1559</v>
      </c>
      <c r="G43" s="1356" t="s">
        <v>1560</v>
      </c>
      <c r="H43" s="1356" t="s">
        <v>1561</v>
      </c>
      <c r="I43" s="1356" t="s">
        <v>1562</v>
      </c>
      <c r="J43" s="1356" t="s">
        <v>1547</v>
      </c>
      <c r="K43" s="1356" t="s">
        <v>1548</v>
      </c>
      <c r="L43" s="1356" t="s">
        <v>1549</v>
      </c>
      <c r="M43" s="1356" t="s">
        <v>1550</v>
      </c>
      <c r="N43" s="1356" t="s">
        <v>1551</v>
      </c>
      <c r="O43" s="1356" t="s">
        <v>1552</v>
      </c>
      <c r="P43" s="1356" t="s">
        <v>1553</v>
      </c>
      <c r="Q43" s="1356" t="s">
        <v>1554</v>
      </c>
      <c r="R43" s="1355" t="s">
        <v>322</v>
      </c>
    </row>
    <row r="44" spans="1:20" ht="20.25" customHeight="1">
      <c r="A44" s="1381" t="s">
        <v>2391</v>
      </c>
      <c r="B44" s="1382" t="s">
        <v>1587</v>
      </c>
      <c r="C44" s="1383">
        <v>0</v>
      </c>
      <c r="D44" s="1383">
        <v>33</v>
      </c>
      <c r="E44" s="1383">
        <v>32</v>
      </c>
      <c r="F44" s="1383">
        <v>31</v>
      </c>
      <c r="G44" s="1383">
        <v>29</v>
      </c>
      <c r="H44" s="1383">
        <v>27</v>
      </c>
      <c r="I44" s="1383">
        <v>26</v>
      </c>
      <c r="J44" s="1383">
        <v>28</v>
      </c>
      <c r="K44" s="1383">
        <v>21</v>
      </c>
      <c r="L44" s="1383">
        <v>25</v>
      </c>
      <c r="M44" s="1383">
        <v>23</v>
      </c>
      <c r="N44" s="1383">
        <v>26</v>
      </c>
      <c r="O44" s="1383">
        <v>4</v>
      </c>
      <c r="P44" s="1383">
        <v>0</v>
      </c>
      <c r="Q44" s="1383">
        <v>0</v>
      </c>
      <c r="R44" s="1384">
        <v>305</v>
      </c>
    </row>
    <row r="45" spans="1:20" ht="20.25" customHeight="1">
      <c r="A45" s="1381" t="s">
        <v>2392</v>
      </c>
      <c r="B45" s="1400" t="s">
        <v>2393</v>
      </c>
      <c r="C45" s="1383">
        <v>0</v>
      </c>
      <c r="D45" s="1383">
        <v>23</v>
      </c>
      <c r="E45" s="1383">
        <v>18</v>
      </c>
      <c r="F45" s="1383">
        <v>17</v>
      </c>
      <c r="G45" s="1383">
        <v>25</v>
      </c>
      <c r="H45" s="1383">
        <v>19</v>
      </c>
      <c r="I45" s="1383">
        <v>20</v>
      </c>
      <c r="J45" s="1383">
        <v>15</v>
      </c>
      <c r="K45" s="1383">
        <v>16</v>
      </c>
      <c r="L45" s="1383">
        <v>13</v>
      </c>
      <c r="M45" s="1383">
        <v>14</v>
      </c>
      <c r="N45" s="1383">
        <v>15</v>
      </c>
      <c r="O45" s="1383">
        <v>8</v>
      </c>
      <c r="P45" s="1383">
        <v>0</v>
      </c>
      <c r="Q45" s="1383">
        <v>0</v>
      </c>
      <c r="R45" s="1384">
        <v>203</v>
      </c>
    </row>
    <row r="46" spans="1:20" ht="20.25" customHeight="1">
      <c r="A46" s="1401" t="s">
        <v>2394</v>
      </c>
      <c r="B46" s="1400" t="s">
        <v>2395</v>
      </c>
      <c r="C46" s="1383">
        <v>0</v>
      </c>
      <c r="D46" s="1383">
        <v>9</v>
      </c>
      <c r="E46" s="1383">
        <v>12</v>
      </c>
      <c r="F46" s="1383">
        <v>13</v>
      </c>
      <c r="G46" s="1383">
        <v>14</v>
      </c>
      <c r="H46" s="1383">
        <v>3</v>
      </c>
      <c r="I46" s="1383">
        <v>9</v>
      </c>
      <c r="J46" s="1383">
        <v>15</v>
      </c>
      <c r="K46" s="1383">
        <v>7</v>
      </c>
      <c r="L46" s="1383">
        <v>9</v>
      </c>
      <c r="M46" s="1383">
        <v>6</v>
      </c>
      <c r="N46" s="1383">
        <v>8</v>
      </c>
      <c r="O46" s="1383">
        <v>8</v>
      </c>
      <c r="P46" s="1383">
        <v>13</v>
      </c>
      <c r="Q46" s="1383">
        <v>3</v>
      </c>
      <c r="R46" s="1384">
        <v>129</v>
      </c>
    </row>
    <row r="47" spans="1:20" ht="20.25" customHeight="1">
      <c r="A47" s="1381" t="s">
        <v>2396</v>
      </c>
      <c r="B47" s="1382" t="s">
        <v>2334</v>
      </c>
      <c r="C47" s="1383">
        <v>0</v>
      </c>
      <c r="D47" s="1383">
        <v>18</v>
      </c>
      <c r="E47" s="1383">
        <v>34</v>
      </c>
      <c r="F47" s="1383">
        <v>33</v>
      </c>
      <c r="G47" s="1383">
        <v>41</v>
      </c>
      <c r="H47" s="1383">
        <v>29</v>
      </c>
      <c r="I47" s="1383">
        <v>44</v>
      </c>
      <c r="J47" s="1383">
        <v>35</v>
      </c>
      <c r="K47" s="1383">
        <v>42</v>
      </c>
      <c r="L47" s="1383">
        <v>33</v>
      </c>
      <c r="M47" s="1383">
        <v>38</v>
      </c>
      <c r="N47" s="1383">
        <v>35</v>
      </c>
      <c r="O47" s="1383">
        <v>29</v>
      </c>
      <c r="P47" s="1383">
        <v>30</v>
      </c>
      <c r="Q47" s="1383">
        <v>31</v>
      </c>
      <c r="R47" s="1384">
        <v>472</v>
      </c>
    </row>
    <row r="48" spans="1:20" ht="20.25" customHeight="1">
      <c r="A48" s="1401" t="s">
        <v>2397</v>
      </c>
      <c r="B48" s="1382" t="s">
        <v>2192</v>
      </c>
      <c r="C48" s="1383">
        <v>0</v>
      </c>
      <c r="D48" s="1383">
        <v>80</v>
      </c>
      <c r="E48" s="1383">
        <v>83</v>
      </c>
      <c r="F48" s="1383">
        <v>82</v>
      </c>
      <c r="G48" s="1383">
        <v>88</v>
      </c>
      <c r="H48" s="1383">
        <v>97</v>
      </c>
      <c r="I48" s="1383">
        <v>83</v>
      </c>
      <c r="J48" s="1383">
        <v>82</v>
      </c>
      <c r="K48" s="1383">
        <v>81</v>
      </c>
      <c r="L48" s="1383">
        <v>135</v>
      </c>
      <c r="M48" s="1383">
        <v>94</v>
      </c>
      <c r="N48" s="1383">
        <v>100</v>
      </c>
      <c r="O48" s="1383">
        <v>113</v>
      </c>
      <c r="P48" s="1383">
        <v>137</v>
      </c>
      <c r="Q48" s="1383">
        <v>74</v>
      </c>
      <c r="R48" s="1384">
        <v>1329</v>
      </c>
    </row>
    <row r="49" spans="1:18" ht="20.25" customHeight="1">
      <c r="A49" s="1381" t="s">
        <v>2398</v>
      </c>
      <c r="B49" s="1382" t="s">
        <v>2223</v>
      </c>
      <c r="C49" s="1383">
        <v>0</v>
      </c>
      <c r="D49" s="1383">
        <v>15</v>
      </c>
      <c r="E49" s="1383">
        <v>9</v>
      </c>
      <c r="F49" s="1383">
        <v>11</v>
      </c>
      <c r="G49" s="1383">
        <v>14</v>
      </c>
      <c r="H49" s="1383">
        <v>13</v>
      </c>
      <c r="I49" s="1383">
        <v>13</v>
      </c>
      <c r="J49" s="1383">
        <v>9</v>
      </c>
      <c r="K49" s="1383">
        <v>10</v>
      </c>
      <c r="L49" s="1383">
        <v>14</v>
      </c>
      <c r="M49" s="1383">
        <v>11</v>
      </c>
      <c r="N49" s="1383">
        <v>16</v>
      </c>
      <c r="O49" s="1383">
        <v>17</v>
      </c>
      <c r="P49" s="1383">
        <v>12</v>
      </c>
      <c r="Q49" s="1383">
        <v>7</v>
      </c>
      <c r="R49" s="1384">
        <v>171</v>
      </c>
    </row>
    <row r="50" spans="1:18" ht="20.25" customHeight="1">
      <c r="A50" s="1381" t="s">
        <v>2399</v>
      </c>
      <c r="B50" s="1382" t="s">
        <v>2341</v>
      </c>
      <c r="C50" s="1383">
        <v>0</v>
      </c>
      <c r="D50" s="1383">
        <v>22</v>
      </c>
      <c r="E50" s="1383">
        <v>14</v>
      </c>
      <c r="F50" s="1383">
        <v>22</v>
      </c>
      <c r="G50" s="1383">
        <v>23</v>
      </c>
      <c r="H50" s="1383">
        <v>33</v>
      </c>
      <c r="I50" s="1383">
        <v>26</v>
      </c>
      <c r="J50" s="1383">
        <v>20</v>
      </c>
      <c r="K50" s="1383">
        <v>24</v>
      </c>
      <c r="L50" s="1383">
        <v>19</v>
      </c>
      <c r="M50" s="1383">
        <v>27</v>
      </c>
      <c r="N50" s="1383">
        <v>28</v>
      </c>
      <c r="O50" s="1383">
        <v>16</v>
      </c>
      <c r="P50" s="1383">
        <v>0</v>
      </c>
      <c r="Q50" s="1383">
        <v>0</v>
      </c>
      <c r="R50" s="1384">
        <v>274</v>
      </c>
    </row>
    <row r="51" spans="1:18" ht="20.25" customHeight="1">
      <c r="A51" s="1381" t="s">
        <v>2400</v>
      </c>
      <c r="B51" s="1382" t="s">
        <v>2401</v>
      </c>
      <c r="C51" s="1383">
        <v>0</v>
      </c>
      <c r="D51" s="1383">
        <v>9</v>
      </c>
      <c r="E51" s="1383">
        <v>15</v>
      </c>
      <c r="F51" s="1383">
        <v>9</v>
      </c>
      <c r="G51" s="1383">
        <v>12</v>
      </c>
      <c r="H51" s="1383">
        <v>10</v>
      </c>
      <c r="I51" s="1383">
        <v>12</v>
      </c>
      <c r="J51" s="1383">
        <v>6</v>
      </c>
      <c r="K51" s="1383">
        <v>3</v>
      </c>
      <c r="L51" s="1383">
        <v>8</v>
      </c>
      <c r="M51" s="1383">
        <v>11</v>
      </c>
      <c r="N51" s="1383">
        <v>8</v>
      </c>
      <c r="O51" s="1383">
        <v>0</v>
      </c>
      <c r="P51" s="1383">
        <v>0</v>
      </c>
      <c r="Q51" s="1383">
        <v>0</v>
      </c>
      <c r="R51" s="1384">
        <v>103</v>
      </c>
    </row>
    <row r="52" spans="1:18" ht="20.25" customHeight="1">
      <c r="A52" s="1393" t="s">
        <v>2402</v>
      </c>
      <c r="B52" s="1402" t="s">
        <v>2403</v>
      </c>
      <c r="C52" s="1394">
        <v>0</v>
      </c>
      <c r="D52" s="1394">
        <v>22</v>
      </c>
      <c r="E52" s="1394">
        <v>12</v>
      </c>
      <c r="F52" s="1394">
        <v>21</v>
      </c>
      <c r="G52" s="1394">
        <v>25</v>
      </c>
      <c r="H52" s="1394">
        <v>31</v>
      </c>
      <c r="I52" s="1394">
        <v>22</v>
      </c>
      <c r="J52" s="1394">
        <v>19</v>
      </c>
      <c r="K52" s="1394">
        <v>13</v>
      </c>
      <c r="L52" s="1394">
        <v>26</v>
      </c>
      <c r="M52" s="1394">
        <v>28</v>
      </c>
      <c r="N52" s="1394">
        <v>26</v>
      </c>
      <c r="O52" s="1394">
        <v>22</v>
      </c>
      <c r="P52" s="1394">
        <v>18</v>
      </c>
      <c r="Q52" s="1394">
        <v>17</v>
      </c>
      <c r="R52" s="1403">
        <v>302</v>
      </c>
    </row>
    <row r="53" spans="1:18" ht="20.25" customHeight="1" thickBot="1">
      <c r="A53" s="367" t="s">
        <v>2247</v>
      </c>
      <c r="B53" s="367" t="s">
        <v>2404</v>
      </c>
      <c r="C53" s="368">
        <v>0</v>
      </c>
      <c r="D53" s="368">
        <v>231</v>
      </c>
      <c r="E53" s="368">
        <v>229</v>
      </c>
      <c r="F53" s="368">
        <v>239</v>
      </c>
      <c r="G53" s="368">
        <v>271</v>
      </c>
      <c r="H53" s="368">
        <v>262</v>
      </c>
      <c r="I53" s="368">
        <v>255</v>
      </c>
      <c r="J53" s="368">
        <v>229</v>
      </c>
      <c r="K53" s="368">
        <v>217</v>
      </c>
      <c r="L53" s="368">
        <v>282</v>
      </c>
      <c r="M53" s="368">
        <v>252</v>
      </c>
      <c r="N53" s="368">
        <v>262</v>
      </c>
      <c r="O53" s="368">
        <v>217</v>
      </c>
      <c r="P53" s="368">
        <v>210</v>
      </c>
      <c r="Q53" s="368">
        <v>132</v>
      </c>
      <c r="R53" s="368">
        <v>3288</v>
      </c>
    </row>
    <row r="54" spans="1:18" ht="8.25" customHeight="1">
      <c r="A54" s="366"/>
      <c r="B54" s="366"/>
      <c r="C54" s="349"/>
      <c r="D54" s="349"/>
      <c r="E54" s="349"/>
      <c r="F54" s="349"/>
      <c r="G54" s="349"/>
      <c r="H54" s="349"/>
      <c r="I54" s="349"/>
      <c r="J54" s="349"/>
      <c r="K54" s="349"/>
      <c r="L54" s="349"/>
      <c r="M54" s="349"/>
      <c r="N54" s="349"/>
      <c r="O54" s="349"/>
      <c r="P54" s="349"/>
      <c r="Q54" s="349"/>
      <c r="R54" s="349"/>
    </row>
    <row r="55" spans="1:18" ht="20.25" customHeight="1">
      <c r="A55" s="366" t="s">
        <v>2262</v>
      </c>
      <c r="B55" s="366" t="s">
        <v>2405</v>
      </c>
      <c r="C55" s="349">
        <v>0</v>
      </c>
      <c r="D55" s="349">
        <v>431</v>
      </c>
      <c r="E55" s="349">
        <v>511</v>
      </c>
      <c r="F55" s="349">
        <v>527</v>
      </c>
      <c r="G55" s="349">
        <v>569</v>
      </c>
      <c r="H55" s="349">
        <v>562</v>
      </c>
      <c r="I55" s="349">
        <v>535</v>
      </c>
      <c r="J55" s="349">
        <v>489</v>
      </c>
      <c r="K55" s="349">
        <v>475</v>
      </c>
      <c r="L55" s="349">
        <v>487</v>
      </c>
      <c r="M55" s="349">
        <v>439</v>
      </c>
      <c r="N55" s="349">
        <v>510</v>
      </c>
      <c r="O55" s="349">
        <v>419</v>
      </c>
      <c r="P55" s="349">
        <v>400</v>
      </c>
      <c r="Q55" s="349">
        <v>304</v>
      </c>
      <c r="R55" s="349">
        <v>6658</v>
      </c>
    </row>
    <row r="58" spans="1:18">
      <c r="A58" s="39" t="s">
        <v>2406</v>
      </c>
    </row>
  </sheetData>
  <mergeCells count="4">
    <mergeCell ref="A1:R1"/>
    <mergeCell ref="A2:R2"/>
    <mergeCell ref="A4:R4"/>
    <mergeCell ref="A42:R42"/>
  </mergeCells>
  <hyperlinks>
    <hyperlink ref="A1:R1" r:id="rId1" display="SCHOOL DIVISION ENROLMENT" xr:uid="{00000000-0004-0000-4500-000000000000}"/>
  </hyperlinks>
  <printOptions horizontalCentered="1"/>
  <pageMargins left="0.59739583333333335" right="0.23622047244094491" top="0.51181102362204722" bottom="0.39370078740157483" header="0" footer="0.39370078740157483"/>
  <pageSetup scale="74" orientation="landscape" r:id="rId2"/>
  <headerFooter alignWithMargins="0">
    <oddFooter>&amp;C&amp;"Arial Narrow,Regular"&amp;12- 11 -</oddFooter>
  </headerFooter>
  <rowBreaks count="1" manualBreakCount="1">
    <brk id="36" max="17" man="1"/>
  </row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indexed="44"/>
    <pageSetUpPr autoPageBreaks="0"/>
  </sheetPr>
  <dimension ref="A1:T40"/>
  <sheetViews>
    <sheetView showGridLines="0" showZeros="0" topLeftCell="A6" zoomScale="82" zoomScaleNormal="82" workbookViewId="0">
      <selection activeCell="N40" sqref="N40"/>
    </sheetView>
  </sheetViews>
  <sheetFormatPr baseColWidth="10" defaultColWidth="9.19921875" defaultRowHeight="13"/>
  <cols>
    <col min="1" max="1" width="40.796875" style="3" customWidth="1"/>
    <col min="2" max="2" width="20.796875" style="3" customWidth="1"/>
    <col min="3" max="8" width="6.796875" style="3" customWidth="1"/>
    <col min="9" max="9" width="9.59765625" style="3" customWidth="1"/>
    <col min="10" max="17" width="6.796875" style="3" customWidth="1"/>
    <col min="18" max="18" width="7.796875" style="11" customWidth="1"/>
    <col min="19" max="16384" width="9.19921875" style="3"/>
  </cols>
  <sheetData>
    <row r="1" spans="1:20" ht="18" customHeight="1">
      <c r="A1" s="1818" t="s">
        <v>2086</v>
      </c>
      <c r="B1" s="1818"/>
      <c r="C1" s="1818"/>
      <c r="D1" s="1818"/>
      <c r="E1" s="1818"/>
      <c r="F1" s="1818"/>
      <c r="G1" s="1818"/>
      <c r="H1" s="1818"/>
      <c r="I1" s="1818"/>
      <c r="J1" s="1818"/>
      <c r="K1" s="1818"/>
      <c r="L1" s="1818"/>
      <c r="M1" s="1818"/>
      <c r="N1" s="1818"/>
      <c r="O1" s="1818"/>
      <c r="P1" s="1818"/>
      <c r="Q1" s="1818"/>
      <c r="R1" s="1818"/>
      <c r="S1" s="11"/>
    </row>
    <row r="2" spans="1:20" ht="18" customHeight="1">
      <c r="A2" s="1810" t="s">
        <v>2407</v>
      </c>
      <c r="B2" s="1811"/>
      <c r="C2" s="1811"/>
      <c r="D2" s="1811"/>
      <c r="E2" s="1811"/>
      <c r="F2" s="1811"/>
      <c r="G2" s="1811"/>
      <c r="H2" s="1811"/>
      <c r="I2" s="1811"/>
      <c r="J2" s="1811"/>
      <c r="K2" s="1811"/>
      <c r="L2" s="1811"/>
      <c r="M2" s="1811"/>
      <c r="N2" s="1811"/>
      <c r="O2" s="1811"/>
      <c r="P2" s="1811"/>
      <c r="Q2" s="1811"/>
      <c r="R2" s="1811"/>
      <c r="S2" s="11"/>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9" t="s">
        <v>2135</v>
      </c>
      <c r="B4" s="1820"/>
      <c r="C4" s="1820"/>
      <c r="D4" s="1820"/>
      <c r="E4" s="1820"/>
      <c r="F4" s="1820"/>
      <c r="G4" s="1820"/>
      <c r="H4" s="1820"/>
      <c r="I4" s="1820"/>
      <c r="J4" s="1820"/>
      <c r="K4" s="1820"/>
      <c r="L4" s="1820"/>
      <c r="M4" s="1820"/>
      <c r="N4" s="1820"/>
      <c r="O4" s="1820"/>
      <c r="P4" s="1820"/>
      <c r="Q4" s="1820"/>
      <c r="R4" s="1821"/>
    </row>
    <row r="5" spans="1:20" ht="20.25" customHeight="1">
      <c r="A5" s="1404" t="s">
        <v>2138</v>
      </c>
      <c r="B5" s="1404" t="s">
        <v>2139</v>
      </c>
      <c r="C5" s="1405" t="s">
        <v>2129</v>
      </c>
      <c r="D5" s="1405" t="s">
        <v>2130</v>
      </c>
      <c r="E5" s="1405" t="s">
        <v>2131</v>
      </c>
      <c r="F5" s="1406" t="s">
        <v>1559</v>
      </c>
      <c r="G5" s="1406" t="s">
        <v>1560</v>
      </c>
      <c r="H5" s="1406" t="s">
        <v>1561</v>
      </c>
      <c r="I5" s="1406" t="s">
        <v>1562</v>
      </c>
      <c r="J5" s="1406" t="s">
        <v>1547</v>
      </c>
      <c r="K5" s="1406" t="s">
        <v>1548</v>
      </c>
      <c r="L5" s="1406" t="s">
        <v>1549</v>
      </c>
      <c r="M5" s="1406" t="s">
        <v>1550</v>
      </c>
      <c r="N5" s="1406" t="s">
        <v>1551</v>
      </c>
      <c r="O5" s="1406" t="s">
        <v>1552</v>
      </c>
      <c r="P5" s="1406" t="s">
        <v>1553</v>
      </c>
      <c r="Q5" s="1406" t="s">
        <v>1554</v>
      </c>
      <c r="R5" s="1405" t="s">
        <v>322</v>
      </c>
    </row>
    <row r="6" spans="1:20" ht="19.25" customHeight="1">
      <c r="A6" s="1407" t="s">
        <v>2146</v>
      </c>
      <c r="B6" s="1408" t="s">
        <v>2147</v>
      </c>
      <c r="C6" s="1409">
        <v>0</v>
      </c>
      <c r="D6" s="1409">
        <v>16</v>
      </c>
      <c r="E6" s="1409">
        <v>12</v>
      </c>
      <c r="F6" s="1409">
        <v>16</v>
      </c>
      <c r="G6" s="1409">
        <v>11</v>
      </c>
      <c r="H6" s="1409">
        <v>9</v>
      </c>
      <c r="I6" s="1409">
        <v>13</v>
      </c>
      <c r="J6" s="1409">
        <v>12</v>
      </c>
      <c r="K6" s="1409">
        <v>12</v>
      </c>
      <c r="L6" s="1409">
        <v>10</v>
      </c>
      <c r="M6" s="1409">
        <v>8</v>
      </c>
      <c r="N6" s="1409">
        <v>18</v>
      </c>
      <c r="O6" s="1409">
        <v>5</v>
      </c>
      <c r="P6" s="1409">
        <v>0</v>
      </c>
      <c r="Q6" s="1409">
        <v>1</v>
      </c>
      <c r="R6" s="1410">
        <v>143</v>
      </c>
    </row>
    <row r="7" spans="1:20" ht="19.25" customHeight="1">
      <c r="A7" s="1407" t="s">
        <v>2150</v>
      </c>
      <c r="B7" s="1408" t="s">
        <v>2151</v>
      </c>
      <c r="C7" s="1409">
        <v>0</v>
      </c>
      <c r="D7" s="1409">
        <v>0</v>
      </c>
      <c r="E7" s="1409">
        <v>0</v>
      </c>
      <c r="F7" s="1409">
        <v>2</v>
      </c>
      <c r="G7" s="1409">
        <v>3</v>
      </c>
      <c r="H7" s="1409">
        <v>4</v>
      </c>
      <c r="I7" s="1409">
        <v>5</v>
      </c>
      <c r="J7" s="1409">
        <v>3</v>
      </c>
      <c r="K7" s="1409">
        <v>3</v>
      </c>
      <c r="L7" s="1409">
        <v>2</v>
      </c>
      <c r="M7" s="1409">
        <v>2</v>
      </c>
      <c r="N7" s="1409">
        <v>0</v>
      </c>
      <c r="O7" s="1409">
        <v>0</v>
      </c>
      <c r="P7" s="1409">
        <v>0</v>
      </c>
      <c r="Q7" s="1409">
        <v>0</v>
      </c>
      <c r="R7" s="1410">
        <v>24</v>
      </c>
    </row>
    <row r="8" spans="1:20" ht="19.25" customHeight="1">
      <c r="A8" s="1407" t="s">
        <v>2154</v>
      </c>
      <c r="B8" s="1408" t="s">
        <v>2155</v>
      </c>
      <c r="C8" s="1409">
        <v>0</v>
      </c>
      <c r="D8" s="1409">
        <v>6</v>
      </c>
      <c r="E8" s="1409">
        <v>4</v>
      </c>
      <c r="F8" s="1409">
        <v>5</v>
      </c>
      <c r="G8" s="1409">
        <v>13</v>
      </c>
      <c r="H8" s="1409">
        <v>4</v>
      </c>
      <c r="I8" s="1409">
        <v>7</v>
      </c>
      <c r="J8" s="1409">
        <v>10</v>
      </c>
      <c r="K8" s="1409">
        <v>4</v>
      </c>
      <c r="L8" s="1409">
        <v>8</v>
      </c>
      <c r="M8" s="1409">
        <v>6</v>
      </c>
      <c r="N8" s="1409">
        <v>5</v>
      </c>
      <c r="O8" s="1409">
        <v>10</v>
      </c>
      <c r="P8" s="1409">
        <v>0</v>
      </c>
      <c r="Q8" s="1409">
        <v>3</v>
      </c>
      <c r="R8" s="1410">
        <v>85</v>
      </c>
    </row>
    <row r="9" spans="1:20" ht="19.25" customHeight="1">
      <c r="A9" s="1407" t="s">
        <v>2159</v>
      </c>
      <c r="B9" s="1408" t="s">
        <v>2160</v>
      </c>
      <c r="C9" s="1409">
        <v>0</v>
      </c>
      <c r="D9" s="1409">
        <v>10</v>
      </c>
      <c r="E9" s="1409">
        <v>7</v>
      </c>
      <c r="F9" s="1409">
        <v>8</v>
      </c>
      <c r="G9" s="1409">
        <v>10</v>
      </c>
      <c r="H9" s="1409">
        <v>12</v>
      </c>
      <c r="I9" s="1409">
        <v>7</v>
      </c>
      <c r="J9" s="1409">
        <v>7</v>
      </c>
      <c r="K9" s="1409">
        <v>7</v>
      </c>
      <c r="L9" s="1409">
        <v>8</v>
      </c>
      <c r="M9" s="1409">
        <v>9</v>
      </c>
      <c r="N9" s="1409">
        <v>0</v>
      </c>
      <c r="O9" s="1409">
        <v>0</v>
      </c>
      <c r="P9" s="1409">
        <v>0</v>
      </c>
      <c r="Q9" s="1409">
        <v>0</v>
      </c>
      <c r="R9" s="1410">
        <v>85</v>
      </c>
    </row>
    <row r="10" spans="1:20" ht="19.25" customHeight="1">
      <c r="A10" s="1407" t="s">
        <v>2163</v>
      </c>
      <c r="B10" s="1408" t="s">
        <v>2164</v>
      </c>
      <c r="C10" s="1409">
        <v>1</v>
      </c>
      <c r="D10" s="1409">
        <v>7</v>
      </c>
      <c r="E10" s="1409">
        <v>8</v>
      </c>
      <c r="F10" s="1409">
        <v>13</v>
      </c>
      <c r="G10" s="1409">
        <v>14</v>
      </c>
      <c r="H10" s="1409">
        <v>16</v>
      </c>
      <c r="I10" s="1409">
        <v>17</v>
      </c>
      <c r="J10" s="1409">
        <v>15</v>
      </c>
      <c r="K10" s="1409">
        <v>3</v>
      </c>
      <c r="L10" s="1409">
        <v>10</v>
      </c>
      <c r="M10" s="1409">
        <v>6</v>
      </c>
      <c r="N10" s="1409">
        <v>4</v>
      </c>
      <c r="O10" s="1409">
        <v>1</v>
      </c>
      <c r="P10" s="1409">
        <v>0</v>
      </c>
      <c r="Q10" s="1409">
        <v>0</v>
      </c>
      <c r="R10" s="1410">
        <v>115</v>
      </c>
    </row>
    <row r="11" spans="1:20" ht="19.25" customHeight="1">
      <c r="A11" s="1407" t="s">
        <v>2167</v>
      </c>
      <c r="B11" s="1408" t="s">
        <v>2168</v>
      </c>
      <c r="C11" s="1409">
        <v>0</v>
      </c>
      <c r="D11" s="1409">
        <v>7</v>
      </c>
      <c r="E11" s="1409">
        <v>11</v>
      </c>
      <c r="F11" s="1409">
        <v>11</v>
      </c>
      <c r="G11" s="1409">
        <v>11</v>
      </c>
      <c r="H11" s="1409">
        <v>16</v>
      </c>
      <c r="I11" s="1409">
        <v>12</v>
      </c>
      <c r="J11" s="1409">
        <v>4</v>
      </c>
      <c r="K11" s="1409">
        <v>7</v>
      </c>
      <c r="L11" s="1409">
        <v>6</v>
      </c>
      <c r="M11" s="1409">
        <v>8</v>
      </c>
      <c r="N11" s="1409">
        <v>4</v>
      </c>
      <c r="O11" s="1409">
        <v>0</v>
      </c>
      <c r="P11" s="1409">
        <v>0</v>
      </c>
      <c r="Q11" s="1409">
        <v>0</v>
      </c>
      <c r="R11" s="1410">
        <v>97</v>
      </c>
    </row>
    <row r="12" spans="1:20" ht="19.25" customHeight="1">
      <c r="A12" s="1407" t="s">
        <v>2171</v>
      </c>
      <c r="B12" s="1408" t="s">
        <v>2172</v>
      </c>
      <c r="C12" s="1409">
        <v>0</v>
      </c>
      <c r="D12" s="1409">
        <v>8</v>
      </c>
      <c r="E12" s="1409">
        <v>11</v>
      </c>
      <c r="F12" s="1409">
        <v>13</v>
      </c>
      <c r="G12" s="1409">
        <v>16</v>
      </c>
      <c r="H12" s="1409">
        <v>10</v>
      </c>
      <c r="I12" s="1409">
        <v>12</v>
      </c>
      <c r="J12" s="1409">
        <v>14</v>
      </c>
      <c r="K12" s="1409">
        <v>15</v>
      </c>
      <c r="L12" s="1409">
        <v>18</v>
      </c>
      <c r="M12" s="1409">
        <v>6</v>
      </c>
      <c r="N12" s="1409">
        <v>11</v>
      </c>
      <c r="O12" s="1409">
        <v>15</v>
      </c>
      <c r="P12" s="1409">
        <v>21</v>
      </c>
      <c r="Q12" s="1409">
        <v>9</v>
      </c>
      <c r="R12" s="1410">
        <v>179</v>
      </c>
    </row>
    <row r="13" spans="1:20" ht="19.25" customHeight="1">
      <c r="A13" s="1407" t="s">
        <v>2175</v>
      </c>
      <c r="B13" s="1408" t="s">
        <v>2176</v>
      </c>
      <c r="C13" s="1409">
        <v>0</v>
      </c>
      <c r="D13" s="1409">
        <v>4</v>
      </c>
      <c r="E13" s="1409">
        <v>7</v>
      </c>
      <c r="F13" s="1409">
        <v>3</v>
      </c>
      <c r="G13" s="1409">
        <v>6</v>
      </c>
      <c r="H13" s="1409">
        <v>2</v>
      </c>
      <c r="I13" s="1409">
        <v>3</v>
      </c>
      <c r="J13" s="1409">
        <v>5</v>
      </c>
      <c r="K13" s="1409">
        <v>2</v>
      </c>
      <c r="L13" s="1409">
        <v>0</v>
      </c>
      <c r="M13" s="1409">
        <v>3</v>
      </c>
      <c r="N13" s="1409">
        <v>1</v>
      </c>
      <c r="O13" s="1409">
        <v>5</v>
      </c>
      <c r="P13" s="1409">
        <v>0</v>
      </c>
      <c r="Q13" s="1409">
        <v>0</v>
      </c>
      <c r="R13" s="1410">
        <v>41</v>
      </c>
    </row>
    <row r="14" spans="1:20" ht="19.25" customHeight="1">
      <c r="A14" s="1407" t="s">
        <v>2386</v>
      </c>
      <c r="B14" s="1408" t="s">
        <v>2160</v>
      </c>
      <c r="C14" s="1409">
        <v>0</v>
      </c>
      <c r="D14" s="1409">
        <v>0</v>
      </c>
      <c r="E14" s="1409">
        <v>0</v>
      </c>
      <c r="F14" s="1409">
        <v>0</v>
      </c>
      <c r="G14" s="1409">
        <v>0</v>
      </c>
      <c r="H14" s="1409">
        <v>0</v>
      </c>
      <c r="I14" s="1409">
        <v>0</v>
      </c>
      <c r="J14" s="1409">
        <v>0</v>
      </c>
      <c r="K14" s="1409">
        <v>0</v>
      </c>
      <c r="L14" s="1409">
        <v>0</v>
      </c>
      <c r="M14" s="1409">
        <v>0</v>
      </c>
      <c r="N14" s="1409">
        <v>37</v>
      </c>
      <c r="O14" s="1409">
        <v>93</v>
      </c>
      <c r="P14" s="1409">
        <v>68</v>
      </c>
      <c r="Q14" s="1409">
        <v>70</v>
      </c>
      <c r="R14" s="1410">
        <v>268</v>
      </c>
    </row>
    <row r="15" spans="1:20" ht="19.25" customHeight="1">
      <c r="A15" s="1407" t="s">
        <v>2182</v>
      </c>
      <c r="B15" s="1408" t="s">
        <v>1095</v>
      </c>
      <c r="C15" s="1409">
        <v>0</v>
      </c>
      <c r="D15" s="1409">
        <v>23</v>
      </c>
      <c r="E15" s="1409">
        <v>19</v>
      </c>
      <c r="F15" s="1409">
        <v>24</v>
      </c>
      <c r="G15" s="1409">
        <v>25</v>
      </c>
      <c r="H15" s="1409">
        <v>20</v>
      </c>
      <c r="I15" s="1409">
        <v>31</v>
      </c>
      <c r="J15" s="1409">
        <v>24</v>
      </c>
      <c r="K15" s="1409">
        <v>28</v>
      </c>
      <c r="L15" s="1409">
        <v>20</v>
      </c>
      <c r="M15" s="1409">
        <v>24</v>
      </c>
      <c r="N15" s="1409">
        <v>23</v>
      </c>
      <c r="O15" s="1409">
        <v>14</v>
      </c>
      <c r="P15" s="1409">
        <v>23</v>
      </c>
      <c r="Q15" s="1409">
        <v>14</v>
      </c>
      <c r="R15" s="1410">
        <v>312</v>
      </c>
    </row>
    <row r="16" spans="1:20" ht="19.25" customHeight="1">
      <c r="A16" s="1407" t="s">
        <v>2185</v>
      </c>
      <c r="B16" s="1408" t="s">
        <v>2186</v>
      </c>
      <c r="C16" s="1409">
        <v>0</v>
      </c>
      <c r="D16" s="1409">
        <v>38</v>
      </c>
      <c r="E16" s="1409">
        <v>34</v>
      </c>
      <c r="F16" s="1409">
        <v>39</v>
      </c>
      <c r="G16" s="1409">
        <v>27</v>
      </c>
      <c r="H16" s="1409">
        <v>35</v>
      </c>
      <c r="I16" s="1409">
        <v>30</v>
      </c>
      <c r="J16" s="1409">
        <v>28</v>
      </c>
      <c r="K16" s="1409">
        <v>25</v>
      </c>
      <c r="L16" s="1409">
        <v>20</v>
      </c>
      <c r="M16" s="1409">
        <v>24</v>
      </c>
      <c r="N16" s="1409">
        <v>24</v>
      </c>
      <c r="O16" s="1409">
        <v>23</v>
      </c>
      <c r="P16" s="1409">
        <v>19</v>
      </c>
      <c r="Q16" s="1409">
        <v>19</v>
      </c>
      <c r="R16" s="1410">
        <v>385</v>
      </c>
    </row>
    <row r="17" spans="1:18" ht="19.25" customHeight="1">
      <c r="A17" s="1407" t="s">
        <v>2188</v>
      </c>
      <c r="B17" s="1408" t="s">
        <v>1414</v>
      </c>
      <c r="C17" s="1409">
        <v>0</v>
      </c>
      <c r="D17" s="1409">
        <v>5</v>
      </c>
      <c r="E17" s="1409">
        <v>4</v>
      </c>
      <c r="F17" s="1409">
        <v>5</v>
      </c>
      <c r="G17" s="1409">
        <v>4</v>
      </c>
      <c r="H17" s="1409">
        <v>6</v>
      </c>
      <c r="I17" s="1409">
        <v>10</v>
      </c>
      <c r="J17" s="1409">
        <v>4</v>
      </c>
      <c r="K17" s="1409">
        <v>7</v>
      </c>
      <c r="L17" s="1409">
        <v>6</v>
      </c>
      <c r="M17" s="1409">
        <v>6</v>
      </c>
      <c r="N17" s="1409">
        <v>0</v>
      </c>
      <c r="O17" s="1409">
        <v>0</v>
      </c>
      <c r="P17" s="1409">
        <v>0</v>
      </c>
      <c r="Q17" s="1409">
        <v>0</v>
      </c>
      <c r="R17" s="1410">
        <v>57</v>
      </c>
    </row>
    <row r="18" spans="1:18" ht="19.25" customHeight="1">
      <c r="A18" s="1407" t="s">
        <v>2191</v>
      </c>
      <c r="B18" s="1408" t="s">
        <v>2192</v>
      </c>
      <c r="C18" s="1409">
        <v>0</v>
      </c>
      <c r="D18" s="1409">
        <v>55</v>
      </c>
      <c r="E18" s="1409">
        <v>40</v>
      </c>
      <c r="F18" s="1409">
        <v>58</v>
      </c>
      <c r="G18" s="1409">
        <v>48</v>
      </c>
      <c r="H18" s="1409">
        <v>57</v>
      </c>
      <c r="I18" s="1409">
        <v>44</v>
      </c>
      <c r="J18" s="1409">
        <v>49</v>
      </c>
      <c r="K18" s="1409">
        <v>38</v>
      </c>
      <c r="L18" s="1409">
        <v>0</v>
      </c>
      <c r="M18" s="1409">
        <v>0</v>
      </c>
      <c r="N18" s="1409">
        <v>0</v>
      </c>
      <c r="O18" s="1409">
        <v>0</v>
      </c>
      <c r="P18" s="1409">
        <v>0</v>
      </c>
      <c r="Q18" s="1409">
        <v>0</v>
      </c>
      <c r="R18" s="1410">
        <v>389</v>
      </c>
    </row>
    <row r="19" spans="1:18" ht="19.25" customHeight="1">
      <c r="A19" s="1407" t="s">
        <v>2195</v>
      </c>
      <c r="B19" s="1408" t="s">
        <v>2196</v>
      </c>
      <c r="C19" s="1409">
        <v>0</v>
      </c>
      <c r="D19" s="1409">
        <v>19</v>
      </c>
      <c r="E19" s="1409">
        <v>13</v>
      </c>
      <c r="F19" s="1409">
        <v>13</v>
      </c>
      <c r="G19" s="1409">
        <v>15</v>
      </c>
      <c r="H19" s="1409">
        <v>9</v>
      </c>
      <c r="I19" s="1409">
        <v>12</v>
      </c>
      <c r="J19" s="1409">
        <v>7</v>
      </c>
      <c r="K19" s="1409">
        <v>10</v>
      </c>
      <c r="L19" s="1409">
        <v>11</v>
      </c>
      <c r="M19" s="1409">
        <v>3</v>
      </c>
      <c r="N19" s="1409">
        <v>8</v>
      </c>
      <c r="O19" s="1409">
        <v>18</v>
      </c>
      <c r="P19" s="1409">
        <v>5</v>
      </c>
      <c r="Q19" s="1409">
        <v>12</v>
      </c>
      <c r="R19" s="1410">
        <v>155</v>
      </c>
    </row>
    <row r="20" spans="1:18" ht="19.25" customHeight="1">
      <c r="A20" s="1407" t="s">
        <v>2198</v>
      </c>
      <c r="B20" s="1408" t="s">
        <v>2199</v>
      </c>
      <c r="C20" s="1409">
        <v>0</v>
      </c>
      <c r="D20" s="1409">
        <v>3</v>
      </c>
      <c r="E20" s="1409">
        <v>3</v>
      </c>
      <c r="F20" s="1409">
        <v>2</v>
      </c>
      <c r="G20" s="1409">
        <v>9</v>
      </c>
      <c r="H20" s="1409">
        <v>4</v>
      </c>
      <c r="I20" s="1409">
        <v>4</v>
      </c>
      <c r="J20" s="1409">
        <v>3</v>
      </c>
      <c r="K20" s="1409">
        <v>2</v>
      </c>
      <c r="L20" s="1409">
        <v>5</v>
      </c>
      <c r="M20" s="1409">
        <v>3</v>
      </c>
      <c r="N20" s="1409">
        <v>0</v>
      </c>
      <c r="O20" s="1409">
        <v>0</v>
      </c>
      <c r="P20" s="1409">
        <v>0</v>
      </c>
      <c r="Q20" s="1409">
        <v>0</v>
      </c>
      <c r="R20" s="1410">
        <v>38</v>
      </c>
    </row>
    <row r="21" spans="1:18" ht="19.25" customHeight="1">
      <c r="A21" s="1407" t="s">
        <v>2202</v>
      </c>
      <c r="B21" s="1408" t="s">
        <v>2203</v>
      </c>
      <c r="C21" s="1409">
        <v>0</v>
      </c>
      <c r="D21" s="1409">
        <v>3</v>
      </c>
      <c r="E21" s="1409">
        <v>2</v>
      </c>
      <c r="F21" s="1409">
        <v>2</v>
      </c>
      <c r="G21" s="1409">
        <v>3</v>
      </c>
      <c r="H21" s="1409">
        <v>5</v>
      </c>
      <c r="I21" s="1409">
        <v>5</v>
      </c>
      <c r="J21" s="1409">
        <v>1</v>
      </c>
      <c r="K21" s="1409">
        <v>4</v>
      </c>
      <c r="L21" s="1409">
        <v>1</v>
      </c>
      <c r="M21" s="1409">
        <v>3</v>
      </c>
      <c r="N21" s="1409">
        <v>0</v>
      </c>
      <c r="O21" s="1409">
        <v>0</v>
      </c>
      <c r="P21" s="1409">
        <v>0</v>
      </c>
      <c r="Q21" s="1409">
        <v>0</v>
      </c>
      <c r="R21" s="1410">
        <v>29</v>
      </c>
    </row>
    <row r="22" spans="1:18" ht="19.25" customHeight="1">
      <c r="A22" s="1407" t="s">
        <v>2206</v>
      </c>
      <c r="B22" s="1408" t="s">
        <v>2207</v>
      </c>
      <c r="C22" s="1409">
        <v>0</v>
      </c>
      <c r="D22" s="1409">
        <v>9</v>
      </c>
      <c r="E22" s="1409">
        <v>7</v>
      </c>
      <c r="F22" s="1409">
        <v>14</v>
      </c>
      <c r="G22" s="1409">
        <v>16</v>
      </c>
      <c r="H22" s="1409">
        <v>9</v>
      </c>
      <c r="I22" s="1409">
        <v>21</v>
      </c>
      <c r="J22" s="1409">
        <v>11</v>
      </c>
      <c r="K22" s="1409">
        <v>5</v>
      </c>
      <c r="L22" s="1409">
        <v>20</v>
      </c>
      <c r="M22" s="1409">
        <v>21</v>
      </c>
      <c r="N22" s="1409">
        <v>21</v>
      </c>
      <c r="O22" s="1409">
        <v>8</v>
      </c>
      <c r="P22" s="1409">
        <v>5</v>
      </c>
      <c r="Q22" s="1409">
        <v>2</v>
      </c>
      <c r="R22" s="1410">
        <v>169</v>
      </c>
    </row>
    <row r="23" spans="1:18" ht="19.25" customHeight="1">
      <c r="A23" s="1407" t="s">
        <v>2209</v>
      </c>
      <c r="B23" s="1408" t="s">
        <v>2210</v>
      </c>
      <c r="C23" s="1409">
        <v>0</v>
      </c>
      <c r="D23" s="1409">
        <v>2</v>
      </c>
      <c r="E23" s="1409">
        <v>1</v>
      </c>
      <c r="F23" s="1409">
        <v>2</v>
      </c>
      <c r="G23" s="1409">
        <v>3</v>
      </c>
      <c r="H23" s="1409">
        <v>2</v>
      </c>
      <c r="I23" s="1409">
        <v>2</v>
      </c>
      <c r="J23" s="1409">
        <v>1</v>
      </c>
      <c r="K23" s="1409">
        <v>4</v>
      </c>
      <c r="L23" s="1409">
        <v>4</v>
      </c>
      <c r="M23" s="1409">
        <v>2</v>
      </c>
      <c r="N23" s="1409">
        <v>0</v>
      </c>
      <c r="O23" s="1409">
        <v>0</v>
      </c>
      <c r="P23" s="1409">
        <v>0</v>
      </c>
      <c r="Q23" s="1409">
        <v>0</v>
      </c>
      <c r="R23" s="1410">
        <v>23</v>
      </c>
    </row>
    <row r="24" spans="1:18" ht="19.25" customHeight="1">
      <c r="A24" s="1407" t="s">
        <v>2212</v>
      </c>
      <c r="B24" s="1408" t="s">
        <v>2213</v>
      </c>
      <c r="C24" s="1409">
        <v>0</v>
      </c>
      <c r="D24" s="1409">
        <v>4</v>
      </c>
      <c r="E24" s="1409">
        <v>9</v>
      </c>
      <c r="F24" s="1409">
        <v>5</v>
      </c>
      <c r="G24" s="1409">
        <v>10</v>
      </c>
      <c r="H24" s="1409">
        <v>11</v>
      </c>
      <c r="I24" s="1409">
        <v>14</v>
      </c>
      <c r="J24" s="1409">
        <v>9</v>
      </c>
      <c r="K24" s="1409">
        <v>6</v>
      </c>
      <c r="L24" s="1409">
        <v>12</v>
      </c>
      <c r="M24" s="1409">
        <v>9</v>
      </c>
      <c r="N24" s="1409">
        <v>8</v>
      </c>
      <c r="O24" s="1409">
        <v>9</v>
      </c>
      <c r="P24" s="1409">
        <v>10</v>
      </c>
      <c r="Q24" s="1409">
        <v>8</v>
      </c>
      <c r="R24" s="1410">
        <v>124</v>
      </c>
    </row>
    <row r="25" spans="1:18" ht="19.25" customHeight="1">
      <c r="A25" s="1407" t="s">
        <v>2216</v>
      </c>
      <c r="B25" s="1408" t="s">
        <v>2217</v>
      </c>
      <c r="C25" s="1409">
        <v>0</v>
      </c>
      <c r="D25" s="1409">
        <v>2</v>
      </c>
      <c r="E25" s="1409">
        <v>1</v>
      </c>
      <c r="F25" s="1409">
        <v>4</v>
      </c>
      <c r="G25" s="1409">
        <v>1</v>
      </c>
      <c r="H25" s="1409">
        <v>1</v>
      </c>
      <c r="I25" s="1409">
        <v>3</v>
      </c>
      <c r="J25" s="1409">
        <v>1</v>
      </c>
      <c r="K25" s="1409">
        <v>0</v>
      </c>
      <c r="L25" s="1409">
        <v>1</v>
      </c>
      <c r="M25" s="1409">
        <v>2</v>
      </c>
      <c r="N25" s="1409">
        <v>0</v>
      </c>
      <c r="O25" s="1409">
        <v>2</v>
      </c>
      <c r="P25" s="1409">
        <v>0</v>
      </c>
      <c r="Q25" s="1409">
        <v>0</v>
      </c>
      <c r="R25" s="1410">
        <v>18</v>
      </c>
    </row>
    <row r="26" spans="1:18" ht="19.25" customHeight="1">
      <c r="A26" s="1407" t="s">
        <v>2387</v>
      </c>
      <c r="B26" s="1408" t="s">
        <v>2143</v>
      </c>
      <c r="C26" s="1409">
        <v>0</v>
      </c>
      <c r="D26" s="1409">
        <v>2</v>
      </c>
      <c r="E26" s="1409">
        <v>2</v>
      </c>
      <c r="F26" s="1409">
        <v>1</v>
      </c>
      <c r="G26" s="1409">
        <v>2</v>
      </c>
      <c r="H26" s="1409">
        <v>4</v>
      </c>
      <c r="I26" s="1409">
        <v>1</v>
      </c>
      <c r="J26" s="1409">
        <v>2</v>
      </c>
      <c r="K26" s="1409">
        <v>1</v>
      </c>
      <c r="L26" s="1409">
        <v>1</v>
      </c>
      <c r="M26" s="1409">
        <v>1</v>
      </c>
      <c r="N26" s="1409">
        <v>0</v>
      </c>
      <c r="O26" s="1409">
        <v>0</v>
      </c>
      <c r="P26" s="1409">
        <v>0</v>
      </c>
      <c r="Q26" s="1409">
        <v>0</v>
      </c>
      <c r="R26" s="1410">
        <v>17</v>
      </c>
    </row>
    <row r="27" spans="1:18" ht="19.25" customHeight="1">
      <c r="A27" s="1407" t="s">
        <v>2219</v>
      </c>
      <c r="B27" s="1408" t="s">
        <v>2220</v>
      </c>
      <c r="C27" s="1409">
        <v>0</v>
      </c>
      <c r="D27" s="1409">
        <v>0</v>
      </c>
      <c r="E27" s="1409">
        <v>0</v>
      </c>
      <c r="F27" s="1409">
        <v>0</v>
      </c>
      <c r="G27" s="1409">
        <v>0</v>
      </c>
      <c r="H27" s="1409">
        <v>0</v>
      </c>
      <c r="I27" s="1409">
        <v>0</v>
      </c>
      <c r="J27" s="1409">
        <v>0</v>
      </c>
      <c r="K27" s="1409">
        <v>1</v>
      </c>
      <c r="L27" s="1409">
        <v>0</v>
      </c>
      <c r="M27" s="1409">
        <v>1</v>
      </c>
      <c r="N27" s="1409">
        <v>2</v>
      </c>
      <c r="O27" s="1409">
        <v>0</v>
      </c>
      <c r="P27" s="1409">
        <v>1</v>
      </c>
      <c r="Q27" s="1409">
        <v>1</v>
      </c>
      <c r="R27" s="1410">
        <v>6</v>
      </c>
    </row>
    <row r="28" spans="1:18" ht="19.25" customHeight="1">
      <c r="A28" s="1407" t="s">
        <v>2222</v>
      </c>
      <c r="B28" s="1408" t="s">
        <v>2223</v>
      </c>
      <c r="C28" s="1409">
        <v>0</v>
      </c>
      <c r="D28" s="1409">
        <v>0</v>
      </c>
      <c r="E28" s="1409">
        <v>14</v>
      </c>
      <c r="F28" s="1409">
        <v>16</v>
      </c>
      <c r="G28" s="1409">
        <v>9</v>
      </c>
      <c r="H28" s="1409">
        <v>12</v>
      </c>
      <c r="I28" s="1409">
        <v>14</v>
      </c>
      <c r="J28" s="1409">
        <v>12</v>
      </c>
      <c r="K28" s="1409">
        <v>19</v>
      </c>
      <c r="L28" s="1409">
        <v>12</v>
      </c>
      <c r="M28" s="1409">
        <v>19</v>
      </c>
      <c r="N28" s="1409">
        <v>0</v>
      </c>
      <c r="O28" s="1409">
        <v>0</v>
      </c>
      <c r="P28" s="1409">
        <v>0</v>
      </c>
      <c r="Q28" s="1409">
        <v>0</v>
      </c>
      <c r="R28" s="1410">
        <v>127</v>
      </c>
    </row>
    <row r="29" spans="1:18" ht="19.25" customHeight="1">
      <c r="A29" s="1411" t="s">
        <v>2225</v>
      </c>
      <c r="B29" s="1412" t="s">
        <v>2226</v>
      </c>
      <c r="C29" s="1413">
        <v>0</v>
      </c>
      <c r="D29" s="1413">
        <v>1</v>
      </c>
      <c r="E29" s="1413">
        <v>1</v>
      </c>
      <c r="F29" s="1413">
        <v>0</v>
      </c>
      <c r="G29" s="1413">
        <v>0</v>
      </c>
      <c r="H29" s="1413">
        <v>1</v>
      </c>
      <c r="I29" s="1413">
        <v>1</v>
      </c>
      <c r="J29" s="1413">
        <v>2</v>
      </c>
      <c r="K29" s="1413">
        <v>1</v>
      </c>
      <c r="L29" s="1413">
        <v>1</v>
      </c>
      <c r="M29" s="1413">
        <v>2</v>
      </c>
      <c r="N29" s="1413">
        <v>0</v>
      </c>
      <c r="O29" s="1413">
        <v>0</v>
      </c>
      <c r="P29" s="1413">
        <v>0</v>
      </c>
      <c r="Q29" s="1413">
        <v>0</v>
      </c>
      <c r="R29" s="1414">
        <v>10</v>
      </c>
    </row>
    <row r="30" spans="1:18" ht="19.25" customHeight="1">
      <c r="A30" s="1415" t="s">
        <v>2228</v>
      </c>
      <c r="B30" s="1416" t="s">
        <v>2229</v>
      </c>
      <c r="C30" s="1417">
        <v>0</v>
      </c>
      <c r="D30" s="1417">
        <v>0</v>
      </c>
      <c r="E30" s="1417">
        <v>5</v>
      </c>
      <c r="F30" s="1417">
        <v>2</v>
      </c>
      <c r="G30" s="1417">
        <v>4</v>
      </c>
      <c r="H30" s="1417">
        <v>4</v>
      </c>
      <c r="I30" s="1417">
        <v>2</v>
      </c>
      <c r="J30" s="1417">
        <v>5</v>
      </c>
      <c r="K30" s="1417">
        <v>2</v>
      </c>
      <c r="L30" s="1417">
        <v>1</v>
      </c>
      <c r="M30" s="1417">
        <v>1</v>
      </c>
      <c r="N30" s="1417">
        <v>23</v>
      </c>
      <c r="O30" s="1417">
        <v>16</v>
      </c>
      <c r="P30" s="1417">
        <v>8</v>
      </c>
      <c r="Q30" s="1417">
        <v>15</v>
      </c>
      <c r="R30" s="1418">
        <v>88</v>
      </c>
    </row>
    <row r="31" spans="1:18" ht="19.25" customHeight="1">
      <c r="A31" s="573" t="s">
        <v>2231</v>
      </c>
      <c r="B31" s="1408" t="s">
        <v>2232</v>
      </c>
      <c r="C31" s="574">
        <v>0</v>
      </c>
      <c r="D31" s="574">
        <v>0</v>
      </c>
      <c r="E31" s="574">
        <v>0</v>
      </c>
      <c r="F31" s="574">
        <v>3</v>
      </c>
      <c r="G31" s="574">
        <v>0</v>
      </c>
      <c r="H31" s="574">
        <v>2</v>
      </c>
      <c r="I31" s="574">
        <v>1</v>
      </c>
      <c r="J31" s="574">
        <v>2</v>
      </c>
      <c r="K31" s="574">
        <v>2</v>
      </c>
      <c r="L31" s="574">
        <v>0</v>
      </c>
      <c r="M31" s="574">
        <v>2</v>
      </c>
      <c r="N31" s="574">
        <v>0</v>
      </c>
      <c r="O31" s="574">
        <v>0</v>
      </c>
      <c r="P31" s="574">
        <v>0</v>
      </c>
      <c r="Q31" s="574">
        <v>0</v>
      </c>
      <c r="R31" s="575">
        <v>12</v>
      </c>
    </row>
    <row r="32" spans="1:18" ht="19.25" customHeight="1">
      <c r="A32" s="1407" t="s">
        <v>2234</v>
      </c>
      <c r="B32" s="1408" t="s">
        <v>2235</v>
      </c>
      <c r="C32" s="1409">
        <v>0</v>
      </c>
      <c r="D32" s="1409">
        <v>2</v>
      </c>
      <c r="E32" s="1409">
        <v>1</v>
      </c>
      <c r="F32" s="1409">
        <v>2</v>
      </c>
      <c r="G32" s="1409">
        <v>2</v>
      </c>
      <c r="H32" s="1409">
        <v>2</v>
      </c>
      <c r="I32" s="1409">
        <v>1</v>
      </c>
      <c r="J32" s="1409">
        <v>3</v>
      </c>
      <c r="K32" s="1409">
        <v>0</v>
      </c>
      <c r="L32" s="1409">
        <v>0</v>
      </c>
      <c r="M32" s="1409">
        <v>4</v>
      </c>
      <c r="N32" s="1409">
        <v>0</v>
      </c>
      <c r="O32" s="1409">
        <v>0</v>
      </c>
      <c r="P32" s="1409">
        <v>0</v>
      </c>
      <c r="Q32" s="1409">
        <v>0</v>
      </c>
      <c r="R32" s="1410">
        <v>17</v>
      </c>
    </row>
    <row r="33" spans="1:18" ht="19.25" customHeight="1">
      <c r="A33" s="1407" t="s">
        <v>2237</v>
      </c>
      <c r="B33" s="1408" t="s">
        <v>2238</v>
      </c>
      <c r="C33" s="1409">
        <v>0</v>
      </c>
      <c r="D33" s="1409">
        <v>0</v>
      </c>
      <c r="E33" s="1409">
        <v>2</v>
      </c>
      <c r="F33" s="1409">
        <v>2</v>
      </c>
      <c r="G33" s="1409">
        <v>3</v>
      </c>
      <c r="H33" s="1409">
        <v>2</v>
      </c>
      <c r="I33" s="1409">
        <v>3</v>
      </c>
      <c r="J33" s="1409">
        <v>4</v>
      </c>
      <c r="K33" s="1409">
        <v>4</v>
      </c>
      <c r="L33" s="1409">
        <v>2</v>
      </c>
      <c r="M33" s="1409">
        <v>3</v>
      </c>
      <c r="N33" s="1409">
        <v>0</v>
      </c>
      <c r="O33" s="1409">
        <v>0</v>
      </c>
      <c r="P33" s="1409">
        <v>1</v>
      </c>
      <c r="Q33" s="1409">
        <v>0</v>
      </c>
      <c r="R33" s="1410">
        <v>26</v>
      </c>
    </row>
    <row r="34" spans="1:18" ht="19.25" customHeight="1">
      <c r="A34" s="1407" t="s">
        <v>2240</v>
      </c>
      <c r="B34" s="1408" t="s">
        <v>2241</v>
      </c>
      <c r="C34" s="1409">
        <v>0</v>
      </c>
      <c r="D34" s="1409">
        <v>13</v>
      </c>
      <c r="E34" s="1409">
        <v>4</v>
      </c>
      <c r="F34" s="1409">
        <v>6</v>
      </c>
      <c r="G34" s="1409">
        <v>4</v>
      </c>
      <c r="H34" s="1409">
        <v>7</v>
      </c>
      <c r="I34" s="1409">
        <v>11</v>
      </c>
      <c r="J34" s="1409">
        <v>7</v>
      </c>
      <c r="K34" s="1409">
        <v>9</v>
      </c>
      <c r="L34" s="1409">
        <v>6</v>
      </c>
      <c r="M34" s="1409">
        <v>5</v>
      </c>
      <c r="N34" s="1409">
        <v>7</v>
      </c>
      <c r="O34" s="1409">
        <v>0</v>
      </c>
      <c r="P34" s="1409">
        <v>0</v>
      </c>
      <c r="Q34" s="1409">
        <v>0</v>
      </c>
      <c r="R34" s="1410">
        <v>79</v>
      </c>
    </row>
    <row r="35" spans="1:18" ht="19.25" customHeight="1">
      <c r="A35" s="1419" t="s">
        <v>2243</v>
      </c>
      <c r="B35" s="1408" t="s">
        <v>2244</v>
      </c>
      <c r="C35" s="1420">
        <v>0</v>
      </c>
      <c r="D35" s="1409">
        <v>0</v>
      </c>
      <c r="E35" s="1409">
        <v>16</v>
      </c>
      <c r="F35" s="1409">
        <v>13</v>
      </c>
      <c r="G35" s="1409">
        <v>20</v>
      </c>
      <c r="H35" s="1409">
        <v>17</v>
      </c>
      <c r="I35" s="1409">
        <v>16</v>
      </c>
      <c r="J35" s="1409">
        <v>16</v>
      </c>
      <c r="K35" s="1409">
        <v>18</v>
      </c>
      <c r="L35" s="1409">
        <v>9</v>
      </c>
      <c r="M35" s="1409">
        <v>14</v>
      </c>
      <c r="N35" s="1409">
        <v>7</v>
      </c>
      <c r="O35" s="1409">
        <v>8</v>
      </c>
      <c r="P35" s="1409">
        <v>14</v>
      </c>
      <c r="Q35" s="1409">
        <v>19</v>
      </c>
      <c r="R35" s="1410">
        <v>187</v>
      </c>
    </row>
    <row r="36" spans="1:18" ht="20.25" customHeight="1">
      <c r="A36" s="1421" t="s">
        <v>2247</v>
      </c>
      <c r="B36" s="1421" t="s">
        <v>2248</v>
      </c>
      <c r="C36" s="1422">
        <v>1</v>
      </c>
      <c r="D36" s="1422">
        <v>239</v>
      </c>
      <c r="E36" s="1422">
        <v>238</v>
      </c>
      <c r="F36" s="1422">
        <v>284</v>
      </c>
      <c r="G36" s="1422">
        <v>289</v>
      </c>
      <c r="H36" s="1422">
        <v>283</v>
      </c>
      <c r="I36" s="1422">
        <v>302</v>
      </c>
      <c r="J36" s="1422">
        <v>261</v>
      </c>
      <c r="K36" s="1422">
        <v>239</v>
      </c>
      <c r="L36" s="1422">
        <v>194</v>
      </c>
      <c r="M36" s="1422">
        <v>197</v>
      </c>
      <c r="N36" s="1422">
        <v>203</v>
      </c>
      <c r="O36" s="1422">
        <v>227</v>
      </c>
      <c r="P36" s="1422">
        <v>175</v>
      </c>
      <c r="Q36" s="1422">
        <v>173</v>
      </c>
      <c r="R36" s="1422">
        <v>3305</v>
      </c>
    </row>
    <row r="37" spans="1:18" ht="15" customHeight="1">
      <c r="A37" s="16"/>
      <c r="B37" s="17"/>
      <c r="C37" s="15"/>
      <c r="D37" s="15"/>
      <c r="E37" s="15"/>
      <c r="F37" s="15"/>
      <c r="G37" s="15"/>
      <c r="H37" s="15"/>
      <c r="I37" s="15"/>
      <c r="J37" s="15"/>
      <c r="K37" s="15"/>
      <c r="L37" s="15"/>
      <c r="M37" s="15"/>
      <c r="N37" s="15"/>
      <c r="O37" s="15"/>
      <c r="P37" s="15"/>
      <c r="Q37" s="15"/>
      <c r="R37" s="15"/>
    </row>
    <row r="39" spans="1:18" ht="16">
      <c r="C39" s="1395"/>
      <c r="D39" s="1395"/>
      <c r="E39" s="1395"/>
      <c r="F39" s="1395"/>
      <c r="G39" s="1396"/>
      <c r="H39" s="1397" t="s">
        <v>2388</v>
      </c>
      <c r="I39" s="1398">
        <f>SUM(F36:H36)</f>
        <v>856</v>
      </c>
    </row>
    <row r="40" spans="1:18" ht="16">
      <c r="C40" s="1395"/>
      <c r="D40" s="1396"/>
      <c r="E40" s="1396"/>
      <c r="F40" s="1396"/>
      <c r="G40" s="1396"/>
      <c r="H40" s="1397" t="s">
        <v>2389</v>
      </c>
      <c r="I40" s="1399">
        <f>I39/(R36-D36-C36)</f>
        <v>0.27928221859706365</v>
      </c>
    </row>
  </sheetData>
  <mergeCells count="3">
    <mergeCell ref="A1:R1"/>
    <mergeCell ref="A2:R2"/>
    <mergeCell ref="A4:R4"/>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Narrow,Regular"&amp;12- 11 -</oddFooter>
  </headerFooter>
  <rowBreaks count="1" manualBreakCount="1">
    <brk id="36" max="17" man="1"/>
  </rowBreaks>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20">
    <pageSetUpPr autoPageBreaks="0"/>
  </sheetPr>
  <dimension ref="A1:S50"/>
  <sheetViews>
    <sheetView workbookViewId="0">
      <selection activeCell="B8" sqref="B8"/>
    </sheetView>
  </sheetViews>
  <sheetFormatPr baseColWidth="10" defaultColWidth="9.19921875" defaultRowHeight="13"/>
  <cols>
    <col min="1" max="1" width="39.796875" style="3" customWidth="1"/>
    <col min="2" max="2" width="17" style="3" customWidth="1"/>
    <col min="3" max="17" width="7.796875" style="3" customWidth="1"/>
    <col min="18" max="18" width="11.3984375" style="11" customWidth="1"/>
    <col min="19" max="19" width="10.796875" style="3" customWidth="1"/>
    <col min="20" max="16384" width="9.19921875" style="3"/>
  </cols>
  <sheetData>
    <row r="1" spans="1:19" ht="18" customHeight="1">
      <c r="A1" s="1773" t="s">
        <v>2086</v>
      </c>
      <c r="B1" s="1773"/>
      <c r="C1" s="1773"/>
      <c r="D1" s="1773"/>
      <c r="E1" s="1773"/>
      <c r="F1" s="1773"/>
      <c r="G1" s="1773"/>
      <c r="H1" s="1773"/>
      <c r="I1" s="1773"/>
      <c r="J1" s="1773"/>
      <c r="K1" s="1773"/>
      <c r="L1" s="1773"/>
      <c r="M1" s="1773"/>
      <c r="N1" s="1773"/>
      <c r="O1" s="1773"/>
      <c r="P1" s="1773"/>
      <c r="Q1" s="1773"/>
      <c r="R1" s="1773"/>
      <c r="S1"/>
    </row>
    <row r="2" spans="1:19" ht="15" customHeight="1">
      <c r="A2" s="1810" t="s">
        <v>2374</v>
      </c>
      <c r="B2" s="1811"/>
      <c r="C2" s="1811"/>
      <c r="D2" s="1811"/>
      <c r="E2" s="1811"/>
      <c r="F2" s="1811"/>
      <c r="G2" s="1811"/>
      <c r="H2" s="1811"/>
      <c r="I2" s="1811"/>
      <c r="J2" s="1811"/>
      <c r="K2" s="1811"/>
      <c r="L2" s="1811"/>
      <c r="M2" s="1811"/>
      <c r="N2" s="1811"/>
      <c r="O2" s="1811"/>
      <c r="P2" s="1811"/>
      <c r="Q2" s="1811"/>
      <c r="R2" s="1811"/>
      <c r="S2" s="11"/>
    </row>
    <row r="3" spans="1:19" ht="20.25" customHeight="1">
      <c r="A3" s="1812" t="s">
        <v>2134</v>
      </c>
      <c r="B3" s="1822"/>
      <c r="C3" s="1822"/>
      <c r="D3" s="1822"/>
      <c r="E3" s="1822"/>
      <c r="F3" s="1822"/>
      <c r="G3" s="1822"/>
      <c r="H3" s="1822"/>
      <c r="I3" s="1822"/>
      <c r="J3" s="1822"/>
      <c r="K3" s="1822"/>
      <c r="L3" s="1822"/>
      <c r="M3" s="1822"/>
      <c r="N3" s="1822"/>
      <c r="O3" s="1822"/>
      <c r="P3" s="1822"/>
      <c r="Q3" s="1822"/>
      <c r="R3" s="1814"/>
    </row>
    <row r="4" spans="1:19" ht="20.25" customHeight="1">
      <c r="A4" s="822" t="s">
        <v>2138</v>
      </c>
      <c r="B4" s="822" t="s">
        <v>2139</v>
      </c>
      <c r="C4" s="1355" t="s">
        <v>2129</v>
      </c>
      <c r="D4" s="1355" t="s">
        <v>2130</v>
      </c>
      <c r="E4" s="1355" t="s">
        <v>2131</v>
      </c>
      <c r="F4" s="1356" t="s">
        <v>1559</v>
      </c>
      <c r="G4" s="1356" t="s">
        <v>1560</v>
      </c>
      <c r="H4" s="1356" t="s">
        <v>1561</v>
      </c>
      <c r="I4" s="1356" t="s">
        <v>1562</v>
      </c>
      <c r="J4" s="1356" t="s">
        <v>1547</v>
      </c>
      <c r="K4" s="1356" t="s">
        <v>1548</v>
      </c>
      <c r="L4" s="1356" t="s">
        <v>1549</v>
      </c>
      <c r="M4" s="1356" t="s">
        <v>1550</v>
      </c>
      <c r="N4" s="1356" t="s">
        <v>1551</v>
      </c>
      <c r="O4" s="1356" t="s">
        <v>1552</v>
      </c>
      <c r="P4" s="1356" t="s">
        <v>1553</v>
      </c>
      <c r="Q4" s="1356" t="s">
        <v>1554</v>
      </c>
      <c r="R4" s="1355" t="s">
        <v>322</v>
      </c>
    </row>
    <row r="5" spans="1:19" ht="19.5" customHeight="1">
      <c r="A5" s="1381" t="s">
        <v>2408</v>
      </c>
      <c r="B5" s="1382" t="s">
        <v>1233</v>
      </c>
      <c r="C5" s="1383">
        <v>0</v>
      </c>
      <c r="D5" s="1383">
        <v>0</v>
      </c>
      <c r="E5" s="1383">
        <v>18</v>
      </c>
      <c r="F5" s="1383">
        <v>19</v>
      </c>
      <c r="G5" s="1383">
        <v>13</v>
      </c>
      <c r="H5" s="1383">
        <v>15</v>
      </c>
      <c r="I5" s="1383">
        <v>22</v>
      </c>
      <c r="J5" s="1383">
        <v>21</v>
      </c>
      <c r="K5" s="1383">
        <v>0</v>
      </c>
      <c r="L5" s="1383">
        <v>0</v>
      </c>
      <c r="M5" s="1383">
        <v>0</v>
      </c>
      <c r="N5" s="1383">
        <v>0</v>
      </c>
      <c r="O5" s="1383">
        <v>0</v>
      </c>
      <c r="P5" s="1383">
        <v>0</v>
      </c>
      <c r="Q5" s="1383">
        <v>0</v>
      </c>
      <c r="R5" s="1384">
        <v>108</v>
      </c>
    </row>
    <row r="6" spans="1:19" ht="19.5" customHeight="1">
      <c r="A6" s="1381" t="s">
        <v>2145</v>
      </c>
      <c r="B6" s="1382" t="s">
        <v>1233</v>
      </c>
      <c r="C6" s="1383">
        <v>0</v>
      </c>
      <c r="D6" s="1383">
        <v>0</v>
      </c>
      <c r="E6" s="1383">
        <v>0</v>
      </c>
      <c r="F6" s="1383">
        <v>0</v>
      </c>
      <c r="G6" s="1383">
        <v>0</v>
      </c>
      <c r="H6" s="1383">
        <v>0</v>
      </c>
      <c r="I6" s="1383">
        <v>0</v>
      </c>
      <c r="J6" s="1383">
        <v>0</v>
      </c>
      <c r="K6" s="1383">
        <v>117</v>
      </c>
      <c r="L6" s="1383">
        <v>133</v>
      </c>
      <c r="M6" s="1383">
        <v>137</v>
      </c>
      <c r="N6" s="1383">
        <v>0</v>
      </c>
      <c r="O6" s="1383">
        <v>0</v>
      </c>
      <c r="P6" s="1383">
        <v>0</v>
      </c>
      <c r="Q6" s="1383">
        <v>0</v>
      </c>
      <c r="R6" s="1384">
        <v>387</v>
      </c>
    </row>
    <row r="7" spans="1:19" ht="19.5" customHeight="1">
      <c r="A7" s="1381" t="s">
        <v>2409</v>
      </c>
      <c r="B7" s="1382" t="s">
        <v>1233</v>
      </c>
      <c r="C7" s="1383">
        <v>0</v>
      </c>
      <c r="D7" s="1383">
        <v>0</v>
      </c>
      <c r="E7" s="1383">
        <v>54</v>
      </c>
      <c r="F7" s="1383">
        <v>48</v>
      </c>
      <c r="G7" s="1383">
        <v>65</v>
      </c>
      <c r="H7" s="1383">
        <v>51</v>
      </c>
      <c r="I7" s="1383">
        <v>69</v>
      </c>
      <c r="J7" s="1383">
        <v>56</v>
      </c>
      <c r="K7" s="1383">
        <v>53</v>
      </c>
      <c r="L7" s="1383">
        <v>50</v>
      </c>
      <c r="M7" s="1383">
        <v>62</v>
      </c>
      <c r="N7" s="1383">
        <v>0</v>
      </c>
      <c r="O7" s="1383">
        <v>0</v>
      </c>
      <c r="P7" s="1383">
        <v>0</v>
      </c>
      <c r="Q7" s="1383">
        <v>0</v>
      </c>
      <c r="R7" s="1384">
        <v>508</v>
      </c>
    </row>
    <row r="8" spans="1:19" ht="19.5" customHeight="1">
      <c r="A8" s="1381" t="s">
        <v>2410</v>
      </c>
      <c r="B8" s="1382" t="s">
        <v>1233</v>
      </c>
      <c r="C8" s="1383">
        <v>0</v>
      </c>
      <c r="D8" s="1383">
        <v>0</v>
      </c>
      <c r="E8" s="1383">
        <v>40</v>
      </c>
      <c r="F8" s="1383">
        <v>41</v>
      </c>
      <c r="G8" s="1383">
        <v>61</v>
      </c>
      <c r="H8" s="1383">
        <v>46</v>
      </c>
      <c r="I8" s="1383">
        <v>55</v>
      </c>
      <c r="J8" s="1383">
        <v>53</v>
      </c>
      <c r="K8" s="1383">
        <v>0</v>
      </c>
      <c r="L8" s="1383">
        <v>0</v>
      </c>
      <c r="M8" s="1383">
        <v>0</v>
      </c>
      <c r="N8" s="1383">
        <v>0</v>
      </c>
      <c r="O8" s="1383">
        <v>0</v>
      </c>
      <c r="P8" s="1383">
        <v>0</v>
      </c>
      <c r="Q8" s="1383">
        <v>0</v>
      </c>
      <c r="R8" s="1384">
        <v>296</v>
      </c>
    </row>
    <row r="9" spans="1:19" ht="19.5" customHeight="1">
      <c r="A9" s="1381" t="s">
        <v>2157</v>
      </c>
      <c r="B9" s="1382" t="s">
        <v>2158</v>
      </c>
      <c r="C9" s="1383">
        <v>0</v>
      </c>
      <c r="D9" s="1383">
        <v>0</v>
      </c>
      <c r="E9" s="1383">
        <v>28</v>
      </c>
      <c r="F9" s="1383">
        <v>39</v>
      </c>
      <c r="G9" s="1383">
        <v>40</v>
      </c>
      <c r="H9" s="1383">
        <v>37</v>
      </c>
      <c r="I9" s="1383">
        <v>44</v>
      </c>
      <c r="J9" s="1383">
        <v>50</v>
      </c>
      <c r="K9" s="1383">
        <v>0</v>
      </c>
      <c r="L9" s="1383">
        <v>0</v>
      </c>
      <c r="M9" s="1383">
        <v>0</v>
      </c>
      <c r="N9" s="1383">
        <v>0</v>
      </c>
      <c r="O9" s="1383">
        <v>0</v>
      </c>
      <c r="P9" s="1383">
        <v>0</v>
      </c>
      <c r="Q9" s="1383">
        <v>0</v>
      </c>
      <c r="R9" s="1384">
        <v>238</v>
      </c>
    </row>
    <row r="10" spans="1:19" ht="19.5" customHeight="1">
      <c r="A10" s="1381" t="s">
        <v>2411</v>
      </c>
      <c r="B10" s="1382" t="s">
        <v>1233</v>
      </c>
      <c r="C10" s="1383">
        <v>0</v>
      </c>
      <c r="D10" s="1383">
        <v>0</v>
      </c>
      <c r="E10" s="1383">
        <v>0</v>
      </c>
      <c r="F10" s="1383">
        <v>0</v>
      </c>
      <c r="G10" s="1383">
        <v>0</v>
      </c>
      <c r="H10" s="1383">
        <v>0</v>
      </c>
      <c r="I10" s="1383">
        <v>0</v>
      </c>
      <c r="J10" s="1383">
        <v>0</v>
      </c>
      <c r="K10" s="1383">
        <v>162</v>
      </c>
      <c r="L10" s="1383">
        <v>154</v>
      </c>
      <c r="M10" s="1383">
        <v>155</v>
      </c>
      <c r="N10" s="1383">
        <v>0</v>
      </c>
      <c r="O10" s="1383">
        <v>0</v>
      </c>
      <c r="P10" s="1383">
        <v>0</v>
      </c>
      <c r="Q10" s="1383">
        <v>0</v>
      </c>
      <c r="R10" s="1384">
        <v>471</v>
      </c>
    </row>
    <row r="11" spans="1:19" ht="19.5" customHeight="1">
      <c r="A11" s="1381" t="s">
        <v>2170</v>
      </c>
      <c r="B11" s="1382" t="s">
        <v>1233</v>
      </c>
      <c r="C11" s="1383">
        <v>0</v>
      </c>
      <c r="D11" s="1383">
        <v>0</v>
      </c>
      <c r="E11" s="1383">
        <v>0</v>
      </c>
      <c r="F11" s="1383">
        <v>0</v>
      </c>
      <c r="G11" s="1383">
        <v>0</v>
      </c>
      <c r="H11" s="1383">
        <v>0</v>
      </c>
      <c r="I11" s="1383">
        <v>0</v>
      </c>
      <c r="J11" s="1383">
        <v>0</v>
      </c>
      <c r="K11" s="1383">
        <v>0</v>
      </c>
      <c r="L11" s="1383">
        <v>0</v>
      </c>
      <c r="M11" s="1383">
        <v>0</v>
      </c>
      <c r="N11" s="1383">
        <v>99</v>
      </c>
      <c r="O11" s="1383">
        <v>89</v>
      </c>
      <c r="P11" s="1383">
        <v>103</v>
      </c>
      <c r="Q11" s="1383">
        <v>75</v>
      </c>
      <c r="R11" s="1384">
        <v>366</v>
      </c>
    </row>
    <row r="12" spans="1:19" ht="19.5" customHeight="1">
      <c r="A12" s="1381" t="s">
        <v>2174</v>
      </c>
      <c r="B12" s="1382" t="s">
        <v>1233</v>
      </c>
      <c r="C12" s="1383">
        <v>0</v>
      </c>
      <c r="D12" s="1383">
        <v>0</v>
      </c>
      <c r="E12" s="1383">
        <v>45</v>
      </c>
      <c r="F12" s="1383">
        <v>55</v>
      </c>
      <c r="G12" s="1383">
        <v>57</v>
      </c>
      <c r="H12" s="1383">
        <v>47</v>
      </c>
      <c r="I12" s="1383">
        <v>48</v>
      </c>
      <c r="J12" s="1383">
        <v>46</v>
      </c>
      <c r="K12" s="1383">
        <v>0</v>
      </c>
      <c r="L12" s="1383">
        <v>0</v>
      </c>
      <c r="M12" s="1383">
        <v>0</v>
      </c>
      <c r="N12" s="1383">
        <v>0</v>
      </c>
      <c r="O12" s="1383">
        <v>0</v>
      </c>
      <c r="P12" s="1383">
        <v>0</v>
      </c>
      <c r="Q12" s="1383">
        <v>0</v>
      </c>
      <c r="R12" s="1384">
        <v>298</v>
      </c>
    </row>
    <row r="13" spans="1:19" ht="19.5" customHeight="1">
      <c r="A13" s="1381" t="s">
        <v>2178</v>
      </c>
      <c r="B13" s="1382" t="s">
        <v>2158</v>
      </c>
      <c r="C13" s="1383">
        <v>0</v>
      </c>
      <c r="D13" s="1383">
        <v>0</v>
      </c>
      <c r="E13" s="1383">
        <v>34</v>
      </c>
      <c r="F13" s="1383">
        <v>37</v>
      </c>
      <c r="G13" s="1383">
        <v>33</v>
      </c>
      <c r="H13" s="1383">
        <v>32</v>
      </c>
      <c r="I13" s="1383">
        <v>36</v>
      </c>
      <c r="J13" s="1383">
        <v>45</v>
      </c>
      <c r="K13" s="1383">
        <v>0</v>
      </c>
      <c r="L13" s="1383">
        <v>0</v>
      </c>
      <c r="M13" s="1383">
        <v>0</v>
      </c>
      <c r="N13" s="1383">
        <v>0</v>
      </c>
      <c r="O13" s="1383">
        <v>0</v>
      </c>
      <c r="P13" s="1383">
        <v>0</v>
      </c>
      <c r="Q13" s="1383">
        <v>0</v>
      </c>
      <c r="R13" s="1384">
        <v>217</v>
      </c>
    </row>
    <row r="14" spans="1:19" ht="19.5" customHeight="1">
      <c r="A14" s="1381" t="s">
        <v>2181</v>
      </c>
      <c r="B14" s="1382" t="s">
        <v>1233</v>
      </c>
      <c r="C14" s="1383">
        <v>0</v>
      </c>
      <c r="D14" s="1383">
        <v>0</v>
      </c>
      <c r="E14" s="1383">
        <v>60</v>
      </c>
      <c r="F14" s="1383">
        <v>91</v>
      </c>
      <c r="G14" s="1383">
        <v>46</v>
      </c>
      <c r="H14" s="1383">
        <v>67</v>
      </c>
      <c r="I14" s="1383">
        <v>54</v>
      </c>
      <c r="J14" s="1383">
        <v>0</v>
      </c>
      <c r="K14" s="1383">
        <v>0</v>
      </c>
      <c r="L14" s="1383">
        <v>0</v>
      </c>
      <c r="M14" s="1383">
        <v>0</v>
      </c>
      <c r="N14" s="1383">
        <v>0</v>
      </c>
      <c r="O14" s="1383">
        <v>0</v>
      </c>
      <c r="P14" s="1383">
        <v>0</v>
      </c>
      <c r="Q14" s="1383">
        <v>0</v>
      </c>
      <c r="R14" s="1384">
        <v>318</v>
      </c>
    </row>
    <row r="15" spans="1:19" ht="19.5" customHeight="1">
      <c r="A15" s="1381" t="s">
        <v>2187</v>
      </c>
      <c r="B15" s="1382" t="s">
        <v>1233</v>
      </c>
      <c r="C15" s="1383">
        <v>0</v>
      </c>
      <c r="D15" s="1383">
        <v>0</v>
      </c>
      <c r="E15" s="1383">
        <v>62</v>
      </c>
      <c r="F15" s="1383">
        <v>74</v>
      </c>
      <c r="G15" s="1383">
        <v>57</v>
      </c>
      <c r="H15" s="1383">
        <v>48</v>
      </c>
      <c r="I15" s="1383">
        <v>42</v>
      </c>
      <c r="J15" s="1383">
        <v>0</v>
      </c>
      <c r="K15" s="1383">
        <v>0</v>
      </c>
      <c r="L15" s="1383">
        <v>0</v>
      </c>
      <c r="M15" s="1383">
        <v>0</v>
      </c>
      <c r="N15" s="1383">
        <v>0</v>
      </c>
      <c r="O15" s="1383">
        <v>0</v>
      </c>
      <c r="P15" s="1383">
        <v>0</v>
      </c>
      <c r="Q15" s="1383">
        <v>0</v>
      </c>
      <c r="R15" s="1384">
        <v>283</v>
      </c>
    </row>
    <row r="16" spans="1:19" ht="19.5" customHeight="1">
      <c r="A16" s="1381" t="s">
        <v>2197</v>
      </c>
      <c r="B16" s="1382" t="s">
        <v>1233</v>
      </c>
      <c r="C16" s="1383">
        <v>0</v>
      </c>
      <c r="D16" s="1383">
        <v>0</v>
      </c>
      <c r="E16" s="1383">
        <v>0</v>
      </c>
      <c r="F16" s="1383">
        <v>0</v>
      </c>
      <c r="G16" s="1383">
        <v>0</v>
      </c>
      <c r="H16" s="1383">
        <v>0</v>
      </c>
      <c r="I16" s="1383">
        <v>0</v>
      </c>
      <c r="J16" s="1383">
        <v>94</v>
      </c>
      <c r="K16" s="1383">
        <v>83</v>
      </c>
      <c r="L16" s="1383">
        <v>63</v>
      </c>
      <c r="M16" s="1383">
        <v>77</v>
      </c>
      <c r="N16" s="1383">
        <v>0</v>
      </c>
      <c r="O16" s="1383">
        <v>0</v>
      </c>
      <c r="P16" s="1383">
        <v>0</v>
      </c>
      <c r="Q16" s="1383">
        <v>0</v>
      </c>
      <c r="R16" s="1384">
        <v>317</v>
      </c>
    </row>
    <row r="17" spans="1:18" ht="19.5" customHeight="1">
      <c r="A17" s="1381" t="s">
        <v>2412</v>
      </c>
      <c r="B17" s="1382" t="s">
        <v>1233</v>
      </c>
      <c r="C17" s="1383">
        <v>0</v>
      </c>
      <c r="D17" s="1383">
        <v>0</v>
      </c>
      <c r="E17" s="1383">
        <v>36</v>
      </c>
      <c r="F17" s="1383">
        <v>30</v>
      </c>
      <c r="G17" s="1383">
        <v>27</v>
      </c>
      <c r="H17" s="1383">
        <v>39</v>
      </c>
      <c r="I17" s="1383">
        <v>26</v>
      </c>
      <c r="J17" s="1383">
        <v>39</v>
      </c>
      <c r="K17" s="1383">
        <v>0</v>
      </c>
      <c r="L17" s="1383">
        <v>0</v>
      </c>
      <c r="M17" s="1383">
        <v>0</v>
      </c>
      <c r="N17" s="1383">
        <v>0</v>
      </c>
      <c r="O17" s="1383">
        <v>0</v>
      </c>
      <c r="P17" s="1383">
        <v>0</v>
      </c>
      <c r="Q17" s="1383">
        <v>0</v>
      </c>
      <c r="R17" s="1384">
        <v>197</v>
      </c>
    </row>
    <row r="18" spans="1:18" ht="19.5" customHeight="1">
      <c r="A18" s="1381" t="s">
        <v>2215</v>
      </c>
      <c r="B18" s="1382" t="s">
        <v>1233</v>
      </c>
      <c r="C18" s="1383">
        <v>0</v>
      </c>
      <c r="D18" s="1383">
        <v>0</v>
      </c>
      <c r="E18" s="1383">
        <v>36</v>
      </c>
      <c r="F18" s="1383">
        <v>20</v>
      </c>
      <c r="G18" s="1383">
        <v>31</v>
      </c>
      <c r="H18" s="1383">
        <v>24</v>
      </c>
      <c r="I18" s="1383">
        <v>30</v>
      </c>
      <c r="J18" s="1383">
        <v>32</v>
      </c>
      <c r="K18" s="1383">
        <v>0</v>
      </c>
      <c r="L18" s="1383">
        <v>0</v>
      </c>
      <c r="M18" s="1383">
        <v>0</v>
      </c>
      <c r="N18" s="1383">
        <v>0</v>
      </c>
      <c r="O18" s="1383">
        <v>0</v>
      </c>
      <c r="P18" s="1383">
        <v>0</v>
      </c>
      <c r="Q18" s="1383">
        <v>0</v>
      </c>
      <c r="R18" s="1384">
        <v>173</v>
      </c>
    </row>
    <row r="19" spans="1:18" ht="19.5" customHeight="1">
      <c r="A19" s="1381" t="s">
        <v>2218</v>
      </c>
      <c r="B19" s="1382" t="s">
        <v>1233</v>
      </c>
      <c r="C19" s="1383">
        <v>0</v>
      </c>
      <c r="D19" s="1383">
        <v>0</v>
      </c>
      <c r="E19" s="1383">
        <v>48</v>
      </c>
      <c r="F19" s="1383">
        <v>59</v>
      </c>
      <c r="G19" s="1383">
        <v>64</v>
      </c>
      <c r="H19" s="1383">
        <v>79</v>
      </c>
      <c r="I19" s="1383">
        <v>79</v>
      </c>
      <c r="J19" s="1383">
        <v>93</v>
      </c>
      <c r="K19" s="1383">
        <v>0</v>
      </c>
      <c r="L19" s="1383">
        <v>0</v>
      </c>
      <c r="M19" s="1383">
        <v>0</v>
      </c>
      <c r="N19" s="1383">
        <v>0</v>
      </c>
      <c r="O19" s="1383">
        <v>0</v>
      </c>
      <c r="P19" s="1383">
        <v>0</v>
      </c>
      <c r="Q19" s="1383">
        <v>0</v>
      </c>
      <c r="R19" s="1384">
        <v>422</v>
      </c>
    </row>
    <row r="20" spans="1:18" ht="19.5" customHeight="1">
      <c r="A20" s="1381" t="s">
        <v>2413</v>
      </c>
      <c r="B20" s="1382" t="s">
        <v>1233</v>
      </c>
      <c r="C20" s="1383">
        <v>0</v>
      </c>
      <c r="D20" s="1383">
        <v>0</v>
      </c>
      <c r="E20" s="1383">
        <v>78</v>
      </c>
      <c r="F20" s="1383">
        <v>72</v>
      </c>
      <c r="G20" s="1383">
        <v>82</v>
      </c>
      <c r="H20" s="1383">
        <v>76</v>
      </c>
      <c r="I20" s="1383">
        <v>82</v>
      </c>
      <c r="J20" s="1383">
        <v>82</v>
      </c>
      <c r="K20" s="1383">
        <v>0</v>
      </c>
      <c r="L20" s="1383">
        <v>0</v>
      </c>
      <c r="M20" s="1383">
        <v>0</v>
      </c>
      <c r="N20" s="1383">
        <v>0</v>
      </c>
      <c r="O20" s="1383">
        <v>0</v>
      </c>
      <c r="P20" s="1383">
        <v>0</v>
      </c>
      <c r="Q20" s="1383">
        <v>0</v>
      </c>
      <c r="R20" s="1384">
        <v>472</v>
      </c>
    </row>
    <row r="21" spans="1:18" ht="19.5" customHeight="1">
      <c r="A21" s="1381" t="s">
        <v>2224</v>
      </c>
      <c r="B21" s="1382" t="s">
        <v>1233</v>
      </c>
      <c r="C21" s="1383">
        <v>0</v>
      </c>
      <c r="D21" s="1383">
        <v>0</v>
      </c>
      <c r="E21" s="1383">
        <v>0</v>
      </c>
      <c r="F21" s="1383">
        <v>0</v>
      </c>
      <c r="G21" s="1383">
        <v>0</v>
      </c>
      <c r="H21" s="1383">
        <v>0</v>
      </c>
      <c r="I21" s="1383">
        <v>0</v>
      </c>
      <c r="J21" s="1383">
        <v>0</v>
      </c>
      <c r="K21" s="1383">
        <v>1</v>
      </c>
      <c r="L21" s="1383">
        <v>3</v>
      </c>
      <c r="M21" s="1383">
        <v>0</v>
      </c>
      <c r="N21" s="1383">
        <v>9</v>
      </c>
      <c r="O21" s="1383">
        <v>11</v>
      </c>
      <c r="P21" s="1383">
        <v>7</v>
      </c>
      <c r="Q21" s="1383">
        <v>3</v>
      </c>
      <c r="R21" s="1384">
        <v>34</v>
      </c>
    </row>
    <row r="22" spans="1:18" ht="19.5" customHeight="1">
      <c r="A22" s="1381" t="s">
        <v>2414</v>
      </c>
      <c r="B22" s="1382" t="s">
        <v>1233</v>
      </c>
      <c r="C22" s="1383">
        <v>0</v>
      </c>
      <c r="D22" s="1383">
        <v>0</v>
      </c>
      <c r="E22" s="1383">
        <v>0</v>
      </c>
      <c r="F22" s="1383">
        <v>0</v>
      </c>
      <c r="G22" s="1383">
        <v>0</v>
      </c>
      <c r="H22" s="1383">
        <v>0</v>
      </c>
      <c r="I22" s="1383">
        <v>0</v>
      </c>
      <c r="J22" s="1383">
        <v>0</v>
      </c>
      <c r="K22" s="1383">
        <v>171</v>
      </c>
      <c r="L22" s="1383">
        <v>166</v>
      </c>
      <c r="M22" s="1383">
        <v>133</v>
      </c>
      <c r="N22" s="1383">
        <v>0</v>
      </c>
      <c r="O22" s="1383">
        <v>0</v>
      </c>
      <c r="P22" s="1383">
        <v>0</v>
      </c>
      <c r="Q22" s="1383">
        <v>0</v>
      </c>
      <c r="R22" s="1384">
        <v>470</v>
      </c>
    </row>
    <row r="23" spans="1:18" ht="19.5" customHeight="1">
      <c r="A23" s="1381" t="s">
        <v>2227</v>
      </c>
      <c r="B23" s="1382" t="s">
        <v>1233</v>
      </c>
      <c r="C23" s="1383">
        <v>0</v>
      </c>
      <c r="D23" s="1383">
        <v>0</v>
      </c>
      <c r="E23" s="1383">
        <v>20</v>
      </c>
      <c r="F23" s="1383">
        <v>16</v>
      </c>
      <c r="G23" s="1383">
        <v>25</v>
      </c>
      <c r="H23" s="1383">
        <v>30</v>
      </c>
      <c r="I23" s="1383">
        <v>26</v>
      </c>
      <c r="J23" s="1383">
        <v>28</v>
      </c>
      <c r="K23" s="1383">
        <v>78</v>
      </c>
      <c r="L23" s="1383">
        <v>88</v>
      </c>
      <c r="M23" s="1383">
        <v>92</v>
      </c>
      <c r="N23" s="1383">
        <v>0</v>
      </c>
      <c r="O23" s="1383">
        <v>0</v>
      </c>
      <c r="P23" s="1383">
        <v>0</v>
      </c>
      <c r="Q23" s="1383">
        <v>0</v>
      </c>
      <c r="R23" s="1384">
        <v>403</v>
      </c>
    </row>
    <row r="24" spans="1:18" ht="19.5" customHeight="1">
      <c r="A24" s="1381" t="s">
        <v>2230</v>
      </c>
      <c r="B24" s="1382" t="s">
        <v>1233</v>
      </c>
      <c r="C24" s="1383">
        <v>0</v>
      </c>
      <c r="D24" s="1383">
        <v>0</v>
      </c>
      <c r="E24" s="1383">
        <v>0</v>
      </c>
      <c r="F24" s="1383">
        <v>0</v>
      </c>
      <c r="G24" s="1383">
        <v>0</v>
      </c>
      <c r="H24" s="1383">
        <v>0</v>
      </c>
      <c r="I24" s="1383">
        <v>0</v>
      </c>
      <c r="J24" s="1383">
        <v>0</v>
      </c>
      <c r="K24" s="1383">
        <v>114</v>
      </c>
      <c r="L24" s="1383">
        <v>127</v>
      </c>
      <c r="M24" s="1383">
        <v>123</v>
      </c>
      <c r="N24" s="1383">
        <v>0</v>
      </c>
      <c r="O24" s="1383">
        <v>0</v>
      </c>
      <c r="P24" s="1383">
        <v>0</v>
      </c>
      <c r="Q24" s="1383">
        <v>0</v>
      </c>
      <c r="R24" s="1384">
        <v>364</v>
      </c>
    </row>
    <row r="25" spans="1:18" ht="19.5" customHeight="1">
      <c r="A25" s="1381" t="s">
        <v>2233</v>
      </c>
      <c r="B25" s="1382" t="s">
        <v>1233</v>
      </c>
      <c r="C25" s="1383">
        <v>0</v>
      </c>
      <c r="D25" s="1383">
        <v>0</v>
      </c>
      <c r="E25" s="1383">
        <v>49</v>
      </c>
      <c r="F25" s="1383">
        <v>54</v>
      </c>
      <c r="G25" s="1383">
        <v>45</v>
      </c>
      <c r="H25" s="1383">
        <v>53</v>
      </c>
      <c r="I25" s="1383">
        <v>57</v>
      </c>
      <c r="J25" s="1383">
        <v>78</v>
      </c>
      <c r="K25" s="1383">
        <v>0</v>
      </c>
      <c r="L25" s="1383">
        <v>0</v>
      </c>
      <c r="M25" s="1383">
        <v>0</v>
      </c>
      <c r="N25" s="1383">
        <v>0</v>
      </c>
      <c r="O25" s="1383">
        <v>0</v>
      </c>
      <c r="P25" s="1383">
        <v>0</v>
      </c>
      <c r="Q25" s="1383">
        <v>0</v>
      </c>
      <c r="R25" s="1384">
        <v>336</v>
      </c>
    </row>
    <row r="26" spans="1:18" ht="19.5" customHeight="1">
      <c r="A26" s="1381" t="s">
        <v>2236</v>
      </c>
      <c r="B26" s="1382" t="s">
        <v>1233</v>
      </c>
      <c r="C26" s="1383">
        <v>30</v>
      </c>
      <c r="D26" s="1383">
        <v>0</v>
      </c>
      <c r="E26" s="1383">
        <v>0</v>
      </c>
      <c r="F26" s="1383">
        <v>0</v>
      </c>
      <c r="G26" s="1383">
        <v>0</v>
      </c>
      <c r="H26" s="1383">
        <v>0</v>
      </c>
      <c r="I26" s="1383">
        <v>0</v>
      </c>
      <c r="J26" s="1383">
        <v>0</v>
      </c>
      <c r="K26" s="1383">
        <v>0</v>
      </c>
      <c r="L26" s="1383">
        <v>0</v>
      </c>
      <c r="M26" s="1383">
        <v>0</v>
      </c>
      <c r="N26" s="1383">
        <v>299</v>
      </c>
      <c r="O26" s="1383">
        <v>322</v>
      </c>
      <c r="P26" s="1383">
        <v>297</v>
      </c>
      <c r="Q26" s="1383">
        <v>378</v>
      </c>
      <c r="R26" s="1384">
        <v>1326</v>
      </c>
    </row>
    <row r="27" spans="1:18" ht="19.5" customHeight="1">
      <c r="A27" s="1381" t="s">
        <v>2239</v>
      </c>
      <c r="B27" s="1382" t="s">
        <v>1233</v>
      </c>
      <c r="C27" s="1383">
        <v>0</v>
      </c>
      <c r="D27" s="1383">
        <v>0</v>
      </c>
      <c r="E27" s="1383">
        <v>13</v>
      </c>
      <c r="F27" s="1383">
        <v>26</v>
      </c>
      <c r="G27" s="1383">
        <v>21</v>
      </c>
      <c r="H27" s="1383">
        <v>19</v>
      </c>
      <c r="I27" s="1383">
        <v>19</v>
      </c>
      <c r="J27" s="1383">
        <v>17</v>
      </c>
      <c r="K27" s="1383">
        <v>0</v>
      </c>
      <c r="L27" s="1383">
        <v>0</v>
      </c>
      <c r="M27" s="1383">
        <v>0</v>
      </c>
      <c r="N27" s="1383">
        <v>0</v>
      </c>
      <c r="O27" s="1383">
        <v>0</v>
      </c>
      <c r="P27" s="1383">
        <v>0</v>
      </c>
      <c r="Q27" s="1383">
        <v>0</v>
      </c>
      <c r="R27" s="1384">
        <v>115</v>
      </c>
    </row>
    <row r="28" spans="1:18" ht="19.5" customHeight="1">
      <c r="A28" s="1381" t="s">
        <v>2242</v>
      </c>
      <c r="B28" s="1382" t="s">
        <v>1233</v>
      </c>
      <c r="C28" s="1383">
        <v>0</v>
      </c>
      <c r="D28" s="1383">
        <v>0</v>
      </c>
      <c r="E28" s="1383">
        <v>23</v>
      </c>
      <c r="F28" s="1383">
        <v>29</v>
      </c>
      <c r="G28" s="1383">
        <v>27</v>
      </c>
      <c r="H28" s="1383">
        <v>23</v>
      </c>
      <c r="I28" s="1383">
        <v>32</v>
      </c>
      <c r="J28" s="1383">
        <v>34</v>
      </c>
      <c r="K28" s="1383">
        <v>0</v>
      </c>
      <c r="L28" s="1383">
        <v>0</v>
      </c>
      <c r="M28" s="1383">
        <v>0</v>
      </c>
      <c r="N28" s="1383">
        <v>0</v>
      </c>
      <c r="O28" s="1383">
        <v>0</v>
      </c>
      <c r="P28" s="1383">
        <v>0</v>
      </c>
      <c r="Q28" s="1383">
        <v>0</v>
      </c>
      <c r="R28" s="1384">
        <v>168</v>
      </c>
    </row>
    <row r="29" spans="1:18" ht="19.5" customHeight="1">
      <c r="A29" s="1381" t="s">
        <v>2415</v>
      </c>
      <c r="B29" s="1382" t="s">
        <v>1233</v>
      </c>
      <c r="C29" s="1383">
        <v>11</v>
      </c>
      <c r="D29" s="1383">
        <v>0</v>
      </c>
      <c r="E29" s="1383">
        <v>0</v>
      </c>
      <c r="F29" s="1383">
        <v>0</v>
      </c>
      <c r="G29" s="1383">
        <v>0</v>
      </c>
      <c r="H29" s="1383">
        <v>0</v>
      </c>
      <c r="I29" s="1383">
        <v>0</v>
      </c>
      <c r="J29" s="1383">
        <v>0</v>
      </c>
      <c r="K29" s="1383">
        <v>0</v>
      </c>
      <c r="L29" s="1383">
        <v>0</v>
      </c>
      <c r="M29" s="1383">
        <v>0</v>
      </c>
      <c r="N29" s="1383">
        <v>273</v>
      </c>
      <c r="O29" s="1383">
        <v>239</v>
      </c>
      <c r="P29" s="1383">
        <v>276</v>
      </c>
      <c r="Q29" s="1383">
        <v>358</v>
      </c>
      <c r="R29" s="1384">
        <v>1157</v>
      </c>
    </row>
    <row r="30" spans="1:18" ht="19.5" customHeight="1">
      <c r="A30" s="1381" t="s">
        <v>2416</v>
      </c>
      <c r="B30" s="1382" t="s">
        <v>1233</v>
      </c>
      <c r="C30" s="1383">
        <v>0</v>
      </c>
      <c r="D30" s="1383">
        <v>0</v>
      </c>
      <c r="E30" s="1383">
        <v>0</v>
      </c>
      <c r="F30" s="1383">
        <v>0</v>
      </c>
      <c r="G30" s="1383">
        <v>0</v>
      </c>
      <c r="H30" s="1383">
        <v>0</v>
      </c>
      <c r="I30" s="1383">
        <v>0</v>
      </c>
      <c r="J30" s="1383">
        <v>0</v>
      </c>
      <c r="K30" s="1383">
        <v>78</v>
      </c>
      <c r="L30" s="1383">
        <v>79</v>
      </c>
      <c r="M30" s="1383">
        <v>98</v>
      </c>
      <c r="N30" s="1383">
        <v>0</v>
      </c>
      <c r="O30" s="1383">
        <v>0</v>
      </c>
      <c r="P30" s="1383">
        <v>0</v>
      </c>
      <c r="Q30" s="1383">
        <v>0</v>
      </c>
      <c r="R30" s="1384">
        <v>255</v>
      </c>
    </row>
    <row r="31" spans="1:18" ht="19.5" customHeight="1">
      <c r="A31" s="1381" t="s">
        <v>2246</v>
      </c>
      <c r="B31" s="1382" t="s">
        <v>1233</v>
      </c>
      <c r="C31" s="1383">
        <v>15</v>
      </c>
      <c r="D31" s="1383">
        <v>0</v>
      </c>
      <c r="E31" s="1383">
        <v>0</v>
      </c>
      <c r="F31" s="1383">
        <v>0</v>
      </c>
      <c r="G31" s="1383">
        <v>0</v>
      </c>
      <c r="H31" s="1383">
        <v>0</v>
      </c>
      <c r="I31" s="1383">
        <v>0</v>
      </c>
      <c r="J31" s="1383">
        <v>0</v>
      </c>
      <c r="K31" s="1383">
        <v>0</v>
      </c>
      <c r="L31" s="1383">
        <v>0</v>
      </c>
      <c r="M31" s="1383">
        <v>0</v>
      </c>
      <c r="N31" s="1383">
        <v>174</v>
      </c>
      <c r="O31" s="1383">
        <v>221</v>
      </c>
      <c r="P31" s="1383">
        <v>227</v>
      </c>
      <c r="Q31" s="1383">
        <v>236</v>
      </c>
      <c r="R31" s="1384">
        <v>873</v>
      </c>
    </row>
    <row r="32" spans="1:18" ht="19.5" customHeight="1">
      <c r="A32" s="1381" t="s">
        <v>2417</v>
      </c>
      <c r="B32" s="1382" t="s">
        <v>1233</v>
      </c>
      <c r="C32" s="1383">
        <v>0</v>
      </c>
      <c r="D32" s="1383">
        <v>0</v>
      </c>
      <c r="E32" s="1383">
        <v>55</v>
      </c>
      <c r="F32" s="1383">
        <v>51</v>
      </c>
      <c r="G32" s="1383">
        <v>50</v>
      </c>
      <c r="H32" s="1383">
        <v>58</v>
      </c>
      <c r="I32" s="1383">
        <v>45</v>
      </c>
      <c r="J32" s="1383">
        <v>51</v>
      </c>
      <c r="K32" s="1383">
        <v>0</v>
      </c>
      <c r="L32" s="1383">
        <v>0</v>
      </c>
      <c r="M32" s="1383">
        <v>0</v>
      </c>
      <c r="N32" s="1383">
        <v>0</v>
      </c>
      <c r="O32" s="1383">
        <v>0</v>
      </c>
      <c r="P32" s="1383">
        <v>0</v>
      </c>
      <c r="Q32" s="1383">
        <v>0</v>
      </c>
      <c r="R32" s="1384">
        <v>310</v>
      </c>
    </row>
    <row r="33" spans="1:18" ht="19.5" customHeight="1">
      <c r="A33" s="1381" t="s">
        <v>2249</v>
      </c>
      <c r="B33" s="1382" t="s">
        <v>1233</v>
      </c>
      <c r="C33" s="1383">
        <v>0</v>
      </c>
      <c r="D33" s="1383">
        <v>0</v>
      </c>
      <c r="E33" s="1383">
        <v>15</v>
      </c>
      <c r="F33" s="1383">
        <v>17</v>
      </c>
      <c r="G33" s="1383">
        <v>26</v>
      </c>
      <c r="H33" s="1383">
        <v>21</v>
      </c>
      <c r="I33" s="1383">
        <v>20</v>
      </c>
      <c r="J33" s="1383">
        <v>14</v>
      </c>
      <c r="K33" s="1383">
        <v>0</v>
      </c>
      <c r="L33" s="1383">
        <v>0</v>
      </c>
      <c r="M33" s="1383">
        <v>0</v>
      </c>
      <c r="N33" s="1383">
        <v>0</v>
      </c>
      <c r="O33" s="1383">
        <v>0</v>
      </c>
      <c r="P33" s="1383">
        <v>0</v>
      </c>
      <c r="Q33" s="1383">
        <v>0</v>
      </c>
      <c r="R33" s="1384">
        <v>113</v>
      </c>
    </row>
    <row r="34" spans="1:18" ht="19.5" customHeight="1">
      <c r="A34" s="1381" t="s">
        <v>2251</v>
      </c>
      <c r="B34" s="1382" t="s">
        <v>1233</v>
      </c>
      <c r="C34" s="1383">
        <v>0</v>
      </c>
      <c r="D34" s="1383">
        <v>0</v>
      </c>
      <c r="E34" s="1383">
        <v>16</v>
      </c>
      <c r="F34" s="1383">
        <v>22</v>
      </c>
      <c r="G34" s="1383">
        <v>27</v>
      </c>
      <c r="H34" s="1383">
        <v>18</v>
      </c>
      <c r="I34" s="1383">
        <v>26</v>
      </c>
      <c r="J34" s="1383">
        <v>27</v>
      </c>
      <c r="K34" s="1383">
        <v>0</v>
      </c>
      <c r="L34" s="1383">
        <v>0</v>
      </c>
      <c r="M34" s="1383">
        <v>0</v>
      </c>
      <c r="N34" s="1383">
        <v>0</v>
      </c>
      <c r="O34" s="1383">
        <v>0</v>
      </c>
      <c r="P34" s="1383">
        <v>0</v>
      </c>
      <c r="Q34" s="1383">
        <v>0</v>
      </c>
      <c r="R34" s="1384">
        <v>136</v>
      </c>
    </row>
    <row r="35" spans="1:18" ht="19.5" customHeight="1">
      <c r="A35" s="1381" t="s">
        <v>2252</v>
      </c>
      <c r="B35" s="1382" t="s">
        <v>1233</v>
      </c>
      <c r="C35" s="1383">
        <v>0</v>
      </c>
      <c r="D35" s="1383">
        <v>0</v>
      </c>
      <c r="E35" s="1383">
        <v>45</v>
      </c>
      <c r="F35" s="1383">
        <v>60</v>
      </c>
      <c r="G35" s="1383">
        <v>68</v>
      </c>
      <c r="H35" s="1383">
        <v>57</v>
      </c>
      <c r="I35" s="1383">
        <v>59</v>
      </c>
      <c r="J35" s="1383">
        <v>55</v>
      </c>
      <c r="K35" s="1383">
        <v>0</v>
      </c>
      <c r="L35" s="1383">
        <v>0</v>
      </c>
      <c r="M35" s="1383">
        <v>0</v>
      </c>
      <c r="N35" s="1383">
        <v>0</v>
      </c>
      <c r="O35" s="1383">
        <v>0</v>
      </c>
      <c r="P35" s="1383">
        <v>0</v>
      </c>
      <c r="Q35" s="1383">
        <v>0</v>
      </c>
      <c r="R35" s="1384">
        <v>344</v>
      </c>
    </row>
    <row r="36" spans="1:18" ht="19.5" customHeight="1">
      <c r="A36" s="1423" t="s">
        <v>2253</v>
      </c>
      <c r="B36" s="1424" t="s">
        <v>1233</v>
      </c>
      <c r="C36" s="1425">
        <v>0</v>
      </c>
      <c r="D36" s="1425">
        <v>0</v>
      </c>
      <c r="E36" s="1425">
        <v>30</v>
      </c>
      <c r="F36" s="1425">
        <v>28</v>
      </c>
      <c r="G36" s="1425">
        <v>36</v>
      </c>
      <c r="H36" s="1425">
        <v>29</v>
      </c>
      <c r="I36" s="1425">
        <v>32</v>
      </c>
      <c r="J36" s="1425">
        <v>37</v>
      </c>
      <c r="K36" s="1425">
        <v>0</v>
      </c>
      <c r="L36" s="1425">
        <v>0</v>
      </c>
      <c r="M36" s="1425">
        <v>0</v>
      </c>
      <c r="N36" s="1425">
        <v>0</v>
      </c>
      <c r="O36" s="1425">
        <v>0</v>
      </c>
      <c r="P36" s="1425">
        <v>0</v>
      </c>
      <c r="Q36" s="1425">
        <v>0</v>
      </c>
      <c r="R36" s="1426">
        <v>192</v>
      </c>
    </row>
    <row r="37" spans="1:18" ht="19.5" customHeight="1">
      <c r="A37" s="1381" t="s">
        <v>2254</v>
      </c>
      <c r="B37" s="1382" t="s">
        <v>1233</v>
      </c>
      <c r="C37" s="1383">
        <v>11</v>
      </c>
      <c r="D37" s="1383">
        <v>0</v>
      </c>
      <c r="E37" s="1383">
        <v>0</v>
      </c>
      <c r="F37" s="1383">
        <v>0</v>
      </c>
      <c r="G37" s="1383">
        <v>0</v>
      </c>
      <c r="H37" s="1383">
        <v>0</v>
      </c>
      <c r="I37" s="1383">
        <v>0</v>
      </c>
      <c r="J37" s="1383">
        <v>0</v>
      </c>
      <c r="K37" s="1383">
        <v>0</v>
      </c>
      <c r="L37" s="1383">
        <v>0</v>
      </c>
      <c r="M37" s="1383">
        <v>0</v>
      </c>
      <c r="N37" s="1383">
        <v>253</v>
      </c>
      <c r="O37" s="1383">
        <v>299</v>
      </c>
      <c r="P37" s="1383">
        <v>312</v>
      </c>
      <c r="Q37" s="1383">
        <v>311</v>
      </c>
      <c r="R37" s="1384">
        <v>1186</v>
      </c>
    </row>
    <row r="38" spans="1:18" ht="19.5" customHeight="1">
      <c r="A38" s="1381" t="s">
        <v>2418</v>
      </c>
      <c r="B38" s="1382" t="s">
        <v>2158</v>
      </c>
      <c r="C38" s="1383">
        <v>0</v>
      </c>
      <c r="D38" s="1383">
        <v>0</v>
      </c>
      <c r="E38" s="1383">
        <v>0</v>
      </c>
      <c r="F38" s="1383">
        <v>0</v>
      </c>
      <c r="G38" s="1383">
        <v>0</v>
      </c>
      <c r="H38" s="1383">
        <v>0</v>
      </c>
      <c r="I38" s="1383">
        <v>0</v>
      </c>
      <c r="J38" s="1383">
        <v>0</v>
      </c>
      <c r="K38" s="1383">
        <v>74</v>
      </c>
      <c r="L38" s="1383">
        <v>79</v>
      </c>
      <c r="M38" s="1383">
        <v>84</v>
      </c>
      <c r="N38" s="1383">
        <v>0</v>
      </c>
      <c r="O38" s="1383">
        <v>0</v>
      </c>
      <c r="P38" s="1383">
        <v>0</v>
      </c>
      <c r="Q38" s="1383">
        <v>0</v>
      </c>
      <c r="R38" s="1384">
        <v>237</v>
      </c>
    </row>
    <row r="39" spans="1:18" ht="19.5" customHeight="1">
      <c r="A39" s="1381" t="s">
        <v>2419</v>
      </c>
      <c r="B39" s="1382" t="s">
        <v>1233</v>
      </c>
      <c r="C39" s="1383">
        <v>0</v>
      </c>
      <c r="D39" s="1383">
        <v>0</v>
      </c>
      <c r="E39" s="1383">
        <v>67</v>
      </c>
      <c r="F39" s="1383">
        <v>47</v>
      </c>
      <c r="G39" s="1383">
        <v>72</v>
      </c>
      <c r="H39" s="1383">
        <v>48</v>
      </c>
      <c r="I39" s="1383">
        <v>60</v>
      </c>
      <c r="J39" s="1383">
        <v>52</v>
      </c>
      <c r="K39" s="1383">
        <v>66</v>
      </c>
      <c r="L39" s="1383">
        <v>72</v>
      </c>
      <c r="M39" s="1383">
        <v>77</v>
      </c>
      <c r="N39" s="1383">
        <v>0</v>
      </c>
      <c r="O39" s="1383">
        <v>0</v>
      </c>
      <c r="P39" s="1383">
        <v>0</v>
      </c>
      <c r="Q39" s="1383">
        <v>0</v>
      </c>
      <c r="R39" s="1384">
        <v>561</v>
      </c>
    </row>
    <row r="40" spans="1:18" ht="19.5" customHeight="1">
      <c r="A40" s="1381" t="s">
        <v>2257</v>
      </c>
      <c r="B40" s="1382" t="s">
        <v>1233</v>
      </c>
      <c r="C40" s="1383">
        <v>0</v>
      </c>
      <c r="D40" s="1383">
        <v>0</v>
      </c>
      <c r="E40" s="1383">
        <v>17</v>
      </c>
      <c r="F40" s="1383">
        <v>10</v>
      </c>
      <c r="G40" s="1383">
        <v>20</v>
      </c>
      <c r="H40" s="1383">
        <v>18</v>
      </c>
      <c r="I40" s="1383">
        <v>21</v>
      </c>
      <c r="J40" s="1383">
        <v>26</v>
      </c>
      <c r="K40" s="1383">
        <v>0</v>
      </c>
      <c r="L40" s="1383">
        <v>0</v>
      </c>
      <c r="M40" s="1383">
        <v>0</v>
      </c>
      <c r="N40" s="1383">
        <v>0</v>
      </c>
      <c r="O40" s="1383">
        <v>0</v>
      </c>
      <c r="P40" s="1383">
        <v>0</v>
      </c>
      <c r="Q40" s="1383">
        <v>0</v>
      </c>
      <c r="R40" s="1384">
        <v>112</v>
      </c>
    </row>
    <row r="41" spans="1:18" ht="19.5" customHeight="1">
      <c r="A41" s="1381" t="s">
        <v>2420</v>
      </c>
      <c r="B41" s="1382" t="s">
        <v>1233</v>
      </c>
      <c r="C41" s="1383">
        <v>0</v>
      </c>
      <c r="D41" s="1383">
        <v>0</v>
      </c>
      <c r="E41" s="1383">
        <v>75</v>
      </c>
      <c r="F41" s="1383">
        <v>76</v>
      </c>
      <c r="G41" s="1383">
        <v>73</v>
      </c>
      <c r="H41" s="1383">
        <v>90</v>
      </c>
      <c r="I41" s="1383">
        <v>75</v>
      </c>
      <c r="J41" s="1383">
        <v>70</v>
      </c>
      <c r="K41" s="1383">
        <v>0</v>
      </c>
      <c r="L41" s="1383">
        <v>0</v>
      </c>
      <c r="M41" s="1383">
        <v>0</v>
      </c>
      <c r="N41" s="1383">
        <v>0</v>
      </c>
      <c r="O41" s="1383">
        <v>0</v>
      </c>
      <c r="P41" s="1383">
        <v>0</v>
      </c>
      <c r="Q41" s="1383">
        <v>0</v>
      </c>
      <c r="R41" s="1384">
        <v>459</v>
      </c>
    </row>
    <row r="42" spans="1:18" ht="19.5" customHeight="1">
      <c r="A42" s="1381" t="s">
        <v>2421</v>
      </c>
      <c r="B42" s="1382" t="s">
        <v>1233</v>
      </c>
      <c r="C42" s="1383">
        <v>0</v>
      </c>
      <c r="D42" s="1383">
        <v>0</v>
      </c>
      <c r="E42" s="1383">
        <v>78</v>
      </c>
      <c r="F42" s="1383">
        <v>60</v>
      </c>
      <c r="G42" s="1383">
        <v>94</v>
      </c>
      <c r="H42" s="1383">
        <v>73</v>
      </c>
      <c r="I42" s="1383">
        <v>82</v>
      </c>
      <c r="J42" s="1383">
        <v>72</v>
      </c>
      <c r="K42" s="1383">
        <v>0</v>
      </c>
      <c r="L42" s="1383">
        <v>0</v>
      </c>
      <c r="M42" s="1383">
        <v>0</v>
      </c>
      <c r="N42" s="1383">
        <v>0</v>
      </c>
      <c r="O42" s="1383">
        <v>0</v>
      </c>
      <c r="P42" s="1383">
        <v>0</v>
      </c>
      <c r="Q42" s="1383">
        <v>0</v>
      </c>
      <c r="R42" s="1384">
        <v>459</v>
      </c>
    </row>
    <row r="43" spans="1:18" ht="19.5" customHeight="1">
      <c r="A43" s="1381" t="s">
        <v>2258</v>
      </c>
      <c r="B43" s="1382" t="s">
        <v>1233</v>
      </c>
      <c r="C43" s="1383">
        <v>1</v>
      </c>
      <c r="D43" s="1383">
        <v>0</v>
      </c>
      <c r="E43" s="1383">
        <v>0</v>
      </c>
      <c r="F43" s="1383">
        <v>0</v>
      </c>
      <c r="G43" s="1383">
        <v>0</v>
      </c>
      <c r="H43" s="1383">
        <v>0</v>
      </c>
      <c r="I43" s="1383">
        <v>0</v>
      </c>
      <c r="J43" s="1383">
        <v>0</v>
      </c>
      <c r="K43" s="1383">
        <v>0</v>
      </c>
      <c r="L43" s="1383">
        <v>0</v>
      </c>
      <c r="M43" s="1383">
        <v>0</v>
      </c>
      <c r="N43" s="1383">
        <v>159</v>
      </c>
      <c r="O43" s="1383">
        <v>138</v>
      </c>
      <c r="P43" s="1383">
        <v>159</v>
      </c>
      <c r="Q43" s="1383">
        <v>171</v>
      </c>
      <c r="R43" s="1384">
        <v>628</v>
      </c>
    </row>
    <row r="44" spans="1:18" ht="19.5" customHeight="1">
      <c r="A44" s="1381" t="s">
        <v>2422</v>
      </c>
      <c r="B44" s="1382" t="s">
        <v>1233</v>
      </c>
      <c r="C44" s="1383">
        <v>0</v>
      </c>
      <c r="D44" s="1383">
        <v>0</v>
      </c>
      <c r="E44" s="1383">
        <v>0</v>
      </c>
      <c r="F44" s="1383">
        <v>0</v>
      </c>
      <c r="G44" s="1383">
        <v>0</v>
      </c>
      <c r="H44" s="1383">
        <v>0</v>
      </c>
      <c r="I44" s="1383">
        <v>0</v>
      </c>
      <c r="J44" s="1383">
        <v>0</v>
      </c>
      <c r="K44" s="1383">
        <v>120</v>
      </c>
      <c r="L44" s="1383">
        <v>140</v>
      </c>
      <c r="M44" s="1383">
        <v>155</v>
      </c>
      <c r="N44" s="1383">
        <v>0</v>
      </c>
      <c r="O44" s="1383">
        <v>0</v>
      </c>
      <c r="P44" s="1383">
        <v>0</v>
      </c>
      <c r="Q44" s="1383">
        <v>0</v>
      </c>
      <c r="R44" s="1384">
        <v>415</v>
      </c>
    </row>
    <row r="45" spans="1:18" ht="19.5" customHeight="1">
      <c r="A45" s="1381" t="s">
        <v>2260</v>
      </c>
      <c r="B45" s="1382" t="s">
        <v>1233</v>
      </c>
      <c r="C45" s="1383">
        <v>0</v>
      </c>
      <c r="D45" s="1383">
        <v>0</v>
      </c>
      <c r="E45" s="1383">
        <v>51</v>
      </c>
      <c r="F45" s="1383">
        <v>48</v>
      </c>
      <c r="G45" s="1383">
        <v>46</v>
      </c>
      <c r="H45" s="1383">
        <v>47</v>
      </c>
      <c r="I45" s="1383">
        <v>41</v>
      </c>
      <c r="J45" s="1383">
        <v>34</v>
      </c>
      <c r="K45" s="1383">
        <v>0</v>
      </c>
      <c r="L45" s="1383">
        <v>0</v>
      </c>
      <c r="M45" s="1383">
        <v>0</v>
      </c>
      <c r="N45" s="1383">
        <v>0</v>
      </c>
      <c r="O45" s="1383">
        <v>0</v>
      </c>
      <c r="P45" s="1383">
        <v>0</v>
      </c>
      <c r="Q45" s="1383">
        <v>0</v>
      </c>
      <c r="R45" s="1384">
        <v>267</v>
      </c>
    </row>
    <row r="46" spans="1:18" ht="19.5" customHeight="1">
      <c r="A46" s="1393" t="s">
        <v>2261</v>
      </c>
      <c r="B46" s="1382" t="s">
        <v>1233</v>
      </c>
      <c r="C46" s="1394">
        <v>0</v>
      </c>
      <c r="D46" s="1394">
        <v>0</v>
      </c>
      <c r="E46" s="1394">
        <v>38</v>
      </c>
      <c r="F46" s="1394">
        <v>27</v>
      </c>
      <c r="G46" s="1394">
        <v>34</v>
      </c>
      <c r="H46" s="1394">
        <v>30</v>
      </c>
      <c r="I46" s="1394">
        <v>29</v>
      </c>
      <c r="J46" s="1394">
        <v>34</v>
      </c>
      <c r="K46" s="1394">
        <v>0</v>
      </c>
      <c r="L46" s="1394">
        <v>0</v>
      </c>
      <c r="M46" s="1394">
        <v>0</v>
      </c>
      <c r="N46" s="1394">
        <v>0</v>
      </c>
      <c r="O46" s="1394">
        <v>0</v>
      </c>
      <c r="P46" s="1394">
        <v>0</v>
      </c>
      <c r="Q46" s="1394">
        <v>0</v>
      </c>
      <c r="R46" s="1403">
        <v>192</v>
      </c>
    </row>
    <row r="47" spans="1:18" ht="19.5" customHeight="1">
      <c r="A47" s="1362" t="s">
        <v>2262</v>
      </c>
      <c r="B47" s="1362" t="s">
        <v>2263</v>
      </c>
      <c r="C47" s="1363">
        <v>68</v>
      </c>
      <c r="D47" s="1363">
        <v>0</v>
      </c>
      <c r="E47" s="1363">
        <v>1131</v>
      </c>
      <c r="F47" s="1363">
        <v>1156</v>
      </c>
      <c r="G47" s="1363">
        <v>1240</v>
      </c>
      <c r="H47" s="1363">
        <v>1175</v>
      </c>
      <c r="I47" s="1363">
        <v>1211</v>
      </c>
      <c r="J47" s="1363">
        <v>1240</v>
      </c>
      <c r="K47" s="1363">
        <v>1117</v>
      </c>
      <c r="L47" s="1363">
        <v>1154</v>
      </c>
      <c r="M47" s="1363">
        <v>1193</v>
      </c>
      <c r="N47" s="1363">
        <v>1266</v>
      </c>
      <c r="O47" s="1363">
        <v>1319</v>
      </c>
      <c r="P47" s="1363">
        <v>1381</v>
      </c>
      <c r="Q47" s="1363">
        <v>1532</v>
      </c>
      <c r="R47" s="1363">
        <v>16183</v>
      </c>
    </row>
    <row r="50" spans="1:1">
      <c r="A50" s="39" t="s">
        <v>2423</v>
      </c>
    </row>
  </sheetData>
  <mergeCells count="3">
    <mergeCell ref="A1:R1"/>
    <mergeCell ref="A2:R2"/>
    <mergeCell ref="A3:R3"/>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Narrow,Regular"&amp;12- 25 -</oddFooter>
  </headerFooter>
  <rowBreaks count="1" manualBreakCount="1">
    <brk id="36" max="17" man="1"/>
  </rowBreaks>
  <tableParts count="1">
    <tablePart r:id="rId2"/>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indexed="44"/>
    <pageSetUpPr autoPageBreaks="0"/>
  </sheetPr>
  <dimension ref="A1:T38"/>
  <sheetViews>
    <sheetView showGridLines="0" showZeros="0" zoomScale="82" zoomScaleNormal="82" workbookViewId="0">
      <selection activeCell="V20" sqref="V20"/>
    </sheetView>
  </sheetViews>
  <sheetFormatPr baseColWidth="10" defaultColWidth="9.19921875" defaultRowHeight="13"/>
  <cols>
    <col min="1" max="1" width="40.796875" style="3" customWidth="1"/>
    <col min="2" max="2" width="20.796875" style="3" customWidth="1"/>
    <col min="3" max="17" width="8.19921875" style="3" customWidth="1"/>
    <col min="18" max="18" width="9.796875" style="11" customWidth="1"/>
    <col min="19" max="16384" width="9.19921875" style="3"/>
  </cols>
  <sheetData>
    <row r="1" spans="1:20" ht="18" customHeight="1">
      <c r="A1" s="1818" t="s">
        <v>2086</v>
      </c>
      <c r="B1" s="1818"/>
      <c r="C1" s="1818"/>
      <c r="D1" s="1818"/>
      <c r="E1" s="1818"/>
      <c r="F1" s="1818"/>
      <c r="G1" s="1818"/>
      <c r="H1" s="1818"/>
      <c r="I1" s="1818"/>
      <c r="J1" s="1818"/>
      <c r="K1" s="1818"/>
      <c r="L1" s="1818"/>
      <c r="M1" s="1818"/>
      <c r="N1" s="1818"/>
      <c r="O1" s="1818"/>
      <c r="P1" s="1818"/>
      <c r="Q1" s="1818"/>
      <c r="R1" s="1818"/>
      <c r="S1" s="11"/>
    </row>
    <row r="2" spans="1:20" ht="18" customHeight="1">
      <c r="A2" s="1810" t="s">
        <v>2407</v>
      </c>
      <c r="B2" s="1811"/>
      <c r="C2" s="1811"/>
      <c r="D2" s="1811"/>
      <c r="E2" s="1811"/>
      <c r="F2" s="1811"/>
      <c r="G2" s="1811"/>
      <c r="H2" s="1811"/>
      <c r="I2" s="1811"/>
      <c r="J2" s="1811"/>
      <c r="K2" s="1811"/>
      <c r="L2" s="1811"/>
      <c r="M2" s="1811"/>
      <c r="N2" s="1811"/>
      <c r="O2" s="1811"/>
      <c r="P2" s="1811"/>
      <c r="Q2" s="1811"/>
      <c r="R2" s="1811"/>
      <c r="S2" s="11"/>
    </row>
    <row r="3" spans="1:20" ht="15" customHeight="1">
      <c r="A3" s="12"/>
      <c r="B3" s="12"/>
      <c r="C3" s="12"/>
      <c r="D3" s="12"/>
      <c r="E3" s="12"/>
      <c r="F3" s="12"/>
      <c r="G3" s="12"/>
      <c r="H3" s="12"/>
      <c r="I3" s="12"/>
      <c r="J3" s="12"/>
      <c r="K3" s="12"/>
      <c r="L3" s="12"/>
      <c r="M3" s="12"/>
      <c r="N3" s="12"/>
      <c r="O3" s="12"/>
      <c r="P3" s="12"/>
      <c r="Q3" s="12"/>
      <c r="R3" s="13"/>
      <c r="T3" s="14"/>
    </row>
    <row r="4" spans="1:20" ht="20.25" customHeight="1">
      <c r="A4" s="1819" t="s">
        <v>2134</v>
      </c>
      <c r="B4" s="1820"/>
      <c r="C4" s="1820"/>
      <c r="D4" s="1820"/>
      <c r="E4" s="1820"/>
      <c r="F4" s="1820"/>
      <c r="G4" s="1820"/>
      <c r="H4" s="1820"/>
      <c r="I4" s="1820"/>
      <c r="J4" s="1820"/>
      <c r="K4" s="1820"/>
      <c r="L4" s="1820"/>
      <c r="M4" s="1820"/>
      <c r="N4" s="1820"/>
      <c r="O4" s="1820"/>
      <c r="P4" s="1820"/>
      <c r="Q4" s="1820"/>
      <c r="R4" s="1821"/>
    </row>
    <row r="5" spans="1:20" ht="20.25" customHeight="1">
      <c r="A5" s="568" t="s">
        <v>2138</v>
      </c>
      <c r="B5" s="569" t="s">
        <v>2139</v>
      </c>
      <c r="C5" s="570" t="s">
        <v>2129</v>
      </c>
      <c r="D5" s="570" t="s">
        <v>2130</v>
      </c>
      <c r="E5" s="570" t="s">
        <v>2131</v>
      </c>
      <c r="F5" s="571" t="s">
        <v>1559</v>
      </c>
      <c r="G5" s="571" t="s">
        <v>1560</v>
      </c>
      <c r="H5" s="571" t="s">
        <v>1561</v>
      </c>
      <c r="I5" s="571" t="s">
        <v>1562</v>
      </c>
      <c r="J5" s="571" t="s">
        <v>1547</v>
      </c>
      <c r="K5" s="571" t="s">
        <v>1548</v>
      </c>
      <c r="L5" s="571" t="s">
        <v>1549</v>
      </c>
      <c r="M5" s="571" t="s">
        <v>1550</v>
      </c>
      <c r="N5" s="571" t="s">
        <v>1551</v>
      </c>
      <c r="O5" s="571" t="s">
        <v>1552</v>
      </c>
      <c r="P5" s="571" t="s">
        <v>1553</v>
      </c>
      <c r="Q5" s="571" t="s">
        <v>1554</v>
      </c>
      <c r="R5" s="572" t="s">
        <v>322</v>
      </c>
    </row>
    <row r="6" spans="1:20" ht="20.25" customHeight="1">
      <c r="A6" s="1427" t="s">
        <v>2141</v>
      </c>
      <c r="B6" s="1408" t="s">
        <v>1233</v>
      </c>
      <c r="C6" s="1409">
        <v>0</v>
      </c>
      <c r="D6" s="1409">
        <v>0</v>
      </c>
      <c r="E6" s="1409">
        <v>18</v>
      </c>
      <c r="F6" s="1409">
        <v>19</v>
      </c>
      <c r="G6" s="1409">
        <v>18</v>
      </c>
      <c r="H6" s="1409">
        <v>15</v>
      </c>
      <c r="I6" s="1409">
        <v>15</v>
      </c>
      <c r="J6" s="1409">
        <v>22</v>
      </c>
      <c r="K6" s="1409">
        <v>0</v>
      </c>
      <c r="L6" s="1409">
        <v>0</v>
      </c>
      <c r="M6" s="1409">
        <v>0</v>
      </c>
      <c r="N6" s="1409">
        <v>0</v>
      </c>
      <c r="O6" s="1409">
        <v>0</v>
      </c>
      <c r="P6" s="1409">
        <v>0</v>
      </c>
      <c r="Q6" s="1409">
        <v>0</v>
      </c>
      <c r="R6" s="1428">
        <v>107</v>
      </c>
    </row>
    <row r="7" spans="1:20" ht="20.25" customHeight="1">
      <c r="A7" s="1427" t="s">
        <v>2145</v>
      </c>
      <c r="B7" s="1408" t="s">
        <v>1233</v>
      </c>
      <c r="C7" s="1409">
        <v>0</v>
      </c>
      <c r="D7" s="1409">
        <v>0</v>
      </c>
      <c r="E7" s="1409">
        <v>0</v>
      </c>
      <c r="F7" s="1409">
        <v>0</v>
      </c>
      <c r="G7" s="1409">
        <v>0</v>
      </c>
      <c r="H7" s="1409">
        <v>0</v>
      </c>
      <c r="I7" s="1409">
        <v>0</v>
      </c>
      <c r="J7" s="1409">
        <v>0</v>
      </c>
      <c r="K7" s="1409">
        <v>133</v>
      </c>
      <c r="L7" s="1409">
        <v>123</v>
      </c>
      <c r="M7" s="1409">
        <v>131</v>
      </c>
      <c r="N7" s="1409">
        <v>0</v>
      </c>
      <c r="O7" s="1409">
        <v>0</v>
      </c>
      <c r="P7" s="1409">
        <v>0</v>
      </c>
      <c r="Q7" s="1409">
        <v>0</v>
      </c>
      <c r="R7" s="1428">
        <v>387</v>
      </c>
    </row>
    <row r="8" spans="1:20" ht="20.25" customHeight="1">
      <c r="A8" s="1427" t="s">
        <v>2409</v>
      </c>
      <c r="B8" s="1408" t="s">
        <v>1233</v>
      </c>
      <c r="C8" s="1409">
        <v>0</v>
      </c>
      <c r="D8" s="1409">
        <v>0</v>
      </c>
      <c r="E8" s="1409">
        <v>65</v>
      </c>
      <c r="F8" s="1409">
        <v>59</v>
      </c>
      <c r="G8" s="1409">
        <v>60</v>
      </c>
      <c r="H8" s="1409">
        <v>71</v>
      </c>
      <c r="I8" s="1409">
        <v>60</v>
      </c>
      <c r="J8" s="1409">
        <v>81</v>
      </c>
      <c r="K8" s="1409">
        <v>61</v>
      </c>
      <c r="L8" s="1409">
        <v>61</v>
      </c>
      <c r="M8" s="1409">
        <v>52</v>
      </c>
      <c r="N8" s="1409">
        <v>0</v>
      </c>
      <c r="O8" s="1409">
        <v>0</v>
      </c>
      <c r="P8" s="1409">
        <v>0</v>
      </c>
      <c r="Q8" s="1409">
        <v>0</v>
      </c>
      <c r="R8" s="1428">
        <v>570</v>
      </c>
    </row>
    <row r="9" spans="1:20" ht="20.25" customHeight="1">
      <c r="A9" s="1427" t="s">
        <v>2410</v>
      </c>
      <c r="B9" s="1408" t="s">
        <v>1233</v>
      </c>
      <c r="C9" s="1409">
        <v>0</v>
      </c>
      <c r="D9" s="1409">
        <v>0</v>
      </c>
      <c r="E9" s="1409">
        <v>58</v>
      </c>
      <c r="F9" s="1409">
        <v>41</v>
      </c>
      <c r="G9" s="1409">
        <v>38</v>
      </c>
      <c r="H9" s="1409">
        <v>61</v>
      </c>
      <c r="I9" s="1409">
        <v>45</v>
      </c>
      <c r="J9" s="1409">
        <v>57</v>
      </c>
      <c r="K9" s="1409">
        <v>0</v>
      </c>
      <c r="L9" s="1409">
        <v>0</v>
      </c>
      <c r="M9" s="1409">
        <v>0</v>
      </c>
      <c r="N9" s="1409">
        <v>0</v>
      </c>
      <c r="O9" s="1409">
        <v>0</v>
      </c>
      <c r="P9" s="1409">
        <v>0</v>
      </c>
      <c r="Q9" s="1409">
        <v>0</v>
      </c>
      <c r="R9" s="1428">
        <v>300</v>
      </c>
    </row>
    <row r="10" spans="1:20" ht="20.25" customHeight="1">
      <c r="A10" s="1427" t="s">
        <v>2157</v>
      </c>
      <c r="B10" s="1408" t="s">
        <v>2158</v>
      </c>
      <c r="C10" s="1409">
        <v>0</v>
      </c>
      <c r="D10" s="1409">
        <v>0</v>
      </c>
      <c r="E10" s="1409">
        <v>29</v>
      </c>
      <c r="F10" s="1409">
        <v>32</v>
      </c>
      <c r="G10" s="1409">
        <v>34</v>
      </c>
      <c r="H10" s="1409">
        <v>39</v>
      </c>
      <c r="I10" s="1409">
        <v>38</v>
      </c>
      <c r="J10" s="1409">
        <v>44</v>
      </c>
      <c r="K10" s="1409">
        <v>0</v>
      </c>
      <c r="L10" s="1409">
        <v>0</v>
      </c>
      <c r="M10" s="1409">
        <v>0</v>
      </c>
      <c r="N10" s="1409">
        <v>0</v>
      </c>
      <c r="O10" s="1409">
        <v>0</v>
      </c>
      <c r="P10" s="1409">
        <v>0</v>
      </c>
      <c r="Q10" s="1409">
        <v>0</v>
      </c>
      <c r="R10" s="1428">
        <v>216</v>
      </c>
    </row>
    <row r="11" spans="1:20" ht="20.25" customHeight="1">
      <c r="A11" s="1427" t="s">
        <v>2411</v>
      </c>
      <c r="B11" s="1408" t="s">
        <v>1233</v>
      </c>
      <c r="C11" s="1409">
        <v>0</v>
      </c>
      <c r="D11" s="1409">
        <v>0</v>
      </c>
      <c r="E11" s="1409">
        <v>0</v>
      </c>
      <c r="F11" s="1409">
        <v>0</v>
      </c>
      <c r="G11" s="1409">
        <v>0</v>
      </c>
      <c r="H11" s="1409">
        <v>0</v>
      </c>
      <c r="I11" s="1409">
        <v>0</v>
      </c>
      <c r="J11" s="1409">
        <v>0</v>
      </c>
      <c r="K11" s="1409">
        <v>147</v>
      </c>
      <c r="L11" s="1409">
        <v>160</v>
      </c>
      <c r="M11" s="1409">
        <v>150</v>
      </c>
      <c r="N11" s="1409">
        <v>0</v>
      </c>
      <c r="O11" s="1409">
        <v>0</v>
      </c>
      <c r="P11" s="1409">
        <v>0</v>
      </c>
      <c r="Q11" s="1409">
        <v>0</v>
      </c>
      <c r="R11" s="1428">
        <v>457</v>
      </c>
    </row>
    <row r="12" spans="1:20" ht="20.25" customHeight="1">
      <c r="A12" s="1427" t="s">
        <v>2170</v>
      </c>
      <c r="B12" s="1408" t="s">
        <v>1233</v>
      </c>
      <c r="C12" s="1409">
        <v>0</v>
      </c>
      <c r="D12" s="1409">
        <v>0</v>
      </c>
      <c r="E12" s="1409">
        <v>0</v>
      </c>
      <c r="F12" s="1409">
        <v>0</v>
      </c>
      <c r="G12" s="1409">
        <v>0</v>
      </c>
      <c r="H12" s="1409">
        <v>0</v>
      </c>
      <c r="I12" s="1409">
        <v>0</v>
      </c>
      <c r="J12" s="1409">
        <v>0</v>
      </c>
      <c r="K12" s="1409">
        <v>0</v>
      </c>
      <c r="L12" s="1409">
        <v>0</v>
      </c>
      <c r="M12" s="1409">
        <v>0</v>
      </c>
      <c r="N12" s="1409">
        <v>89</v>
      </c>
      <c r="O12" s="1409">
        <v>94</v>
      </c>
      <c r="P12" s="1409">
        <v>81</v>
      </c>
      <c r="Q12" s="1409">
        <v>100</v>
      </c>
      <c r="R12" s="1428">
        <v>364</v>
      </c>
    </row>
    <row r="13" spans="1:20" ht="20.25" customHeight="1">
      <c r="A13" s="1427" t="s">
        <v>2174</v>
      </c>
      <c r="B13" s="1408" t="s">
        <v>1233</v>
      </c>
      <c r="C13" s="1409">
        <v>0</v>
      </c>
      <c r="D13" s="1409">
        <v>0</v>
      </c>
      <c r="E13" s="1409">
        <v>52</v>
      </c>
      <c r="F13" s="1409">
        <v>45</v>
      </c>
      <c r="G13" s="1409">
        <v>52</v>
      </c>
      <c r="H13" s="1409">
        <v>53</v>
      </c>
      <c r="I13" s="1409">
        <v>48</v>
      </c>
      <c r="J13" s="1409">
        <v>51</v>
      </c>
      <c r="K13" s="1409">
        <v>0</v>
      </c>
      <c r="L13" s="1409">
        <v>0</v>
      </c>
      <c r="M13" s="1409">
        <v>0</v>
      </c>
      <c r="N13" s="1409">
        <v>0</v>
      </c>
      <c r="O13" s="1409">
        <v>0</v>
      </c>
      <c r="P13" s="1409">
        <v>0</v>
      </c>
      <c r="Q13" s="1409">
        <v>0</v>
      </c>
      <c r="R13" s="1428">
        <v>301</v>
      </c>
    </row>
    <row r="14" spans="1:20" ht="20.25" customHeight="1">
      <c r="A14" s="1427" t="s">
        <v>2178</v>
      </c>
      <c r="B14" s="1408" t="s">
        <v>2158</v>
      </c>
      <c r="C14" s="1409">
        <v>0</v>
      </c>
      <c r="D14" s="1409">
        <v>0</v>
      </c>
      <c r="E14" s="1409">
        <v>39</v>
      </c>
      <c r="F14" s="1409">
        <v>40</v>
      </c>
      <c r="G14" s="1409">
        <v>37</v>
      </c>
      <c r="H14" s="1409">
        <v>35</v>
      </c>
      <c r="I14" s="1409">
        <v>35</v>
      </c>
      <c r="J14" s="1409">
        <v>36</v>
      </c>
      <c r="K14" s="1409">
        <v>0</v>
      </c>
      <c r="L14" s="1409">
        <v>0</v>
      </c>
      <c r="M14" s="1409">
        <v>0</v>
      </c>
      <c r="N14" s="1409">
        <v>0</v>
      </c>
      <c r="O14" s="1409">
        <v>0</v>
      </c>
      <c r="P14" s="1409">
        <v>0</v>
      </c>
      <c r="Q14" s="1409">
        <v>0</v>
      </c>
      <c r="R14" s="1428">
        <v>222</v>
      </c>
    </row>
    <row r="15" spans="1:20" ht="20.25" customHeight="1">
      <c r="A15" s="1427" t="s">
        <v>2181</v>
      </c>
      <c r="B15" s="1408" t="s">
        <v>1233</v>
      </c>
      <c r="C15" s="1409">
        <v>0</v>
      </c>
      <c r="D15" s="1409">
        <v>0</v>
      </c>
      <c r="E15" s="1409">
        <v>78</v>
      </c>
      <c r="F15" s="1409">
        <v>59</v>
      </c>
      <c r="G15" s="1409">
        <v>85</v>
      </c>
      <c r="H15" s="1409">
        <v>45</v>
      </c>
      <c r="I15" s="1409">
        <v>63</v>
      </c>
      <c r="J15" s="1409">
        <v>0</v>
      </c>
      <c r="K15" s="1409">
        <v>0</v>
      </c>
      <c r="L15" s="1409">
        <v>0</v>
      </c>
      <c r="M15" s="1409">
        <v>0</v>
      </c>
      <c r="N15" s="1409">
        <v>0</v>
      </c>
      <c r="O15" s="1409">
        <v>0</v>
      </c>
      <c r="P15" s="1409">
        <v>0</v>
      </c>
      <c r="Q15" s="1409">
        <v>0</v>
      </c>
      <c r="R15" s="1428">
        <v>330</v>
      </c>
    </row>
    <row r="16" spans="1:20" ht="20.25" customHeight="1">
      <c r="A16" s="1427" t="s">
        <v>2187</v>
      </c>
      <c r="B16" s="1408" t="s">
        <v>1233</v>
      </c>
      <c r="C16" s="1409">
        <v>0</v>
      </c>
      <c r="D16" s="1409">
        <v>0</v>
      </c>
      <c r="E16" s="1409">
        <v>74</v>
      </c>
      <c r="F16" s="1409">
        <v>62</v>
      </c>
      <c r="G16" s="1409">
        <v>78</v>
      </c>
      <c r="H16" s="1409">
        <v>56</v>
      </c>
      <c r="I16" s="1409">
        <v>44</v>
      </c>
      <c r="J16" s="1409">
        <v>0</v>
      </c>
      <c r="K16" s="1409">
        <v>0</v>
      </c>
      <c r="L16" s="1409">
        <v>0</v>
      </c>
      <c r="M16" s="1409">
        <v>0</v>
      </c>
      <c r="N16" s="1409">
        <v>0</v>
      </c>
      <c r="O16" s="1409">
        <v>0</v>
      </c>
      <c r="P16" s="1409">
        <v>0</v>
      </c>
      <c r="Q16" s="1409">
        <v>0</v>
      </c>
      <c r="R16" s="1428">
        <v>314</v>
      </c>
    </row>
    <row r="17" spans="1:18" ht="20.25" customHeight="1">
      <c r="A17" s="1427" t="s">
        <v>2197</v>
      </c>
      <c r="B17" s="1408" t="s">
        <v>1233</v>
      </c>
      <c r="C17" s="1409">
        <v>0</v>
      </c>
      <c r="D17" s="1409">
        <v>0</v>
      </c>
      <c r="E17" s="1409">
        <v>0</v>
      </c>
      <c r="F17" s="1409">
        <v>0</v>
      </c>
      <c r="G17" s="1409">
        <v>0</v>
      </c>
      <c r="H17" s="1409">
        <v>0</v>
      </c>
      <c r="I17" s="1409">
        <v>0</v>
      </c>
      <c r="J17" s="1409">
        <v>96</v>
      </c>
      <c r="K17" s="1409">
        <v>91</v>
      </c>
      <c r="L17" s="1409">
        <v>82</v>
      </c>
      <c r="M17" s="1409">
        <v>62</v>
      </c>
      <c r="N17" s="1409">
        <v>0</v>
      </c>
      <c r="O17" s="1409">
        <v>0</v>
      </c>
      <c r="P17" s="1409">
        <v>0</v>
      </c>
      <c r="Q17" s="1409">
        <v>0</v>
      </c>
      <c r="R17" s="1428">
        <v>331</v>
      </c>
    </row>
    <row r="18" spans="1:18" ht="20.25" customHeight="1">
      <c r="A18" s="1427" t="s">
        <v>2412</v>
      </c>
      <c r="B18" s="1408" t="s">
        <v>1233</v>
      </c>
      <c r="C18" s="1409">
        <v>0</v>
      </c>
      <c r="D18" s="1409">
        <v>0</v>
      </c>
      <c r="E18" s="1409">
        <v>32</v>
      </c>
      <c r="F18" s="1409">
        <v>37</v>
      </c>
      <c r="G18" s="1409">
        <v>34</v>
      </c>
      <c r="H18" s="1409">
        <v>29</v>
      </c>
      <c r="I18" s="1409">
        <v>40</v>
      </c>
      <c r="J18" s="1409">
        <v>24</v>
      </c>
      <c r="K18" s="1409">
        <v>0</v>
      </c>
      <c r="L18" s="1409">
        <v>0</v>
      </c>
      <c r="M18" s="1409">
        <v>0</v>
      </c>
      <c r="N18" s="1409">
        <v>0</v>
      </c>
      <c r="O18" s="1409">
        <v>0</v>
      </c>
      <c r="P18" s="1409">
        <v>0</v>
      </c>
      <c r="Q18" s="1409">
        <v>0</v>
      </c>
      <c r="R18" s="1428">
        <v>196</v>
      </c>
    </row>
    <row r="19" spans="1:18" ht="20.25" customHeight="1">
      <c r="A19" s="1427" t="s">
        <v>2215</v>
      </c>
      <c r="B19" s="1408" t="s">
        <v>1233</v>
      </c>
      <c r="C19" s="1409">
        <v>0</v>
      </c>
      <c r="D19" s="1409">
        <v>0</v>
      </c>
      <c r="E19" s="1409">
        <v>31</v>
      </c>
      <c r="F19" s="1409">
        <v>33</v>
      </c>
      <c r="G19" s="1409">
        <v>26</v>
      </c>
      <c r="H19" s="1409">
        <v>32</v>
      </c>
      <c r="I19" s="1409">
        <v>21</v>
      </c>
      <c r="J19" s="1409">
        <v>33</v>
      </c>
      <c r="K19" s="1409">
        <v>0</v>
      </c>
      <c r="L19" s="1409">
        <v>1</v>
      </c>
      <c r="M19" s="1409">
        <v>0</v>
      </c>
      <c r="N19" s="1409">
        <v>0</v>
      </c>
      <c r="O19" s="1409">
        <v>0</v>
      </c>
      <c r="P19" s="1409">
        <v>0</v>
      </c>
      <c r="Q19" s="1409">
        <v>0</v>
      </c>
      <c r="R19" s="1428">
        <v>177</v>
      </c>
    </row>
    <row r="20" spans="1:18" ht="20.25" customHeight="1">
      <c r="A20" s="1427" t="s">
        <v>2218</v>
      </c>
      <c r="B20" s="1408" t="s">
        <v>1233</v>
      </c>
      <c r="C20" s="1409">
        <v>0</v>
      </c>
      <c r="D20" s="1409">
        <v>0</v>
      </c>
      <c r="E20" s="1409">
        <v>66</v>
      </c>
      <c r="F20" s="1409">
        <v>54</v>
      </c>
      <c r="G20" s="1409">
        <v>72</v>
      </c>
      <c r="H20" s="1409">
        <v>63</v>
      </c>
      <c r="I20" s="1409">
        <v>80</v>
      </c>
      <c r="J20" s="1409">
        <v>83</v>
      </c>
      <c r="K20" s="1409">
        <v>0</v>
      </c>
      <c r="L20" s="1409">
        <v>0</v>
      </c>
      <c r="M20" s="1409">
        <v>0</v>
      </c>
      <c r="N20" s="1409">
        <v>0</v>
      </c>
      <c r="O20" s="1409">
        <v>0</v>
      </c>
      <c r="P20" s="1409">
        <v>0</v>
      </c>
      <c r="Q20" s="1409">
        <v>0</v>
      </c>
      <c r="R20" s="1428">
        <v>418</v>
      </c>
    </row>
    <row r="21" spans="1:18" ht="20.25" customHeight="1">
      <c r="A21" s="1427" t="s">
        <v>2221</v>
      </c>
      <c r="B21" s="1408" t="s">
        <v>1233</v>
      </c>
      <c r="C21" s="1409">
        <v>0</v>
      </c>
      <c r="D21" s="1409">
        <v>0</v>
      </c>
      <c r="E21" s="1409">
        <v>74</v>
      </c>
      <c r="F21" s="1409">
        <v>87</v>
      </c>
      <c r="G21" s="1409">
        <v>76</v>
      </c>
      <c r="H21" s="1409">
        <v>90</v>
      </c>
      <c r="I21" s="1409">
        <v>90</v>
      </c>
      <c r="J21" s="1409">
        <v>92</v>
      </c>
      <c r="K21" s="1409">
        <v>0</v>
      </c>
      <c r="L21" s="1409">
        <v>0</v>
      </c>
      <c r="M21" s="1409">
        <v>0</v>
      </c>
      <c r="N21" s="1409">
        <v>0</v>
      </c>
      <c r="O21" s="1409">
        <v>0</v>
      </c>
      <c r="P21" s="1409">
        <v>0</v>
      </c>
      <c r="Q21" s="1409">
        <v>0</v>
      </c>
      <c r="R21" s="1428">
        <v>509</v>
      </c>
    </row>
    <row r="22" spans="1:18" ht="20.25" customHeight="1">
      <c r="A22" s="1427" t="s">
        <v>2224</v>
      </c>
      <c r="B22" s="1408" t="s">
        <v>1233</v>
      </c>
      <c r="C22" s="1409">
        <v>0</v>
      </c>
      <c r="D22" s="1409">
        <v>0</v>
      </c>
      <c r="E22" s="1409">
        <v>0</v>
      </c>
      <c r="F22" s="1409">
        <v>0</v>
      </c>
      <c r="G22" s="1409">
        <v>0</v>
      </c>
      <c r="H22" s="1409">
        <v>0</v>
      </c>
      <c r="I22" s="1409">
        <v>0</v>
      </c>
      <c r="J22" s="1409">
        <v>0</v>
      </c>
      <c r="K22" s="1409">
        <v>1</v>
      </c>
      <c r="L22" s="1409">
        <v>2</v>
      </c>
      <c r="M22" s="1409">
        <v>3</v>
      </c>
      <c r="N22" s="1409">
        <v>4</v>
      </c>
      <c r="O22" s="1409">
        <v>11</v>
      </c>
      <c r="P22" s="1409">
        <v>10</v>
      </c>
      <c r="Q22" s="1409">
        <v>5</v>
      </c>
      <c r="R22" s="1428">
        <v>36</v>
      </c>
    </row>
    <row r="23" spans="1:18" ht="20.25" customHeight="1">
      <c r="A23" s="1427" t="s">
        <v>2414</v>
      </c>
      <c r="B23" s="1408" t="s">
        <v>1233</v>
      </c>
      <c r="C23" s="1409">
        <v>0</v>
      </c>
      <c r="D23" s="1409">
        <v>0</v>
      </c>
      <c r="E23" s="1409">
        <v>0</v>
      </c>
      <c r="F23" s="1409">
        <v>0</v>
      </c>
      <c r="G23" s="1409">
        <v>0</v>
      </c>
      <c r="H23" s="1409">
        <v>0</v>
      </c>
      <c r="I23" s="1409">
        <v>0</v>
      </c>
      <c r="J23" s="1409">
        <v>0</v>
      </c>
      <c r="K23" s="1409">
        <v>165</v>
      </c>
      <c r="L23" s="1409">
        <v>167</v>
      </c>
      <c r="M23" s="1409">
        <v>169</v>
      </c>
      <c r="N23" s="1409">
        <v>0</v>
      </c>
      <c r="O23" s="1409">
        <v>0</v>
      </c>
      <c r="P23" s="1409">
        <v>0</v>
      </c>
      <c r="Q23" s="1409">
        <v>0</v>
      </c>
      <c r="R23" s="1428">
        <v>501</v>
      </c>
    </row>
    <row r="24" spans="1:18" ht="20.25" customHeight="1">
      <c r="A24" s="1427" t="s">
        <v>2227</v>
      </c>
      <c r="B24" s="1408" t="s">
        <v>1233</v>
      </c>
      <c r="C24" s="1409">
        <v>0</v>
      </c>
      <c r="D24" s="1409">
        <v>0</v>
      </c>
      <c r="E24" s="1409">
        <v>20</v>
      </c>
      <c r="F24" s="1409">
        <v>22</v>
      </c>
      <c r="G24" s="1409">
        <v>19</v>
      </c>
      <c r="H24" s="1409">
        <v>25</v>
      </c>
      <c r="I24" s="1409">
        <v>34</v>
      </c>
      <c r="J24" s="1409">
        <v>31</v>
      </c>
      <c r="K24" s="1409">
        <v>95</v>
      </c>
      <c r="L24" s="1409">
        <v>84</v>
      </c>
      <c r="M24" s="1409">
        <v>84</v>
      </c>
      <c r="N24" s="1409">
        <v>0</v>
      </c>
      <c r="O24" s="1409">
        <v>0</v>
      </c>
      <c r="P24" s="1409">
        <v>0</v>
      </c>
      <c r="Q24" s="1409">
        <v>0</v>
      </c>
      <c r="R24" s="1428">
        <v>414</v>
      </c>
    </row>
    <row r="25" spans="1:18" ht="20.25" customHeight="1">
      <c r="A25" s="1427" t="s">
        <v>2230</v>
      </c>
      <c r="B25" s="1408" t="s">
        <v>1233</v>
      </c>
      <c r="C25" s="1409">
        <v>0</v>
      </c>
      <c r="D25" s="1409">
        <v>0</v>
      </c>
      <c r="E25" s="1409">
        <v>0</v>
      </c>
      <c r="F25" s="1409">
        <v>0</v>
      </c>
      <c r="G25" s="1409">
        <v>0</v>
      </c>
      <c r="H25" s="1409">
        <v>0</v>
      </c>
      <c r="I25" s="1409">
        <v>0</v>
      </c>
      <c r="J25" s="1409">
        <v>0</v>
      </c>
      <c r="K25" s="1409">
        <v>142</v>
      </c>
      <c r="L25" s="1409">
        <v>124</v>
      </c>
      <c r="M25" s="1409">
        <v>133</v>
      </c>
      <c r="N25" s="1409">
        <v>0</v>
      </c>
      <c r="O25" s="1409">
        <v>0</v>
      </c>
      <c r="P25" s="1409">
        <v>0</v>
      </c>
      <c r="Q25" s="1409">
        <v>0</v>
      </c>
      <c r="R25" s="1428">
        <v>399</v>
      </c>
    </row>
    <row r="26" spans="1:18" ht="20.25" customHeight="1">
      <c r="A26" s="1427" t="s">
        <v>2233</v>
      </c>
      <c r="B26" s="1408" t="s">
        <v>1233</v>
      </c>
      <c r="C26" s="1409">
        <v>0</v>
      </c>
      <c r="D26" s="1409">
        <v>0</v>
      </c>
      <c r="E26" s="1409">
        <v>59</v>
      </c>
      <c r="F26" s="1409">
        <v>49</v>
      </c>
      <c r="G26" s="1409">
        <v>54</v>
      </c>
      <c r="H26" s="1409">
        <v>51</v>
      </c>
      <c r="I26" s="1409">
        <v>60</v>
      </c>
      <c r="J26" s="1409">
        <v>57</v>
      </c>
      <c r="K26" s="1409">
        <v>0</v>
      </c>
      <c r="L26" s="1409">
        <v>0</v>
      </c>
      <c r="M26" s="1409">
        <v>0</v>
      </c>
      <c r="N26" s="1409">
        <v>0</v>
      </c>
      <c r="O26" s="1409">
        <v>0</v>
      </c>
      <c r="P26" s="1409">
        <v>0</v>
      </c>
      <c r="Q26" s="1409">
        <v>0</v>
      </c>
      <c r="R26" s="1428">
        <v>330</v>
      </c>
    </row>
    <row r="27" spans="1:18" ht="20.25" customHeight="1">
      <c r="A27" s="1427" t="s">
        <v>2236</v>
      </c>
      <c r="B27" s="1408" t="s">
        <v>1233</v>
      </c>
      <c r="C27" s="1409">
        <v>32</v>
      </c>
      <c r="D27" s="1409">
        <v>0</v>
      </c>
      <c r="E27" s="1409">
        <v>0</v>
      </c>
      <c r="F27" s="1409">
        <v>0</v>
      </c>
      <c r="G27" s="1409">
        <v>0</v>
      </c>
      <c r="H27" s="1409">
        <v>0</v>
      </c>
      <c r="I27" s="1409">
        <v>0</v>
      </c>
      <c r="J27" s="1409">
        <v>0</v>
      </c>
      <c r="K27" s="1409">
        <v>0</v>
      </c>
      <c r="L27" s="1409">
        <v>0</v>
      </c>
      <c r="M27" s="1409">
        <v>0</v>
      </c>
      <c r="N27" s="1409">
        <v>288</v>
      </c>
      <c r="O27" s="1409">
        <v>310</v>
      </c>
      <c r="P27" s="1409">
        <v>323</v>
      </c>
      <c r="Q27" s="1409">
        <v>332</v>
      </c>
      <c r="R27" s="1428">
        <v>1285</v>
      </c>
    </row>
    <row r="28" spans="1:18" ht="20.25" customHeight="1">
      <c r="A28" s="1427" t="s">
        <v>2239</v>
      </c>
      <c r="B28" s="1408" t="s">
        <v>1233</v>
      </c>
      <c r="C28" s="1409">
        <v>0</v>
      </c>
      <c r="D28" s="1409">
        <v>0</v>
      </c>
      <c r="E28" s="1409">
        <v>22</v>
      </c>
      <c r="F28" s="1409">
        <v>16</v>
      </c>
      <c r="G28" s="1409">
        <v>27</v>
      </c>
      <c r="H28" s="1409">
        <v>21</v>
      </c>
      <c r="I28" s="1409">
        <v>20</v>
      </c>
      <c r="J28" s="1409">
        <v>20</v>
      </c>
      <c r="K28" s="1409">
        <v>0</v>
      </c>
      <c r="L28" s="1409">
        <v>0</v>
      </c>
      <c r="M28" s="1409">
        <v>0</v>
      </c>
      <c r="N28" s="1409">
        <v>0</v>
      </c>
      <c r="O28" s="1409">
        <v>0</v>
      </c>
      <c r="P28" s="1409">
        <v>0</v>
      </c>
      <c r="Q28" s="1409">
        <v>0</v>
      </c>
      <c r="R28" s="1428">
        <v>126</v>
      </c>
    </row>
    <row r="29" spans="1:18" ht="20.25" customHeight="1">
      <c r="A29" s="1427" t="s">
        <v>2242</v>
      </c>
      <c r="B29" s="1408" t="s">
        <v>1233</v>
      </c>
      <c r="C29" s="1409">
        <v>0</v>
      </c>
      <c r="D29" s="1409">
        <v>0</v>
      </c>
      <c r="E29" s="1409">
        <v>19</v>
      </c>
      <c r="F29" s="1409">
        <v>26</v>
      </c>
      <c r="G29" s="1409">
        <v>33</v>
      </c>
      <c r="H29" s="1409">
        <v>27</v>
      </c>
      <c r="I29" s="1409">
        <v>23</v>
      </c>
      <c r="J29" s="1409">
        <v>30</v>
      </c>
      <c r="K29" s="1409">
        <v>0</v>
      </c>
      <c r="L29" s="1409">
        <v>0</v>
      </c>
      <c r="M29" s="1409">
        <v>0</v>
      </c>
      <c r="N29" s="1409">
        <v>0</v>
      </c>
      <c r="O29" s="1409">
        <v>0</v>
      </c>
      <c r="P29" s="1409">
        <v>0</v>
      </c>
      <c r="Q29" s="1409">
        <v>0</v>
      </c>
      <c r="R29" s="1428">
        <v>158</v>
      </c>
    </row>
    <row r="30" spans="1:18" ht="20.25" customHeight="1">
      <c r="A30" s="1427" t="s">
        <v>2415</v>
      </c>
      <c r="B30" s="1408" t="s">
        <v>1233</v>
      </c>
      <c r="C30" s="1409">
        <v>12</v>
      </c>
      <c r="D30" s="1409">
        <v>0</v>
      </c>
      <c r="E30" s="1409">
        <v>0</v>
      </c>
      <c r="F30" s="1409">
        <v>0</v>
      </c>
      <c r="G30" s="1409">
        <v>0</v>
      </c>
      <c r="H30" s="1409">
        <v>0</v>
      </c>
      <c r="I30" s="1409">
        <v>0</v>
      </c>
      <c r="J30" s="1409">
        <v>0</v>
      </c>
      <c r="K30" s="1409">
        <v>0</v>
      </c>
      <c r="L30" s="1409">
        <v>0</v>
      </c>
      <c r="M30" s="1409">
        <v>0</v>
      </c>
      <c r="N30" s="1409">
        <v>281</v>
      </c>
      <c r="O30" s="1409">
        <v>303</v>
      </c>
      <c r="P30" s="1409">
        <v>253</v>
      </c>
      <c r="Q30" s="1409">
        <v>303</v>
      </c>
      <c r="R30" s="1428">
        <v>1152</v>
      </c>
    </row>
    <row r="31" spans="1:18" ht="20.25" customHeight="1">
      <c r="A31" s="1427" t="s">
        <v>2416</v>
      </c>
      <c r="B31" s="1408" t="s">
        <v>1233</v>
      </c>
      <c r="C31" s="1409">
        <v>0</v>
      </c>
      <c r="D31" s="1409">
        <v>0</v>
      </c>
      <c r="E31" s="1409">
        <v>0</v>
      </c>
      <c r="F31" s="1409">
        <v>0</v>
      </c>
      <c r="G31" s="1409">
        <v>0</v>
      </c>
      <c r="H31" s="1409">
        <v>0</v>
      </c>
      <c r="I31" s="1409">
        <v>0</v>
      </c>
      <c r="J31" s="1409">
        <v>0</v>
      </c>
      <c r="K31" s="1409">
        <v>67</v>
      </c>
      <c r="L31" s="1409">
        <v>79</v>
      </c>
      <c r="M31" s="1409">
        <v>78</v>
      </c>
      <c r="N31" s="1409">
        <v>0</v>
      </c>
      <c r="O31" s="1409">
        <v>0</v>
      </c>
      <c r="P31" s="1409">
        <v>0</v>
      </c>
      <c r="Q31" s="1409">
        <v>0</v>
      </c>
      <c r="R31" s="1428">
        <v>224</v>
      </c>
    </row>
    <row r="32" spans="1:18" ht="20.25" customHeight="1">
      <c r="A32" s="1427" t="s">
        <v>2246</v>
      </c>
      <c r="B32" s="1408" t="s">
        <v>1233</v>
      </c>
      <c r="C32" s="1409">
        <v>15</v>
      </c>
      <c r="D32" s="1409">
        <v>0</v>
      </c>
      <c r="E32" s="1409">
        <v>0</v>
      </c>
      <c r="F32" s="1409">
        <v>0</v>
      </c>
      <c r="G32" s="1409">
        <v>0</v>
      </c>
      <c r="H32" s="1409">
        <v>0</v>
      </c>
      <c r="I32" s="1409">
        <v>0</v>
      </c>
      <c r="J32" s="1409">
        <v>0</v>
      </c>
      <c r="K32" s="1409">
        <v>0</v>
      </c>
      <c r="L32" s="1409">
        <v>0</v>
      </c>
      <c r="M32" s="1409">
        <v>0</v>
      </c>
      <c r="N32" s="1409">
        <v>167</v>
      </c>
      <c r="O32" s="1409">
        <v>190</v>
      </c>
      <c r="P32" s="1409">
        <v>235</v>
      </c>
      <c r="Q32" s="1409">
        <v>256</v>
      </c>
      <c r="R32" s="1428">
        <v>863</v>
      </c>
    </row>
    <row r="33" spans="1:18" ht="20.25" customHeight="1">
      <c r="A33" s="1427" t="s">
        <v>2417</v>
      </c>
      <c r="B33" s="1408" t="s">
        <v>1233</v>
      </c>
      <c r="C33" s="1409">
        <v>0</v>
      </c>
      <c r="D33" s="1409">
        <v>0</v>
      </c>
      <c r="E33" s="1409">
        <v>59</v>
      </c>
      <c r="F33" s="1409">
        <v>53</v>
      </c>
      <c r="G33" s="1409">
        <v>53</v>
      </c>
      <c r="H33" s="1409">
        <v>49</v>
      </c>
      <c r="I33" s="1409">
        <v>55</v>
      </c>
      <c r="J33" s="1409">
        <v>39</v>
      </c>
      <c r="K33" s="1409">
        <v>0</v>
      </c>
      <c r="L33" s="1409">
        <v>0</v>
      </c>
      <c r="M33" s="1409">
        <v>0</v>
      </c>
      <c r="N33" s="1409">
        <v>0</v>
      </c>
      <c r="O33" s="1409">
        <v>0</v>
      </c>
      <c r="P33" s="1409">
        <v>0</v>
      </c>
      <c r="Q33" s="1409">
        <v>0</v>
      </c>
      <c r="R33" s="1428">
        <v>308</v>
      </c>
    </row>
    <row r="34" spans="1:18" ht="20.25" customHeight="1">
      <c r="A34" s="1427" t="s">
        <v>2249</v>
      </c>
      <c r="B34" s="1408" t="s">
        <v>1233</v>
      </c>
      <c r="C34" s="1409">
        <v>0</v>
      </c>
      <c r="D34" s="1409">
        <v>0</v>
      </c>
      <c r="E34" s="1409">
        <v>19</v>
      </c>
      <c r="F34" s="1409">
        <v>21</v>
      </c>
      <c r="G34" s="1409">
        <v>17</v>
      </c>
      <c r="H34" s="1409">
        <v>25</v>
      </c>
      <c r="I34" s="1409">
        <v>22</v>
      </c>
      <c r="J34" s="1409">
        <v>20</v>
      </c>
      <c r="K34" s="1409">
        <v>0</v>
      </c>
      <c r="L34" s="1409">
        <v>0</v>
      </c>
      <c r="M34" s="1409">
        <v>0</v>
      </c>
      <c r="N34" s="1409">
        <v>0</v>
      </c>
      <c r="O34" s="1409">
        <v>0</v>
      </c>
      <c r="P34" s="1409">
        <v>0</v>
      </c>
      <c r="Q34" s="1409">
        <v>0</v>
      </c>
      <c r="R34" s="1428">
        <v>124</v>
      </c>
    </row>
    <row r="35" spans="1:18" ht="20.25" customHeight="1">
      <c r="A35" s="1427" t="s">
        <v>2251</v>
      </c>
      <c r="B35" s="1408" t="s">
        <v>1233</v>
      </c>
      <c r="C35" s="1409">
        <v>0</v>
      </c>
      <c r="D35" s="1409">
        <v>0</v>
      </c>
      <c r="E35" s="1409">
        <v>16</v>
      </c>
      <c r="F35" s="1409">
        <v>16</v>
      </c>
      <c r="G35" s="1409">
        <v>21</v>
      </c>
      <c r="H35" s="1409">
        <v>29</v>
      </c>
      <c r="I35" s="1409">
        <v>18</v>
      </c>
      <c r="J35" s="1409">
        <v>28</v>
      </c>
      <c r="K35" s="1409">
        <v>0</v>
      </c>
      <c r="L35" s="1409">
        <v>0</v>
      </c>
      <c r="M35" s="1409">
        <v>0</v>
      </c>
      <c r="N35" s="1409">
        <v>0</v>
      </c>
      <c r="O35" s="1409">
        <v>0</v>
      </c>
      <c r="P35" s="1409">
        <v>0</v>
      </c>
      <c r="Q35" s="1409">
        <v>0</v>
      </c>
      <c r="R35" s="1428">
        <v>128</v>
      </c>
    </row>
    <row r="36" spans="1:18" ht="20.25" customHeight="1">
      <c r="A36" s="1427" t="s">
        <v>2252</v>
      </c>
      <c r="B36" s="1408" t="s">
        <v>1233</v>
      </c>
      <c r="C36" s="1409">
        <v>0</v>
      </c>
      <c r="D36" s="1409">
        <v>0</v>
      </c>
      <c r="E36" s="1409">
        <v>62</v>
      </c>
      <c r="F36" s="1409">
        <v>48</v>
      </c>
      <c r="G36" s="1409">
        <v>62</v>
      </c>
      <c r="H36" s="1409">
        <v>63</v>
      </c>
      <c r="I36" s="1409">
        <v>55</v>
      </c>
      <c r="J36" s="1409">
        <v>58</v>
      </c>
      <c r="K36" s="1409">
        <v>0</v>
      </c>
      <c r="L36" s="1409">
        <v>0</v>
      </c>
      <c r="M36" s="1409">
        <v>0</v>
      </c>
      <c r="N36" s="1409">
        <v>0</v>
      </c>
      <c r="O36" s="1409">
        <v>0</v>
      </c>
      <c r="P36" s="1409">
        <v>0</v>
      </c>
      <c r="Q36" s="1409">
        <v>0</v>
      </c>
      <c r="R36" s="1428">
        <v>348</v>
      </c>
    </row>
    <row r="37" spans="1:18" ht="20.25" customHeight="1">
      <c r="A37" s="1429" t="s">
        <v>2253</v>
      </c>
      <c r="B37" s="1430" t="s">
        <v>1233</v>
      </c>
      <c r="C37" s="1420">
        <v>0</v>
      </c>
      <c r="D37" s="1420">
        <v>0</v>
      </c>
      <c r="E37" s="1420">
        <v>37</v>
      </c>
      <c r="F37" s="1420">
        <v>35</v>
      </c>
      <c r="G37" s="1420">
        <v>32</v>
      </c>
      <c r="H37" s="1420">
        <v>38</v>
      </c>
      <c r="I37" s="1420">
        <v>33</v>
      </c>
      <c r="J37" s="1420">
        <v>39</v>
      </c>
      <c r="K37" s="1420">
        <v>0</v>
      </c>
      <c r="L37" s="1420">
        <v>0</v>
      </c>
      <c r="M37" s="1420">
        <v>0</v>
      </c>
      <c r="N37" s="1420">
        <v>0</v>
      </c>
      <c r="O37" s="1420">
        <v>0</v>
      </c>
      <c r="P37" s="1420">
        <v>0</v>
      </c>
      <c r="Q37" s="1420">
        <v>0</v>
      </c>
      <c r="R37" s="1431">
        <v>214</v>
      </c>
    </row>
    <row r="38" spans="1:18" ht="15" customHeight="1">
      <c r="A38" s="1432"/>
      <c r="B38" s="1433"/>
      <c r="C38" s="1394">
        <f>SUM(Table41[SE])</f>
        <v>59</v>
      </c>
      <c r="D38" s="1394">
        <f>SUM(Table41[N])</f>
        <v>0</v>
      </c>
      <c r="E38" s="1394">
        <f>SUM(Table41[K])</f>
        <v>929</v>
      </c>
      <c r="F38" s="1394">
        <f>SUM(Table41[1])</f>
        <v>854</v>
      </c>
      <c r="G38" s="1394">
        <f>SUM(Table41[2])</f>
        <v>928</v>
      </c>
      <c r="H38" s="1394">
        <f>SUM(Table41[3])</f>
        <v>917</v>
      </c>
      <c r="I38" s="1394">
        <f>SUM(Table41[4])</f>
        <v>899</v>
      </c>
      <c r="J38" s="1394">
        <f>SUM(Table41[5])</f>
        <v>941</v>
      </c>
      <c r="K38" s="1394">
        <f>SUM(Table41[6])</f>
        <v>902</v>
      </c>
      <c r="L38" s="1394">
        <f>SUM(Table41[7])</f>
        <v>883</v>
      </c>
      <c r="M38" s="1394">
        <f>SUM(Table41[8])</f>
        <v>862</v>
      </c>
      <c r="N38" s="1394">
        <f>SUM(Table41[9])</f>
        <v>829</v>
      </c>
      <c r="O38" s="1394">
        <f>SUM(Table41[10])</f>
        <v>908</v>
      </c>
      <c r="P38" s="1394">
        <f>SUM(Table41[11])</f>
        <v>902</v>
      </c>
      <c r="Q38" s="1394">
        <f>SUM(Table41[12])</f>
        <v>996</v>
      </c>
      <c r="R38" s="1394">
        <f>SUM(Table41[TOTAL])</f>
        <v>11809</v>
      </c>
    </row>
  </sheetData>
  <mergeCells count="3">
    <mergeCell ref="A1:R1"/>
    <mergeCell ref="A2:R2"/>
    <mergeCell ref="A4:R4"/>
  </mergeCells>
  <printOptions horizontalCentered="1"/>
  <pageMargins left="0.23622047244094491" right="0.23622047244094491" top="0.51181102362204722" bottom="0.39370078740157483" header="0" footer="0.39370078740157483"/>
  <pageSetup scale="74" orientation="landscape" r:id="rId1"/>
  <headerFooter alignWithMargins="0">
    <oddFooter>&amp;C&amp;"Arial Narrow,Regular"&amp;12- 25 -</oddFooter>
  </headerFooter>
  <rowBreaks count="1" manualBreakCount="1">
    <brk id="37" max="17" man="1"/>
  </rowBreaks>
  <drawing r:id="rId2"/>
  <tableParts count="1">
    <tablePart r:id="rId3"/>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42"/>
  <dimension ref="A1:G30"/>
  <sheetViews>
    <sheetView workbookViewId="0"/>
  </sheetViews>
  <sheetFormatPr baseColWidth="10" defaultColWidth="9.19921875" defaultRowHeight="14"/>
  <cols>
    <col min="1" max="1" width="6.59765625" customWidth="1"/>
    <col min="2" max="2" width="23.796875" customWidth="1"/>
    <col min="3" max="4" width="21" customWidth="1"/>
    <col min="5" max="5" width="17.19921875" customWidth="1"/>
    <col min="6" max="6" width="16" customWidth="1"/>
    <col min="7" max="7" width="12.19921875" customWidth="1"/>
    <col min="8" max="8" width="41.3984375" customWidth="1"/>
  </cols>
  <sheetData>
    <row r="1" spans="1:7" ht="34.5" customHeight="1">
      <c r="A1" s="193" t="s">
        <v>2424</v>
      </c>
    </row>
    <row r="2" spans="1:7">
      <c r="A2" s="1434"/>
      <c r="B2" s="1434"/>
      <c r="C2" s="1823" t="s">
        <v>2425</v>
      </c>
      <c r="D2" s="1823"/>
      <c r="E2" s="1435"/>
      <c r="F2" s="1434"/>
      <c r="G2" s="1434"/>
    </row>
    <row r="3" spans="1:7" ht="27">
      <c r="A3" s="213" t="s">
        <v>285</v>
      </c>
      <c r="B3" s="213" t="s">
        <v>286</v>
      </c>
      <c r="C3" s="215" t="s">
        <v>2426</v>
      </c>
      <c r="D3" s="215" t="s">
        <v>2427</v>
      </c>
      <c r="E3" s="213" t="s">
        <v>2428</v>
      </c>
      <c r="F3" s="214" t="s">
        <v>345</v>
      </c>
      <c r="G3" s="213" t="s">
        <v>2429</v>
      </c>
    </row>
    <row r="4" spans="1:7">
      <c r="A4">
        <v>267</v>
      </c>
      <c r="B4" t="s">
        <v>392</v>
      </c>
      <c r="C4" s="168">
        <v>1625.2</v>
      </c>
      <c r="D4" s="168">
        <v>16.251999999999999</v>
      </c>
      <c r="E4" s="168">
        <v>224</v>
      </c>
      <c r="F4" s="191">
        <v>13.782919025350727</v>
      </c>
      <c r="G4" s="169">
        <v>645</v>
      </c>
    </row>
    <row r="5" spans="1:7">
      <c r="A5">
        <v>261</v>
      </c>
      <c r="B5" t="s">
        <v>733</v>
      </c>
      <c r="C5" s="168">
        <v>5687.8</v>
      </c>
      <c r="D5" s="168">
        <v>56.878</v>
      </c>
      <c r="E5" s="168">
        <v>164.5</v>
      </c>
      <c r="F5" s="191">
        <v>2.8921551390695877</v>
      </c>
      <c r="G5" s="170">
        <v>470</v>
      </c>
    </row>
    <row r="6" spans="1:7">
      <c r="A6">
        <v>288</v>
      </c>
      <c r="B6" t="s">
        <v>2430</v>
      </c>
      <c r="C6" s="168">
        <v>530.1</v>
      </c>
      <c r="D6" s="168">
        <v>5.3010000000000002</v>
      </c>
      <c r="E6" s="168">
        <v>62.5</v>
      </c>
      <c r="F6" s="191">
        <v>11.79022825881909</v>
      </c>
      <c r="G6" s="168">
        <v>115</v>
      </c>
    </row>
    <row r="7" spans="1:7">
      <c r="A7">
        <v>305</v>
      </c>
      <c r="B7" t="s">
        <v>404</v>
      </c>
      <c r="C7" s="168">
        <v>1741.3</v>
      </c>
      <c r="D7" s="168">
        <v>17.413</v>
      </c>
      <c r="E7" s="168">
        <v>51</v>
      </c>
      <c r="F7" s="191">
        <v>2.9288462642853039</v>
      </c>
      <c r="G7" s="168">
        <v>265</v>
      </c>
    </row>
    <row r="8" spans="1:7">
      <c r="A8">
        <v>271</v>
      </c>
      <c r="B8" t="s">
        <v>396</v>
      </c>
      <c r="C8" s="168">
        <v>3770.6</v>
      </c>
      <c r="D8" s="168">
        <v>37.705999999999996</v>
      </c>
      <c r="E8" s="168">
        <v>293</v>
      </c>
      <c r="F8" s="191">
        <v>7.7706465814459245</v>
      </c>
      <c r="G8" s="168">
        <v>680</v>
      </c>
    </row>
    <row r="9" spans="1:7">
      <c r="A9">
        <v>275</v>
      </c>
      <c r="B9" t="s">
        <v>390</v>
      </c>
      <c r="C9" s="168">
        <v>3595.3</v>
      </c>
      <c r="D9" s="168">
        <v>35.953000000000003</v>
      </c>
      <c r="E9" s="168">
        <v>182.5</v>
      </c>
      <c r="F9" s="191">
        <v>5.0760715378410701</v>
      </c>
      <c r="G9" s="171">
        <v>505</v>
      </c>
    </row>
    <row r="10" spans="1:7">
      <c r="A10">
        <v>272</v>
      </c>
      <c r="B10" t="s">
        <v>734</v>
      </c>
      <c r="C10" s="168">
        <v>7412.6</v>
      </c>
      <c r="D10" s="168">
        <v>74.126000000000005</v>
      </c>
      <c r="E10" s="168">
        <v>337</v>
      </c>
      <c r="F10" s="191">
        <v>4.5463130345627709</v>
      </c>
      <c r="G10" s="168">
        <v>975</v>
      </c>
    </row>
    <row r="11" spans="1:7">
      <c r="A11">
        <v>273</v>
      </c>
      <c r="B11" t="s">
        <v>402</v>
      </c>
      <c r="C11" s="168">
        <v>2577.5</v>
      </c>
      <c r="D11" s="168">
        <v>25.774999999999999</v>
      </c>
      <c r="E11" s="168">
        <v>216</v>
      </c>
      <c r="F11" s="191">
        <v>8.3802133850630458</v>
      </c>
      <c r="G11" s="168">
        <v>695</v>
      </c>
    </row>
    <row r="12" spans="1:7">
      <c r="A12">
        <v>304</v>
      </c>
      <c r="B12" t="s">
        <v>641</v>
      </c>
      <c r="C12" s="168">
        <v>967.4</v>
      </c>
      <c r="D12" s="168">
        <v>9.6739999999999995</v>
      </c>
      <c r="E12" s="168">
        <v>127</v>
      </c>
      <c r="F12" s="191">
        <v>13.127971883398802</v>
      </c>
      <c r="G12" s="168">
        <v>450</v>
      </c>
    </row>
    <row r="13" spans="1:7">
      <c r="A13">
        <v>311</v>
      </c>
      <c r="B13" t="s">
        <v>2431</v>
      </c>
      <c r="C13" s="168">
        <v>79238.899999999994</v>
      </c>
      <c r="D13" s="168">
        <v>792.3889999999999</v>
      </c>
      <c r="E13" s="168">
        <v>605.5</v>
      </c>
      <c r="F13" s="191">
        <v>0.76414488338429742</v>
      </c>
      <c r="G13" s="168">
        <v>1860</v>
      </c>
    </row>
    <row r="14" spans="1:7">
      <c r="A14">
        <v>286</v>
      </c>
      <c r="B14" t="s">
        <v>406</v>
      </c>
      <c r="C14" s="168">
        <v>2590.8000000000002</v>
      </c>
      <c r="D14" s="168">
        <v>25.908000000000001</v>
      </c>
      <c r="E14" s="168">
        <v>122</v>
      </c>
      <c r="F14" s="191">
        <v>4.7089702022541298</v>
      </c>
      <c r="G14" s="168">
        <v>440</v>
      </c>
    </row>
    <row r="16" spans="1:7">
      <c r="B16" s="50" t="s">
        <v>2432</v>
      </c>
      <c r="C16" s="50"/>
      <c r="D16" s="50"/>
    </row>
    <row r="18" spans="1:7">
      <c r="A18" s="190" t="s">
        <v>285</v>
      </c>
      <c r="B18" s="190" t="s">
        <v>2433</v>
      </c>
      <c r="C18" s="190"/>
      <c r="D18" s="190"/>
      <c r="E18" s="190"/>
      <c r="F18" s="190"/>
      <c r="G18" s="190"/>
    </row>
    <row r="19" spans="1:7">
      <c r="A19" s="76">
        <v>267</v>
      </c>
      <c r="B19" t="s">
        <v>2434</v>
      </c>
    </row>
    <row r="20" spans="1:7">
      <c r="A20" s="76">
        <v>261</v>
      </c>
      <c r="B20" t="s">
        <v>2435</v>
      </c>
    </row>
    <row r="21" spans="1:7">
      <c r="A21" s="76">
        <v>288</v>
      </c>
      <c r="B21" t="s">
        <v>2436</v>
      </c>
    </row>
    <row r="22" spans="1:7">
      <c r="A22" s="76">
        <v>262</v>
      </c>
      <c r="B22" t="s">
        <v>2437</v>
      </c>
    </row>
    <row r="23" spans="1:7">
      <c r="A23" s="76">
        <v>305</v>
      </c>
      <c r="B23" t="s">
        <v>2438</v>
      </c>
    </row>
    <row r="24" spans="1:7">
      <c r="A24" s="76">
        <v>271</v>
      </c>
      <c r="B24" t="s">
        <v>2439</v>
      </c>
    </row>
    <row r="25" spans="1:7">
      <c r="A25" s="76">
        <v>275</v>
      </c>
      <c r="B25" t="s">
        <v>2440</v>
      </c>
    </row>
    <row r="26" spans="1:7">
      <c r="A26" s="76">
        <v>272</v>
      </c>
      <c r="B26" t="s">
        <v>2441</v>
      </c>
    </row>
    <row r="27" spans="1:7">
      <c r="A27" s="76">
        <v>273</v>
      </c>
      <c r="B27" t="s">
        <v>2442</v>
      </c>
    </row>
    <row r="28" spans="1:7">
      <c r="A28" s="76">
        <v>304</v>
      </c>
      <c r="B28" t="s">
        <v>2443</v>
      </c>
    </row>
    <row r="29" spans="1:7">
      <c r="A29" s="76">
        <v>311</v>
      </c>
      <c r="B29" t="s">
        <v>2444</v>
      </c>
    </row>
    <row r="30" spans="1:7">
      <c r="A30" s="76">
        <v>286</v>
      </c>
      <c r="B30" t="s">
        <v>2445</v>
      </c>
    </row>
  </sheetData>
  <mergeCells count="1">
    <mergeCell ref="C2:D2"/>
  </mergeCells>
  <pageMargins left="0.7" right="0.7" top="0.75" bottom="0.75" header="0.3" footer="0.3"/>
  <pageSetup orientation="landscape" r:id="rId1"/>
  <headerFooter>
    <oddFooter>&amp;L&amp;"Times New Roman"&amp;8NCR#9494837 - v2</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I45"/>
  <sheetViews>
    <sheetView workbookViewId="0">
      <selection activeCell="D12" sqref="D12"/>
    </sheetView>
  </sheetViews>
  <sheetFormatPr baseColWidth="10" defaultColWidth="9.19921875" defaultRowHeight="15"/>
  <cols>
    <col min="1" max="1" width="22.796875" style="107" bestFit="1" customWidth="1"/>
    <col min="2" max="3" width="15.19921875" style="107" customWidth="1"/>
    <col min="4" max="5" width="21.59765625" style="107" customWidth="1"/>
    <col min="6" max="6" width="18.3984375" style="107" customWidth="1"/>
    <col min="7" max="8" width="16.19921875" style="107" customWidth="1"/>
    <col min="9" max="9" width="17.3984375" style="107" customWidth="1"/>
    <col min="10" max="16384" width="9.19921875" style="107"/>
  </cols>
  <sheetData>
    <row r="1" spans="1:9">
      <c r="I1"/>
    </row>
    <row r="2" spans="1:9" ht="19">
      <c r="A2" s="148" t="s">
        <v>2446</v>
      </c>
    </row>
    <row r="3" spans="1:9" ht="30" customHeight="1">
      <c r="A3" s="1824" t="s">
        <v>2447</v>
      </c>
      <c r="B3" s="1824"/>
      <c r="C3" s="1824"/>
      <c r="D3" s="1824"/>
      <c r="E3" s="1824"/>
    </row>
    <row r="4" spans="1:9">
      <c r="A4" s="150" t="s">
        <v>2448</v>
      </c>
    </row>
    <row r="5" spans="1:9" ht="12.75" customHeight="1"/>
    <row r="6" spans="1:9" ht="39" customHeight="1">
      <c r="A6" s="149" t="s">
        <v>1886</v>
      </c>
      <c r="B6" s="149" t="s">
        <v>2449</v>
      </c>
      <c r="C6" s="149" t="s">
        <v>2450</v>
      </c>
      <c r="D6" s="149" t="s">
        <v>2451</v>
      </c>
      <c r="E6" s="149" t="s">
        <v>2452</v>
      </c>
      <c r="F6" s="149" t="s">
        <v>2453</v>
      </c>
      <c r="G6" s="149" t="s">
        <v>2454</v>
      </c>
      <c r="H6" s="149" t="s">
        <v>2455</v>
      </c>
      <c r="I6" s="149" t="s">
        <v>2456</v>
      </c>
    </row>
    <row r="7" spans="1:9" ht="13.5" customHeight="1">
      <c r="A7" s="150" t="s">
        <v>1934</v>
      </c>
      <c r="B7" s="151">
        <f>'E. 17-18 FRAME Budget'!U10</f>
        <v>294500</v>
      </c>
      <c r="C7" s="151">
        <f>'E. 17-18 FRAME Budget'!V10</f>
        <v>190170</v>
      </c>
      <c r="D7" s="152">
        <f>Table534[[#This Row],[Special Needs LEVEL 2]]/9500</f>
        <v>31</v>
      </c>
      <c r="E7" s="152">
        <f>Table534[[#This Row],[Special Needs LEVEL 3]]/21130</f>
        <v>9</v>
      </c>
      <c r="F7" s="153">
        <f>'K. MB Funded Enrolment'!C7</f>
        <v>1756</v>
      </c>
      <c r="G7" s="154">
        <f>Table534[[#This Row],[Estimated number of Level 2 FTE Students]]/Table534[[#This Row],[TOTAL Eligible FTE Enrolment Sept. 30 2016]]</f>
        <v>1.765375854214123E-2</v>
      </c>
      <c r="H7" s="154">
        <f>Table534[[#This Row],[Estimated number of Level 3 FTE Students]]/Table534[[#This Row],[TOTAL Eligible FTE Enrolment Sept. 30 2016]]</f>
        <v>5.1252847380410024E-3</v>
      </c>
      <c r="I7" s="154">
        <f>SUM(Table534[[#This Row],[Estimated number of Level 2 FTE Students]:[Estimated number of Level 3 FTE Students]])/Table534[[#This Row],[TOTAL Eligible FTE Enrolment Sept. 30 2016]]</f>
        <v>2.2779043280182234E-2</v>
      </c>
    </row>
    <row r="8" spans="1:9" ht="13.5" customHeight="1">
      <c r="A8" s="150" t="s">
        <v>438</v>
      </c>
      <c r="B8" s="151">
        <f>'E. 17-18 FRAME Budget'!U11</f>
        <v>475000</v>
      </c>
      <c r="C8" s="151">
        <f>'E. 17-18 FRAME Budget'!V11</f>
        <v>390905</v>
      </c>
      <c r="D8" s="152">
        <f>Table534[[#This Row],[Special Needs LEVEL 2]]/9500</f>
        <v>50</v>
      </c>
      <c r="E8" s="152">
        <f>Table534[[#This Row],[Special Needs LEVEL 3]]/21130</f>
        <v>18.5</v>
      </c>
      <c r="F8" s="153">
        <f>'K. MB Funded Enrolment'!C8</f>
        <v>1984.8</v>
      </c>
      <c r="G8" s="154">
        <f>Table534[[#This Row],[Estimated number of Level 2 FTE Students]]/Table534[[#This Row],[TOTAL Eligible FTE Enrolment Sept. 30 2016]]</f>
        <v>2.5191455058444175E-2</v>
      </c>
      <c r="H8" s="154">
        <f>Table534[[#This Row],[Estimated number of Level 3 FTE Students]]/Table534[[#This Row],[TOTAL Eligible FTE Enrolment Sept. 30 2016]]</f>
        <v>9.3208383716243456E-3</v>
      </c>
      <c r="I8" s="154">
        <f>SUM(Table534[[#This Row],[Estimated number of Level 2 FTE Students]:[Estimated number of Level 3 FTE Students]])/Table534[[#This Row],[TOTAL Eligible FTE Enrolment Sept. 30 2016]]</f>
        <v>3.4512293430068522E-2</v>
      </c>
    </row>
    <row r="9" spans="1:9" ht="13.5" customHeight="1">
      <c r="A9" s="150" t="s">
        <v>1935</v>
      </c>
      <c r="B9" s="151">
        <f>'E. 17-18 FRAME Budget'!U12</f>
        <v>1220800</v>
      </c>
      <c r="C9" s="151">
        <f>'E. 17-18 FRAME Budget'!V12</f>
        <v>1288900</v>
      </c>
      <c r="D9" s="152">
        <f>Table534[[#This Row],[Special Needs LEVEL 2]]/9500</f>
        <v>128.50526315789475</v>
      </c>
      <c r="E9" s="152">
        <f>Table534[[#This Row],[Special Needs LEVEL 3]]/21130</f>
        <v>60.998580217699953</v>
      </c>
      <c r="F9" s="153">
        <f>'K. MB Funded Enrolment'!C9</f>
        <v>8327.2999999999993</v>
      </c>
      <c r="G9" s="154">
        <f>Table534[[#This Row],[Estimated number of Level 2 FTE Students]]/Table534[[#This Row],[TOTAL Eligible FTE Enrolment Sept. 30 2016]]</f>
        <v>1.543180420519193E-2</v>
      </c>
      <c r="H9" s="154">
        <f>Table534[[#This Row],[Estimated number of Level 3 FTE Students]]/Table534[[#This Row],[TOTAL Eligible FTE Enrolment Sept. 30 2016]]</f>
        <v>7.3251330224322359E-3</v>
      </c>
      <c r="I9" s="154">
        <f>SUM(Table534[[#This Row],[Estimated number of Level 2 FTE Students]:[Estimated number of Level 3 FTE Students]])/Table534[[#This Row],[TOTAL Eligible FTE Enrolment Sept. 30 2016]]</f>
        <v>2.2756937227624164E-2</v>
      </c>
    </row>
    <row r="10" spans="1:9" ht="13.5" customHeight="1">
      <c r="A10" s="150" t="s">
        <v>1936</v>
      </c>
      <c r="B10" s="151">
        <f>'E. 17-18 FRAME Budget'!U13</f>
        <v>384750</v>
      </c>
      <c r="C10" s="151">
        <f>'E. 17-18 FRAME Budget'!V13</f>
        <v>316950</v>
      </c>
      <c r="D10" s="152">
        <f>Table534[[#This Row],[Special Needs LEVEL 2]]/9500</f>
        <v>40.5</v>
      </c>
      <c r="E10" s="152">
        <f>Table534[[#This Row],[Special Needs LEVEL 3]]/21130</f>
        <v>15</v>
      </c>
      <c r="F10" s="153">
        <f>'K. MB Funded Enrolment'!C10</f>
        <v>5200.5</v>
      </c>
      <c r="G10" s="154">
        <f>Table534[[#This Row],[Estimated number of Level 2 FTE Students]]/Table534[[#This Row],[TOTAL Eligible FTE Enrolment Sept. 30 2016]]</f>
        <v>7.787712719930776E-3</v>
      </c>
      <c r="H10" s="154">
        <f>Table534[[#This Row],[Estimated number of Level 3 FTE Students]]/Table534[[#This Row],[TOTAL Eligible FTE Enrolment Sept. 30 2016]]</f>
        <v>2.8843380444188061E-3</v>
      </c>
      <c r="I10" s="154">
        <f>SUM(Table534[[#This Row],[Estimated number of Level 2 FTE Students]:[Estimated number of Level 3 FTE Students]])/Table534[[#This Row],[TOTAL Eligible FTE Enrolment Sept. 30 2016]]</f>
        <v>1.0672050764349583E-2</v>
      </c>
    </row>
    <row r="11" spans="1:9" ht="13.5" customHeight="1">
      <c r="A11" s="150" t="s">
        <v>1937</v>
      </c>
      <c r="B11" s="151">
        <f>'E. 17-18 FRAME Budget'!U14</f>
        <v>346750</v>
      </c>
      <c r="C11" s="151">
        <f>'E. 17-18 FRAME Budget'!V14</f>
        <v>316950</v>
      </c>
      <c r="D11" s="152">
        <f>Table534[[#This Row],[Special Needs LEVEL 2]]/9500</f>
        <v>36.5</v>
      </c>
      <c r="E11" s="152">
        <f>Table534[[#This Row],[Special Needs LEVEL 3]]/21130</f>
        <v>15</v>
      </c>
      <c r="F11" s="153">
        <f>'K. MB Funded Enrolment'!C11</f>
        <v>1381.1999999999998</v>
      </c>
      <c r="G11" s="154">
        <f>Table534[[#This Row],[Estimated number of Level 2 FTE Students]]/Table534[[#This Row],[TOTAL Eligible FTE Enrolment Sept. 30 2016]]</f>
        <v>2.6426295974514919E-2</v>
      </c>
      <c r="H11" s="154">
        <f>Table534[[#This Row],[Estimated number of Level 3 FTE Students]]/Table534[[#This Row],[TOTAL Eligible FTE Enrolment Sept. 30 2016]]</f>
        <v>1.0860121633362295E-2</v>
      </c>
      <c r="I11" s="154">
        <f>SUM(Table534[[#This Row],[Estimated number of Level 2 FTE Students]:[Estimated number of Level 3 FTE Students]])/Table534[[#This Row],[TOTAL Eligible FTE Enrolment Sept. 30 2016]]</f>
        <v>3.7286417607877216E-2</v>
      </c>
    </row>
    <row r="12" spans="1:9" ht="13.5" customHeight="1">
      <c r="A12" s="150" t="s">
        <v>1938</v>
      </c>
      <c r="B12" s="151">
        <f>'E. 17-18 FRAME Budget'!U15</f>
        <v>280250</v>
      </c>
      <c r="C12" s="151">
        <f>'E. 17-18 FRAME Budget'!V15</f>
        <v>84520</v>
      </c>
      <c r="D12" s="152">
        <f>Table534[[#This Row],[Special Needs LEVEL 2]]/9500</f>
        <v>29.5</v>
      </c>
      <c r="E12" s="152">
        <f>Table534[[#This Row],[Special Needs LEVEL 3]]/21130</f>
        <v>4</v>
      </c>
      <c r="F12" s="153">
        <f>'K. MB Funded Enrolment'!C12</f>
        <v>885.8</v>
      </c>
      <c r="G12" s="154">
        <f>Table534[[#This Row],[Estimated number of Level 2 FTE Students]]/Table534[[#This Row],[TOTAL Eligible FTE Enrolment Sept. 30 2016]]</f>
        <v>3.3303228719801313E-2</v>
      </c>
      <c r="H12" s="154">
        <f>Table534[[#This Row],[Estimated number of Level 3 FTE Students]]/Table534[[#This Row],[TOTAL Eligible FTE Enrolment Sept. 30 2016]]</f>
        <v>4.5156920298035676E-3</v>
      </c>
      <c r="I12" s="154">
        <f>SUM(Table534[[#This Row],[Estimated number of Level 2 FTE Students]:[Estimated number of Level 3 FTE Students]])/Table534[[#This Row],[TOTAL Eligible FTE Enrolment Sept. 30 2016]]</f>
        <v>3.7818920749604877E-2</v>
      </c>
    </row>
    <row r="13" spans="1:9" ht="13.5" customHeight="1">
      <c r="A13" s="150" t="s">
        <v>440</v>
      </c>
      <c r="B13" s="151">
        <f>'E. 17-18 FRAME Budget'!U16</f>
        <v>342000</v>
      </c>
      <c r="C13" s="151">
        <f>'E. 17-18 FRAME Budget'!V16</f>
        <v>109876</v>
      </c>
      <c r="D13" s="152">
        <f>Table534[[#This Row],[Special Needs LEVEL 2]]/9500</f>
        <v>36</v>
      </c>
      <c r="E13" s="152">
        <f>Table534[[#This Row],[Special Needs LEVEL 3]]/21130</f>
        <v>5.2</v>
      </c>
      <c r="F13" s="153">
        <f>'K. MB Funded Enrolment'!C13</f>
        <v>1322.5</v>
      </c>
      <c r="G13" s="154">
        <f>Table534[[#This Row],[Estimated number of Level 2 FTE Students]]/Table534[[#This Row],[TOTAL Eligible FTE Enrolment Sept. 30 2016]]</f>
        <v>2.7221172022684311E-2</v>
      </c>
      <c r="H13" s="154">
        <f>Table534[[#This Row],[Estimated number of Level 3 FTE Students]]/Table534[[#This Row],[TOTAL Eligible FTE Enrolment Sept. 30 2016]]</f>
        <v>3.9319470699432897E-3</v>
      </c>
      <c r="I13" s="154">
        <f>SUM(Table534[[#This Row],[Estimated number of Level 2 FTE Students]:[Estimated number of Level 3 FTE Students]])/Table534[[#This Row],[TOTAL Eligible FTE Enrolment Sept. 30 2016]]</f>
        <v>3.11531190926276E-2</v>
      </c>
    </row>
    <row r="14" spans="1:9" ht="13.5" customHeight="1">
      <c r="A14" s="155" t="s">
        <v>441</v>
      </c>
      <c r="B14" s="156">
        <f>'E. 17-18 FRAME Budget'!U17</f>
        <v>836000</v>
      </c>
      <c r="C14" s="156">
        <f>'E. 17-18 FRAME Budget'!V17</f>
        <v>528250</v>
      </c>
      <c r="D14" s="157">
        <f>Table534[[#This Row],[Special Needs LEVEL 2]]/9500</f>
        <v>88</v>
      </c>
      <c r="E14" s="157">
        <f>Table534[[#This Row],[Special Needs LEVEL 3]]/21130</f>
        <v>25</v>
      </c>
      <c r="F14" s="158">
        <f>'K. MB Funded Enrolment'!C14</f>
        <v>2256.5</v>
      </c>
      <c r="G14" s="159">
        <f>Table534[[#This Row],[Estimated number of Level 2 FTE Students]]/Table534[[#This Row],[TOTAL Eligible FTE Enrolment Sept. 30 2016]]</f>
        <v>3.8998448925326834E-2</v>
      </c>
      <c r="H14" s="159">
        <f>Table534[[#This Row],[Estimated number of Level 3 FTE Students]]/Table534[[#This Row],[TOTAL Eligible FTE Enrolment Sept. 30 2016]]</f>
        <v>1.1079104808331486E-2</v>
      </c>
      <c r="I14" s="159">
        <f>SUM(Table534[[#This Row],[Estimated number of Level 2 FTE Students]:[Estimated number of Level 3 FTE Students]])/Table534[[#This Row],[TOTAL Eligible FTE Enrolment Sept. 30 2016]]</f>
        <v>5.0077553733658318E-2</v>
      </c>
    </row>
    <row r="15" spans="1:9" ht="13.5" customHeight="1">
      <c r="A15" s="150" t="s">
        <v>1939</v>
      </c>
      <c r="B15" s="151">
        <f>'E. 17-18 FRAME Budget'!U18</f>
        <v>774250</v>
      </c>
      <c r="C15" s="151">
        <f>'E. 17-18 FRAME Budget'!V18</f>
        <v>824070</v>
      </c>
      <c r="D15" s="152">
        <f>Table534[[#This Row],[Special Needs LEVEL 2]]/9500</f>
        <v>81.5</v>
      </c>
      <c r="E15" s="152">
        <f>Table534[[#This Row],[Special Needs LEVEL 3]]/21130</f>
        <v>39</v>
      </c>
      <c r="F15" s="153">
        <f>'K. MB Funded Enrolment'!C15</f>
        <v>4264.8999999999996</v>
      </c>
      <c r="G15" s="154">
        <f>Table534[[#This Row],[Estimated number of Level 2 FTE Students]]/Table534[[#This Row],[TOTAL Eligible FTE Enrolment Sept. 30 2016]]</f>
        <v>1.9109475016999229E-2</v>
      </c>
      <c r="H15" s="154">
        <f>Table534[[#This Row],[Estimated number of Level 3 FTE Students]]/Table534[[#This Row],[TOTAL Eligible FTE Enrolment Sept. 30 2016]]</f>
        <v>9.1444113578278505E-3</v>
      </c>
      <c r="I15" s="154">
        <f>SUM(Table534[[#This Row],[Estimated number of Level 2 FTE Students]:[Estimated number of Level 3 FTE Students]])/Table534[[#This Row],[TOTAL Eligible FTE Enrolment Sept. 30 2016]]</f>
        <v>2.8253886374827078E-2</v>
      </c>
    </row>
    <row r="16" spans="1:9" ht="13.5" customHeight="1">
      <c r="A16" s="150" t="s">
        <v>1940</v>
      </c>
      <c r="B16" s="151">
        <f>'E. 17-18 FRAME Budget'!U19</f>
        <v>1444000</v>
      </c>
      <c r="C16" s="151">
        <f>'E. 17-18 FRAME Budget'!V19</f>
        <v>1320625</v>
      </c>
      <c r="D16" s="152">
        <f>Table534[[#This Row],[Special Needs LEVEL 2]]/9500</f>
        <v>152</v>
      </c>
      <c r="E16" s="152">
        <f>Table534[[#This Row],[Special Needs LEVEL 3]]/21130</f>
        <v>62.5</v>
      </c>
      <c r="F16" s="153">
        <f>'K. MB Funded Enrolment'!C16</f>
        <v>7630.2</v>
      </c>
      <c r="G16" s="154">
        <f>Table534[[#This Row],[Estimated number of Level 2 FTE Students]]/Table534[[#This Row],[TOTAL Eligible FTE Enrolment Sept. 30 2016]]</f>
        <v>1.9920840869177742E-2</v>
      </c>
      <c r="H16" s="154">
        <f>Table534[[#This Row],[Estimated number of Level 3 FTE Students]]/Table534[[#This Row],[TOTAL Eligible FTE Enrolment Sept. 30 2016]]</f>
        <v>8.1911352258132158E-3</v>
      </c>
      <c r="I16" s="154">
        <f>SUM(Table534[[#This Row],[Estimated number of Level 2 FTE Students]:[Estimated number of Level 3 FTE Students]])/Table534[[#This Row],[TOTAL Eligible FTE Enrolment Sept. 30 2016]]</f>
        <v>2.8111976094990956E-2</v>
      </c>
    </row>
    <row r="17" spans="1:9" ht="13.5" customHeight="1">
      <c r="A17" s="150" t="s">
        <v>1941</v>
      </c>
      <c r="B17" s="151">
        <f>'E. 17-18 FRAME Budget'!U20</f>
        <v>527250</v>
      </c>
      <c r="C17" s="151">
        <f>'E. 17-18 FRAME Budget'!V20</f>
        <v>485990</v>
      </c>
      <c r="D17" s="152">
        <f>Table534[[#This Row],[Special Needs LEVEL 2]]/9500</f>
        <v>55.5</v>
      </c>
      <c r="E17" s="152">
        <f>Table534[[#This Row],[Special Needs LEVEL 3]]/21130</f>
        <v>23</v>
      </c>
      <c r="F17" s="153">
        <f>'K. MB Funded Enrolment'!C17</f>
        <v>2742.1</v>
      </c>
      <c r="G17" s="154">
        <f>Table534[[#This Row],[Estimated number of Level 2 FTE Students]]/Table534[[#This Row],[TOTAL Eligible FTE Enrolment Sept. 30 2016]]</f>
        <v>2.0239962072863864E-2</v>
      </c>
      <c r="H17" s="154">
        <f>Table534[[#This Row],[Estimated number of Level 3 FTE Students]]/Table534[[#This Row],[TOTAL Eligible FTE Enrolment Sept. 30 2016]]</f>
        <v>8.3877320301958356E-3</v>
      </c>
      <c r="I17" s="154">
        <f>SUM(Table534[[#This Row],[Estimated number of Level 2 FTE Students]:[Estimated number of Level 3 FTE Students]])/Table534[[#This Row],[TOTAL Eligible FTE Enrolment Sept. 30 2016]]</f>
        <v>2.8627694103059698E-2</v>
      </c>
    </row>
    <row r="18" spans="1:9" ht="13.5" customHeight="1">
      <c r="A18" s="150" t="s">
        <v>1942</v>
      </c>
      <c r="B18" s="151">
        <f>'E. 17-18 FRAME Budget'!U21</f>
        <v>456000</v>
      </c>
      <c r="C18" s="151">
        <f>'E. 17-18 FRAME Budget'!V21</f>
        <v>274690</v>
      </c>
      <c r="D18" s="152">
        <f>Table534[[#This Row],[Special Needs LEVEL 2]]/9500</f>
        <v>48</v>
      </c>
      <c r="E18" s="152">
        <f>Table534[[#This Row],[Special Needs LEVEL 3]]/21130</f>
        <v>13</v>
      </c>
      <c r="F18" s="153">
        <f>'K. MB Funded Enrolment'!C18</f>
        <v>1523.6</v>
      </c>
      <c r="G18" s="154">
        <f>Table534[[#This Row],[Estimated number of Level 2 FTE Students]]/Table534[[#This Row],[TOTAL Eligible FTE Enrolment Sept. 30 2016]]</f>
        <v>3.1504331845628779E-2</v>
      </c>
      <c r="H18" s="154">
        <f>Table534[[#This Row],[Estimated number of Level 3 FTE Students]]/Table534[[#This Row],[TOTAL Eligible FTE Enrolment Sept. 30 2016]]</f>
        <v>8.5324232081911266E-3</v>
      </c>
      <c r="I18" s="154">
        <f>SUM(Table534[[#This Row],[Estimated number of Level 2 FTE Students]:[Estimated number of Level 3 FTE Students]])/Table534[[#This Row],[TOTAL Eligible FTE Enrolment Sept. 30 2016]]</f>
        <v>4.00367550538199E-2</v>
      </c>
    </row>
    <row r="19" spans="1:9" ht="13.5" customHeight="1">
      <c r="A19" s="150" t="s">
        <v>442</v>
      </c>
      <c r="B19" s="151">
        <f>'E. 17-18 FRAME Budget'!U22</f>
        <v>304000</v>
      </c>
      <c r="C19" s="151">
        <f>'E. 17-18 FRAME Budget'!V22</f>
        <v>253560</v>
      </c>
      <c r="D19" s="152">
        <f>Table534[[#This Row],[Special Needs LEVEL 2]]/9500</f>
        <v>32</v>
      </c>
      <c r="E19" s="152">
        <f>Table534[[#This Row],[Special Needs LEVEL 3]]/21130</f>
        <v>12</v>
      </c>
      <c r="F19" s="153">
        <f>'K. MB Funded Enrolment'!C19</f>
        <v>992.5</v>
      </c>
      <c r="G19" s="154">
        <f>Table534[[#This Row],[Estimated number of Level 2 FTE Students]]/Table534[[#This Row],[TOTAL Eligible FTE Enrolment Sept. 30 2016]]</f>
        <v>3.2241813602015112E-2</v>
      </c>
      <c r="H19" s="154">
        <f>Table534[[#This Row],[Estimated number of Level 3 FTE Students]]/Table534[[#This Row],[TOTAL Eligible FTE Enrolment Sept. 30 2016]]</f>
        <v>1.2090680100755667E-2</v>
      </c>
      <c r="I19" s="154">
        <f>SUM(Table534[[#This Row],[Estimated number of Level 2 FTE Students]:[Estimated number of Level 3 FTE Students]])/Table534[[#This Row],[TOTAL Eligible FTE Enrolment Sept. 30 2016]]</f>
        <v>4.433249370277078E-2</v>
      </c>
    </row>
    <row r="20" spans="1:9" ht="13.5" customHeight="1">
      <c r="A20" s="150" t="s">
        <v>443</v>
      </c>
      <c r="B20" s="151">
        <f>'E. 17-18 FRAME Budget'!U23</f>
        <v>950000</v>
      </c>
      <c r="C20" s="151">
        <f>'E. 17-18 FRAME Budget'!V23</f>
        <v>676160</v>
      </c>
      <c r="D20" s="152">
        <f>Table534[[#This Row],[Special Needs LEVEL 2]]/9500</f>
        <v>100</v>
      </c>
      <c r="E20" s="152">
        <f>Table534[[#This Row],[Special Needs LEVEL 3]]/21130</f>
        <v>32</v>
      </c>
      <c r="F20" s="153">
        <f>'K. MB Funded Enrolment'!C20</f>
        <v>3862.8</v>
      </c>
      <c r="G20" s="154">
        <f>Table534[[#This Row],[Estimated number of Level 2 FTE Students]]/Table534[[#This Row],[TOTAL Eligible FTE Enrolment Sept. 30 2016]]</f>
        <v>2.588795692243968E-2</v>
      </c>
      <c r="H20" s="154">
        <f>Table534[[#This Row],[Estimated number of Level 3 FTE Students]]/Table534[[#This Row],[TOTAL Eligible FTE Enrolment Sept. 30 2016]]</f>
        <v>8.2841462151806971E-3</v>
      </c>
      <c r="I20" s="154">
        <f>SUM(Table534[[#This Row],[Estimated number of Level 2 FTE Students]:[Estimated number of Level 3 FTE Students]])/Table534[[#This Row],[TOTAL Eligible FTE Enrolment Sept. 30 2016]]</f>
        <v>3.4172103137620376E-2</v>
      </c>
    </row>
    <row r="21" spans="1:9" ht="13.5" customHeight="1">
      <c r="A21" s="150" t="s">
        <v>1943</v>
      </c>
      <c r="B21" s="151">
        <f>'E. 17-18 FRAME Budget'!U24</f>
        <v>3252000</v>
      </c>
      <c r="C21" s="151">
        <f>'E. 17-18 FRAME Budget'!V24</f>
        <v>4606340</v>
      </c>
      <c r="D21" s="152">
        <f>Table534[[#This Row],[Special Needs LEVEL 2]]/9500</f>
        <v>342.31578947368422</v>
      </c>
      <c r="E21" s="152">
        <f>Table534[[#This Row],[Special Needs LEVEL 3]]/21130</f>
        <v>218</v>
      </c>
      <c r="F21" s="153">
        <f>'K. MB Funded Enrolment'!C21</f>
        <v>14049.5</v>
      </c>
      <c r="G21" s="154">
        <f>Table534[[#This Row],[Estimated number of Level 2 FTE Students]]/Table534[[#This Row],[TOTAL Eligible FTE Enrolment Sept. 30 2016]]</f>
        <v>2.4364980210945887E-2</v>
      </c>
      <c r="H21" s="154">
        <f>Table534[[#This Row],[Estimated number of Level 3 FTE Students]]/Table534[[#This Row],[TOTAL Eligible FTE Enrolment Sept. 30 2016]]</f>
        <v>1.5516566425851454E-2</v>
      </c>
      <c r="I21" s="154">
        <f>SUM(Table534[[#This Row],[Estimated number of Level 2 FTE Students]:[Estimated number of Level 3 FTE Students]])/Table534[[#This Row],[TOTAL Eligible FTE Enrolment Sept. 30 2016]]</f>
        <v>3.9881546636797334E-2</v>
      </c>
    </row>
    <row r="22" spans="1:9" ht="13.5" customHeight="1">
      <c r="A22" s="150" t="s">
        <v>444</v>
      </c>
      <c r="B22" s="151">
        <f>'E. 17-18 FRAME Budget'!U25</f>
        <v>541500</v>
      </c>
      <c r="C22" s="151">
        <f>'E. 17-18 FRAME Budget'!V25</f>
        <v>253560</v>
      </c>
      <c r="D22" s="152">
        <f>Table534[[#This Row],[Special Needs LEVEL 2]]/9500</f>
        <v>57</v>
      </c>
      <c r="E22" s="152">
        <f>Table534[[#This Row],[Special Needs LEVEL 3]]/21130</f>
        <v>12</v>
      </c>
      <c r="F22" s="153">
        <f>'K. MB Funded Enrolment'!C22</f>
        <v>2903.2</v>
      </c>
      <c r="G22" s="154">
        <f>Table534[[#This Row],[Estimated number of Level 2 FTE Students]]/Table534[[#This Row],[TOTAL Eligible FTE Enrolment Sept. 30 2016]]</f>
        <v>1.9633507853403141E-2</v>
      </c>
      <c r="H22" s="154">
        <f>Table534[[#This Row],[Estimated number of Level 3 FTE Students]]/Table534[[#This Row],[TOTAL Eligible FTE Enrolment Sept. 30 2016]]</f>
        <v>4.1333700744006618E-3</v>
      </c>
      <c r="I22" s="154">
        <f>SUM(Table534[[#This Row],[Estimated number of Level 2 FTE Students]:[Estimated number of Level 3 FTE Students]])/Table534[[#This Row],[TOTAL Eligible FTE Enrolment Sept. 30 2016]]</f>
        <v>2.3766877927803805E-2</v>
      </c>
    </row>
    <row r="23" spans="1:9" ht="13.5" customHeight="1">
      <c r="A23" s="150" t="s">
        <v>1944</v>
      </c>
      <c r="B23" s="151">
        <f>'E. 17-18 FRAME Budget'!U26</f>
        <v>684000</v>
      </c>
      <c r="C23" s="151">
        <f>'E. 17-18 FRAME Budget'!V26</f>
        <v>887460</v>
      </c>
      <c r="D23" s="152">
        <f>Table534[[#This Row],[Special Needs LEVEL 2]]/9500</f>
        <v>72</v>
      </c>
      <c r="E23" s="152">
        <f>Table534[[#This Row],[Special Needs LEVEL 3]]/21130</f>
        <v>42</v>
      </c>
      <c r="F23" s="153">
        <f>'K. MB Funded Enrolment'!C23</f>
        <v>2925.8</v>
      </c>
      <c r="G23" s="154">
        <f>Table534[[#This Row],[Estimated number of Level 2 FTE Students]]/Table534[[#This Row],[TOTAL Eligible FTE Enrolment Sept. 30 2016]]</f>
        <v>2.4608654043338573E-2</v>
      </c>
      <c r="H23" s="154">
        <f>Table534[[#This Row],[Estimated number of Level 3 FTE Students]]/Table534[[#This Row],[TOTAL Eligible FTE Enrolment Sept. 30 2016]]</f>
        <v>1.43550481919475E-2</v>
      </c>
      <c r="I23" s="154">
        <f>SUM(Table534[[#This Row],[Estimated number of Level 2 FTE Students]:[Estimated number of Level 3 FTE Students]])/Table534[[#This Row],[TOTAL Eligible FTE Enrolment Sept. 30 2016]]</f>
        <v>3.8963702235286071E-2</v>
      </c>
    </row>
    <row r="24" spans="1:9" ht="13.5" customHeight="1">
      <c r="A24" s="150" t="s">
        <v>450</v>
      </c>
      <c r="B24" s="151">
        <f>'E. 17-18 FRAME Budget'!U27</f>
        <v>266000</v>
      </c>
      <c r="C24" s="151">
        <f>'E. 17-18 FRAME Budget'!V27</f>
        <v>162701</v>
      </c>
      <c r="D24" s="152">
        <f>Table534[[#This Row],[Special Needs LEVEL 2]]/9500</f>
        <v>28</v>
      </c>
      <c r="E24" s="152">
        <f>Table534[[#This Row],[Special Needs LEVEL 3]]/21130</f>
        <v>7.7</v>
      </c>
      <c r="F24" s="153">
        <f>'K. MB Funded Enrolment'!C24</f>
        <v>1490.5</v>
      </c>
      <c r="G24" s="154">
        <f>Table534[[#This Row],[Estimated number of Level 2 FTE Students]]/Table534[[#This Row],[TOTAL Eligible FTE Enrolment Sept. 30 2016]]</f>
        <v>1.8785642401878563E-2</v>
      </c>
      <c r="H24" s="154">
        <f>Table534[[#This Row],[Estimated number of Level 3 FTE Students]]/Table534[[#This Row],[TOTAL Eligible FTE Enrolment Sept. 30 2016]]</f>
        <v>5.1660516605166054E-3</v>
      </c>
      <c r="I24" s="154">
        <f>SUM(Table534[[#This Row],[Estimated number of Level 2 FTE Students]:[Estimated number of Level 3 FTE Students]])/Table534[[#This Row],[TOTAL Eligible FTE Enrolment Sept. 30 2016]]</f>
        <v>2.3951694062395171E-2</v>
      </c>
    </row>
    <row r="25" spans="1:9" ht="13.5" customHeight="1">
      <c r="A25" s="150" t="s">
        <v>1945</v>
      </c>
      <c r="B25" s="151">
        <f>'E. 17-18 FRAME Budget'!U28</f>
        <v>2584000</v>
      </c>
      <c r="C25" s="151">
        <f>'E. 17-18 FRAME Budget'!V28</f>
        <v>3053285</v>
      </c>
      <c r="D25" s="152">
        <f>Table534[[#This Row],[Special Needs LEVEL 2]]/9500</f>
        <v>272</v>
      </c>
      <c r="E25" s="152">
        <f>Table534[[#This Row],[Special Needs LEVEL 3]]/21130</f>
        <v>144.5</v>
      </c>
      <c r="F25" s="153">
        <f>'K. MB Funded Enrolment'!C25</f>
        <v>12895</v>
      </c>
      <c r="G25" s="154">
        <f>Table534[[#This Row],[Estimated number of Level 2 FTE Students]]/Table534[[#This Row],[TOTAL Eligible FTE Enrolment Sept. 30 2016]]</f>
        <v>2.1093447072508726E-2</v>
      </c>
      <c r="H25" s="154">
        <f>Table534[[#This Row],[Estimated number of Level 3 FTE Students]]/Table534[[#This Row],[TOTAL Eligible FTE Enrolment Sept. 30 2016]]</f>
        <v>1.120589375727026E-2</v>
      </c>
      <c r="I25" s="154">
        <f>SUM(Table534[[#This Row],[Estimated number of Level 2 FTE Students]:[Estimated number of Level 3 FTE Students]])/Table534[[#This Row],[TOTAL Eligible FTE Enrolment Sept. 30 2016]]</f>
        <v>3.2299340829778984E-2</v>
      </c>
    </row>
    <row r="26" spans="1:9" ht="13.5" customHeight="1">
      <c r="A26" s="150" t="s">
        <v>1946</v>
      </c>
      <c r="B26" s="151">
        <f>'E. 17-18 FRAME Budget'!U29</f>
        <v>199500</v>
      </c>
      <c r="C26" s="151">
        <f>'E. 17-18 FRAME Budget'!V29</f>
        <v>253560</v>
      </c>
      <c r="D26" s="152">
        <f>Table534[[#This Row],[Special Needs LEVEL 2]]/9500</f>
        <v>21</v>
      </c>
      <c r="E26" s="152">
        <f>Table534[[#This Row],[Special Needs LEVEL 3]]/21130</f>
        <v>12</v>
      </c>
      <c r="F26" s="153">
        <f>'K. MB Funded Enrolment'!C26</f>
        <v>990</v>
      </c>
      <c r="G26" s="154">
        <f>Table534[[#This Row],[Estimated number of Level 2 FTE Students]]/Table534[[#This Row],[TOTAL Eligible FTE Enrolment Sept. 30 2016]]</f>
        <v>2.1212121212121213E-2</v>
      </c>
      <c r="H26" s="154">
        <f>Table534[[#This Row],[Estimated number of Level 3 FTE Students]]/Table534[[#This Row],[TOTAL Eligible FTE Enrolment Sept. 30 2016]]</f>
        <v>1.2121212121212121E-2</v>
      </c>
      <c r="I26" s="154">
        <f>SUM(Table534[[#This Row],[Estimated number of Level 2 FTE Students]:[Estimated number of Level 3 FTE Students]])/Table534[[#This Row],[TOTAL Eligible FTE Enrolment Sept. 30 2016]]</f>
        <v>3.3333333333333333E-2</v>
      </c>
    </row>
    <row r="27" spans="1:9" ht="13.5" customHeight="1">
      <c r="A27" s="150" t="s">
        <v>451</v>
      </c>
      <c r="B27" s="151">
        <f>'E. 17-18 FRAME Budget'!U30</f>
        <v>831250</v>
      </c>
      <c r="C27" s="151">
        <f>'E. 17-18 FRAME Budget'!V30</f>
        <v>644465</v>
      </c>
      <c r="D27" s="152">
        <f>Table534[[#This Row],[Special Needs LEVEL 2]]/9500</f>
        <v>87.5</v>
      </c>
      <c r="E27" s="152">
        <f>Table534[[#This Row],[Special Needs LEVEL 3]]/21130</f>
        <v>30.5</v>
      </c>
      <c r="F27" s="153">
        <f>'K. MB Funded Enrolment'!C27</f>
        <v>3120.5</v>
      </c>
      <c r="G27" s="154">
        <f>Table534[[#This Row],[Estimated number of Level 2 FTE Students]]/Table534[[#This Row],[TOTAL Eligible FTE Enrolment Sept. 30 2016]]</f>
        <v>2.804037814452812E-2</v>
      </c>
      <c r="H27" s="154">
        <f>Table534[[#This Row],[Estimated number of Level 3 FTE Students]]/Table534[[#This Row],[TOTAL Eligible FTE Enrolment Sept. 30 2016]]</f>
        <v>9.7740746675212299E-3</v>
      </c>
      <c r="I27" s="154">
        <f>SUM(Table534[[#This Row],[Estimated number of Level 2 FTE Students]:[Estimated number of Level 3 FTE Students]])/Table534[[#This Row],[TOTAL Eligible FTE Enrolment Sept. 30 2016]]</f>
        <v>3.781445281204935E-2</v>
      </c>
    </row>
    <row r="28" spans="1:9" ht="13.5" customHeight="1">
      <c r="A28" s="150" t="s">
        <v>1947</v>
      </c>
      <c r="B28" s="151">
        <f>'E. 17-18 FRAME Budget'!U31</f>
        <v>313500</v>
      </c>
      <c r="C28" s="151">
        <f>'E. 17-18 FRAME Budget'!V31</f>
        <v>264125</v>
      </c>
      <c r="D28" s="152">
        <f>Table534[[#This Row],[Special Needs LEVEL 2]]/9500</f>
        <v>33</v>
      </c>
      <c r="E28" s="152">
        <f>Table534[[#This Row],[Special Needs LEVEL 3]]/21130</f>
        <v>12.5</v>
      </c>
      <c r="F28" s="153">
        <f>'K. MB Funded Enrolment'!C28</f>
        <v>2151.1999999999998</v>
      </c>
      <c r="G28" s="154">
        <f>Table534[[#This Row],[Estimated number of Level 2 FTE Students]]/Table534[[#This Row],[TOTAL Eligible FTE Enrolment Sept. 30 2016]]</f>
        <v>1.5340275195239868E-2</v>
      </c>
      <c r="H28" s="154">
        <f>Table534[[#This Row],[Estimated number of Level 3 FTE Students]]/Table534[[#This Row],[TOTAL Eligible FTE Enrolment Sept. 30 2016]]</f>
        <v>5.8107103012272222E-3</v>
      </c>
      <c r="I28" s="154">
        <f>SUM(Table534[[#This Row],[Estimated number of Level 2 FTE Students]:[Estimated number of Level 3 FTE Students]])/Table534[[#This Row],[TOTAL Eligible FTE Enrolment Sept. 30 2016]]</f>
        <v>2.115098549646709E-2</v>
      </c>
    </row>
    <row r="29" spans="1:9" ht="13.5" customHeight="1">
      <c r="A29" s="150" t="s">
        <v>445</v>
      </c>
      <c r="B29" s="151">
        <f>'E. 17-18 FRAME Budget'!U32</f>
        <v>304000</v>
      </c>
      <c r="C29" s="151">
        <f>'E. 17-18 FRAME Budget'!V32</f>
        <v>338080</v>
      </c>
      <c r="D29" s="152">
        <f>Table534[[#This Row],[Special Needs LEVEL 2]]/9500</f>
        <v>32</v>
      </c>
      <c r="E29" s="152">
        <f>Table534[[#This Row],[Special Needs LEVEL 3]]/21130</f>
        <v>16</v>
      </c>
      <c r="F29" s="153">
        <f>'K. MB Funded Enrolment'!C29</f>
        <v>1991.7</v>
      </c>
      <c r="G29" s="154">
        <f>Table534[[#This Row],[Estimated number of Level 2 FTE Students]]/Table534[[#This Row],[TOTAL Eligible FTE Enrolment Sept. 30 2016]]</f>
        <v>1.6066676708339608E-2</v>
      </c>
      <c r="H29" s="154">
        <f>Table534[[#This Row],[Estimated number of Level 3 FTE Students]]/Table534[[#This Row],[TOTAL Eligible FTE Enrolment Sept. 30 2016]]</f>
        <v>8.0333383541698038E-3</v>
      </c>
      <c r="I29" s="154">
        <f>SUM(Table534[[#This Row],[Estimated number of Level 2 FTE Students]:[Estimated number of Level 3 FTE Students]])/Table534[[#This Row],[TOTAL Eligible FTE Enrolment Sept. 30 2016]]</f>
        <v>2.4100015062509413E-2</v>
      </c>
    </row>
    <row r="30" spans="1:9" ht="13.5" customHeight="1">
      <c r="A30" s="150" t="s">
        <v>1948</v>
      </c>
      <c r="B30" s="151">
        <f>'E. 17-18 FRAME Budget'!U33</f>
        <v>551000</v>
      </c>
      <c r="C30" s="151">
        <f>'E. 17-18 FRAME Budget'!V33</f>
        <v>485990</v>
      </c>
      <c r="D30" s="152">
        <f>Table534[[#This Row],[Special Needs LEVEL 2]]/9500</f>
        <v>58</v>
      </c>
      <c r="E30" s="152">
        <f>Table534[[#This Row],[Special Needs LEVEL 3]]/21130</f>
        <v>23</v>
      </c>
      <c r="F30" s="153">
        <f>'K. MB Funded Enrolment'!C30</f>
        <v>2040.9</v>
      </c>
      <c r="G30" s="154">
        <f>Table534[[#This Row],[Estimated number of Level 2 FTE Students]]/Table534[[#This Row],[TOTAL Eligible FTE Enrolment Sept. 30 2016]]</f>
        <v>2.841883482777206E-2</v>
      </c>
      <c r="H30" s="154">
        <f>Table534[[#This Row],[Estimated number of Level 3 FTE Students]]/Table534[[#This Row],[TOTAL Eligible FTE Enrolment Sept. 30 2016]]</f>
        <v>1.1269537948944093E-2</v>
      </c>
      <c r="I30" s="154">
        <f>SUM(Table534[[#This Row],[Estimated number of Level 2 FTE Students]:[Estimated number of Level 3 FTE Students]])/Table534[[#This Row],[TOTAL Eligible FTE Enrolment Sept. 30 2016]]</f>
        <v>3.9688372776716156E-2</v>
      </c>
    </row>
    <row r="31" spans="1:9" ht="13.5" customHeight="1">
      <c r="A31" s="150" t="s">
        <v>1949</v>
      </c>
      <c r="B31" s="151">
        <f>'E. 17-18 FRAME Budget'!U34</f>
        <v>3842750</v>
      </c>
      <c r="C31" s="151">
        <f>'E. 17-18 FRAME Budget'!V34</f>
        <v>4226000</v>
      </c>
      <c r="D31" s="152">
        <f>Table534[[#This Row],[Special Needs LEVEL 2]]/9500</f>
        <v>404.5</v>
      </c>
      <c r="E31" s="152">
        <f>Table534[[#This Row],[Special Needs LEVEL 3]]/21130</f>
        <v>200</v>
      </c>
      <c r="F31" s="153">
        <f>'K. MB Funded Enrolment'!C31</f>
        <v>15492</v>
      </c>
      <c r="G31" s="154">
        <f>Table534[[#This Row],[Estimated number of Level 2 FTE Students]]/Table534[[#This Row],[TOTAL Eligible FTE Enrolment Sept. 30 2016]]</f>
        <v>2.6110250451846114E-2</v>
      </c>
      <c r="H31" s="154">
        <f>Table534[[#This Row],[Estimated number of Level 3 FTE Students]]/Table534[[#This Row],[TOTAL Eligible FTE Enrolment Sept. 30 2016]]</f>
        <v>1.2909888974954816E-2</v>
      </c>
      <c r="I31" s="154">
        <f>SUM(Table534[[#This Row],[Estimated number of Level 2 FTE Students]:[Estimated number of Level 3 FTE Students]])/Table534[[#This Row],[TOTAL Eligible FTE Enrolment Sept. 30 2016]]</f>
        <v>3.902013942680093E-2</v>
      </c>
    </row>
    <row r="32" spans="1:9" ht="13.5" customHeight="1">
      <c r="A32" s="150" t="s">
        <v>446</v>
      </c>
      <c r="B32" s="151">
        <f>'E. 17-18 FRAME Budget'!U35</f>
        <v>275500</v>
      </c>
      <c r="C32" s="151">
        <f>'E. 17-18 FRAME Budget'!V35</f>
        <v>105650</v>
      </c>
      <c r="D32" s="152">
        <f>Table534[[#This Row],[Special Needs LEVEL 2]]/9500</f>
        <v>29</v>
      </c>
      <c r="E32" s="152">
        <f>Table534[[#This Row],[Special Needs LEVEL 3]]/21130</f>
        <v>5</v>
      </c>
      <c r="F32" s="153">
        <f>'K. MB Funded Enrolment'!C32</f>
        <v>1553.1</v>
      </c>
      <c r="G32" s="154">
        <f>Table534[[#This Row],[Estimated number of Level 2 FTE Students]]/Table534[[#This Row],[TOTAL Eligible FTE Enrolment Sept. 30 2016]]</f>
        <v>1.8672332753847144E-2</v>
      </c>
      <c r="H32" s="154">
        <f>Table534[[#This Row],[Estimated number of Level 3 FTE Students]]/Table534[[#This Row],[TOTAL Eligible FTE Enrolment Sept. 30 2016]]</f>
        <v>3.2193677161805423E-3</v>
      </c>
      <c r="I32" s="154">
        <f>SUM(Table534[[#This Row],[Estimated number of Level 2 FTE Students]:[Estimated number of Level 3 FTE Students]])/Table534[[#This Row],[TOTAL Eligible FTE Enrolment Sept. 30 2016]]</f>
        <v>2.1891700470027687E-2</v>
      </c>
    </row>
    <row r="33" spans="1:9" ht="13.5" customHeight="1">
      <c r="A33" s="150" t="s">
        <v>1950</v>
      </c>
      <c r="B33" s="151">
        <f>'E. 17-18 FRAME Budget'!U36</f>
        <v>1121000</v>
      </c>
      <c r="C33" s="151">
        <f>'E. 17-18 FRAME Budget'!V36</f>
        <v>824070</v>
      </c>
      <c r="D33" s="152">
        <f>Table534[[#This Row],[Special Needs LEVEL 2]]/9500</f>
        <v>118</v>
      </c>
      <c r="E33" s="152">
        <f>Table534[[#This Row],[Special Needs LEVEL 3]]/21130</f>
        <v>39</v>
      </c>
      <c r="F33" s="153">
        <f>'K. MB Funded Enrolment'!C33</f>
        <v>4185</v>
      </c>
      <c r="G33" s="154">
        <f>Table534[[#This Row],[Estimated number of Level 2 FTE Students]]/Table534[[#This Row],[TOTAL Eligible FTE Enrolment Sept. 30 2016]]</f>
        <v>2.8195937873357228E-2</v>
      </c>
      <c r="H33" s="154">
        <f>Table534[[#This Row],[Estimated number of Level 3 FTE Students]]/Table534[[#This Row],[TOTAL Eligible FTE Enrolment Sept. 30 2016]]</f>
        <v>9.3189964157706102E-3</v>
      </c>
      <c r="I33" s="154">
        <f>SUM(Table534[[#This Row],[Estimated number of Level 2 FTE Students]:[Estimated number of Level 3 FTE Students]])/Table534[[#This Row],[TOTAL Eligible FTE Enrolment Sept. 30 2016]]</f>
        <v>3.751493428912784E-2</v>
      </c>
    </row>
    <row r="34" spans="1:9" ht="13.5" customHeight="1">
      <c r="A34" s="150" t="s">
        <v>1951</v>
      </c>
      <c r="B34" s="151">
        <f>'E. 17-18 FRAME Budget'!U37</f>
        <v>2141300</v>
      </c>
      <c r="C34" s="151">
        <f>'E. 17-18 FRAME Budget'!V37</f>
        <v>3209647</v>
      </c>
      <c r="D34" s="152">
        <f>Table534[[#This Row],[Special Needs LEVEL 2]]/9500</f>
        <v>225.4</v>
      </c>
      <c r="E34" s="152">
        <f>Table534[[#This Row],[Special Needs LEVEL 3]]/21130</f>
        <v>151.9</v>
      </c>
      <c r="F34" s="153">
        <f>'K. MB Funded Enrolment'!C34</f>
        <v>10891.8</v>
      </c>
      <c r="G34" s="154">
        <f>Table534[[#This Row],[Estimated number of Level 2 FTE Students]]/Table534[[#This Row],[TOTAL Eligible FTE Enrolment Sept. 30 2016]]</f>
        <v>2.0694467397491693E-2</v>
      </c>
      <c r="H34" s="154">
        <f>Table534[[#This Row],[Estimated number of Level 3 FTE Students]]/Table534[[#This Row],[TOTAL Eligible FTE Enrolment Sept. 30 2016]]</f>
        <v>1.3946271507005271E-2</v>
      </c>
      <c r="I34" s="154">
        <f>SUM(Table534[[#This Row],[Estimated number of Level 2 FTE Students]:[Estimated number of Level 3 FTE Students]])/Table534[[#This Row],[TOTAL Eligible FTE Enrolment Sept. 30 2016]]</f>
        <v>3.4640738904496968E-2</v>
      </c>
    </row>
    <row r="35" spans="1:9" ht="13.5" customHeight="1">
      <c r="A35" s="150" t="s">
        <v>1952</v>
      </c>
      <c r="B35" s="151">
        <f>'E. 17-18 FRAME Budget'!U38</f>
        <v>209000</v>
      </c>
      <c r="C35" s="151">
        <f>'E. 17-18 FRAME Budget'!V38</f>
        <v>158475</v>
      </c>
      <c r="D35" s="152">
        <f>Table534[[#This Row],[Special Needs LEVEL 2]]/9500</f>
        <v>22</v>
      </c>
      <c r="E35" s="152">
        <f>Table534[[#This Row],[Special Needs LEVEL 3]]/21130</f>
        <v>7.5</v>
      </c>
      <c r="F35" s="153">
        <f>'K. MB Funded Enrolment'!C35</f>
        <v>1501.4</v>
      </c>
      <c r="G35" s="154">
        <f>Table534[[#This Row],[Estimated number of Level 2 FTE Students]]/Table534[[#This Row],[TOTAL Eligible FTE Enrolment Sept. 30 2016]]</f>
        <v>1.4652990542160649E-2</v>
      </c>
      <c r="H35" s="154">
        <f>Table534[[#This Row],[Estimated number of Level 3 FTE Students]]/Table534[[#This Row],[TOTAL Eligible FTE Enrolment Sept. 30 2016]]</f>
        <v>4.9953376848274941E-3</v>
      </c>
      <c r="I35" s="154">
        <f>SUM(Table534[[#This Row],[Estimated number of Level 2 FTE Students]:[Estimated number of Level 3 FTE Students]])/Table534[[#This Row],[TOTAL Eligible FTE Enrolment Sept. 30 2016]]</f>
        <v>1.9648328226988143E-2</v>
      </c>
    </row>
    <row r="36" spans="1:9" ht="13.5" customHeight="1">
      <c r="A36" s="150" t="s">
        <v>1304</v>
      </c>
      <c r="B36" s="151">
        <f>'E. 17-18 FRAME Budget'!U39</f>
        <v>2417750</v>
      </c>
      <c r="C36" s="151">
        <f>'E. 17-18 FRAME Budget'!V39</f>
        <v>1870005</v>
      </c>
      <c r="D36" s="152">
        <f>Table534[[#This Row],[Special Needs LEVEL 2]]/9500</f>
        <v>254.5</v>
      </c>
      <c r="E36" s="152">
        <f>Table534[[#This Row],[Special Needs LEVEL 3]]/21130</f>
        <v>88.5</v>
      </c>
      <c r="F36" s="153">
        <f>'K. MB Funded Enrolment'!C36</f>
        <v>7987.5</v>
      </c>
      <c r="G36" s="154">
        <f>Table534[[#This Row],[Estimated number of Level 2 FTE Students]]/Table534[[#This Row],[TOTAL Eligible FTE Enrolment Sept. 30 2016]]</f>
        <v>3.1862284820031297E-2</v>
      </c>
      <c r="H36" s="154">
        <f>Table534[[#This Row],[Estimated number of Level 3 FTE Students]]/Table534[[#This Row],[TOTAL Eligible FTE Enrolment Sept. 30 2016]]</f>
        <v>1.1079812206572771E-2</v>
      </c>
      <c r="I36" s="154">
        <f>SUM(Table534[[#This Row],[Estimated number of Level 2 FTE Students]:[Estimated number of Level 3 FTE Students]])/Table534[[#This Row],[TOTAL Eligible FTE Enrolment Sept. 30 2016]]</f>
        <v>4.2942097026604072E-2</v>
      </c>
    </row>
    <row r="37" spans="1:9" ht="13.5" customHeight="1">
      <c r="A37" s="150" t="s">
        <v>447</v>
      </c>
      <c r="B37" s="151">
        <f>'E. 17-18 FRAME Budget'!U40</f>
        <v>940500</v>
      </c>
      <c r="C37" s="151">
        <f>'E. 17-18 FRAME Budget'!V40</f>
        <v>1225540</v>
      </c>
      <c r="D37" s="152">
        <f>Table534[[#This Row],[Special Needs LEVEL 2]]/9500</f>
        <v>99</v>
      </c>
      <c r="E37" s="152">
        <f>Table534[[#This Row],[Special Needs LEVEL 3]]/21130</f>
        <v>58</v>
      </c>
      <c r="F37" s="153">
        <f>'K. MB Funded Enrolment'!C37</f>
        <v>4391</v>
      </c>
      <c r="G37" s="154">
        <f>Table534[[#This Row],[Estimated number of Level 2 FTE Students]]/Table534[[#This Row],[TOTAL Eligible FTE Enrolment Sept. 30 2016]]</f>
        <v>2.2546117057617856E-2</v>
      </c>
      <c r="H37" s="154">
        <f>Table534[[#This Row],[Estimated number of Level 3 FTE Students]]/Table534[[#This Row],[TOTAL Eligible FTE Enrolment Sept. 30 2016]]</f>
        <v>1.3208836255978138E-2</v>
      </c>
      <c r="I37" s="154">
        <f>SUM(Table534[[#This Row],[Estimated number of Level 2 FTE Students]:[Estimated number of Level 3 FTE Students]])/Table534[[#This Row],[TOTAL Eligible FTE Enrolment Sept. 30 2016]]</f>
        <v>3.5754953313595988E-2</v>
      </c>
    </row>
    <row r="38" spans="1:9" ht="13.5" customHeight="1">
      <c r="A38" s="150" t="s">
        <v>1953</v>
      </c>
      <c r="B38" s="151">
        <f>'E. 17-18 FRAME Budget'!U41</f>
        <v>346750</v>
      </c>
      <c r="C38" s="151">
        <f>'E. 17-18 FRAME Budget'!V41</f>
        <v>221865</v>
      </c>
      <c r="D38" s="152">
        <f>Table534[[#This Row],[Special Needs LEVEL 2]]/9500</f>
        <v>36.5</v>
      </c>
      <c r="E38" s="152">
        <f>Table534[[#This Row],[Special Needs LEVEL 3]]/21130</f>
        <v>10.5</v>
      </c>
      <c r="F38" s="153">
        <f>'K. MB Funded Enrolment'!C38</f>
        <v>1343.6</v>
      </c>
      <c r="G38" s="154">
        <f>Table534[[#This Row],[Estimated number of Level 2 FTE Students]]/Table534[[#This Row],[TOTAL Eligible FTE Enrolment Sept. 30 2016]]</f>
        <v>2.7165823161655257E-2</v>
      </c>
      <c r="H38" s="154">
        <f>Table534[[#This Row],[Estimated number of Level 3 FTE Students]]/Table534[[#This Row],[TOTAL Eligible FTE Enrolment Sept. 30 2016]]</f>
        <v>7.8148258410241141E-3</v>
      </c>
      <c r="I38" s="154">
        <f>SUM(Table534[[#This Row],[Estimated number of Level 2 FTE Students]:[Estimated number of Level 3 FTE Students]])/Table534[[#This Row],[TOTAL Eligible FTE Enrolment Sept. 30 2016]]</f>
        <v>3.4980649002679373E-2</v>
      </c>
    </row>
    <row r="39" spans="1:9" ht="13.5" customHeight="1">
      <c r="A39" s="150" t="s">
        <v>1954</v>
      </c>
      <c r="B39" s="151">
        <f>'E. 17-18 FRAME Budget'!U42</f>
        <v>183350</v>
      </c>
      <c r="C39" s="151">
        <f>'E. 17-18 FRAME Budget'!V42</f>
        <v>63390</v>
      </c>
      <c r="D39" s="152">
        <f>Table534[[#This Row],[Special Needs LEVEL 2]]/9500</f>
        <v>19.3</v>
      </c>
      <c r="E39" s="152">
        <f>Table534[[#This Row],[Special Needs LEVEL 3]]/21130</f>
        <v>3</v>
      </c>
      <c r="F39" s="153">
        <f>'K. MB Funded Enrolment'!C39</f>
        <v>963.69999999999993</v>
      </c>
      <c r="G39" s="154">
        <f>Table534[[#This Row],[Estimated number of Level 2 FTE Students]]/Table534[[#This Row],[TOTAL Eligible FTE Enrolment Sept. 30 2016]]</f>
        <v>2.0026979350420259E-2</v>
      </c>
      <c r="H39" s="154">
        <f>Table534[[#This Row],[Estimated number of Level 3 FTE Students]]/Table534[[#This Row],[TOTAL Eligible FTE Enrolment Sept. 30 2016]]</f>
        <v>3.1130019715679158E-3</v>
      </c>
      <c r="I39" s="154">
        <f>SUM(Table534[[#This Row],[Estimated number of Level 2 FTE Students]:[Estimated number of Level 3 FTE Students]])/Table534[[#This Row],[TOTAL Eligible FTE Enrolment Sept. 30 2016]]</f>
        <v>2.3139981321988173E-2</v>
      </c>
    </row>
    <row r="40" spans="1:9" ht="13.5" customHeight="1">
      <c r="A40" s="150" t="s">
        <v>448</v>
      </c>
      <c r="B40" s="151">
        <f>'E. 17-18 FRAME Budget'!U43</f>
        <v>251750</v>
      </c>
      <c r="C40" s="151">
        <f>'E. 17-18 FRAME Budget'!V43</f>
        <v>73955</v>
      </c>
      <c r="D40" s="152">
        <f>Table534[[#This Row],[Special Needs LEVEL 2]]/9500</f>
        <v>26.5</v>
      </c>
      <c r="E40" s="152">
        <f>Table534[[#This Row],[Special Needs LEVEL 3]]/21130</f>
        <v>3.5</v>
      </c>
      <c r="F40" s="153">
        <f>'K. MB Funded Enrolment'!C40</f>
        <v>693.3</v>
      </c>
      <c r="G40" s="154">
        <f>Table534[[#This Row],[Estimated number of Level 2 FTE Students]]/Table534[[#This Row],[TOTAL Eligible FTE Enrolment Sept. 30 2016]]</f>
        <v>3.8222991489975482E-2</v>
      </c>
      <c r="H40" s="154">
        <f>Table534[[#This Row],[Estimated number of Level 3 FTE Students]]/Table534[[#This Row],[TOTAL Eligible FTE Enrolment Sept. 30 2016]]</f>
        <v>5.0483196307514787E-3</v>
      </c>
      <c r="I40" s="154">
        <f>SUM(Table534[[#This Row],[Estimated number of Level 2 FTE Students]:[Estimated number of Level 3 FTE Students]])/Table534[[#This Row],[TOTAL Eligible FTE Enrolment Sept. 30 2016]]</f>
        <v>4.3271311120726963E-2</v>
      </c>
    </row>
    <row r="41" spans="1:9" ht="13.5" customHeight="1">
      <c r="A41" s="150" t="s">
        <v>1955</v>
      </c>
      <c r="B41" s="151">
        <f>'E. 17-18 FRAME Budget'!U44</f>
        <v>299250</v>
      </c>
      <c r="C41" s="151">
        <f>'E. 17-18 FRAME Budget'!V44</f>
        <v>169040</v>
      </c>
      <c r="D41" s="152">
        <f>Table534[[#This Row],[Special Needs LEVEL 2]]/9500</f>
        <v>31.5</v>
      </c>
      <c r="E41" s="152">
        <f>Table534[[#This Row],[Special Needs LEVEL 3]]/21130</f>
        <v>8</v>
      </c>
      <c r="F41" s="153">
        <f>'K. MB Funded Enrolment'!C41</f>
        <v>1662.4</v>
      </c>
      <c r="G41" s="154">
        <f>Table534[[#This Row],[Estimated number of Level 2 FTE Students]]/Table534[[#This Row],[TOTAL Eligible FTE Enrolment Sept. 30 2016]]</f>
        <v>1.8948508180943215E-2</v>
      </c>
      <c r="H41" s="154">
        <f>Table534[[#This Row],[Estimated number of Level 3 FTE Students]]/Table534[[#This Row],[TOTAL Eligible FTE Enrolment Sept. 30 2016]]</f>
        <v>4.8123195380173241E-3</v>
      </c>
      <c r="I41" s="154">
        <f>SUM(Table534[[#This Row],[Estimated number of Level 2 FTE Students]:[Estimated number of Level 3 FTE Students]])/Table534[[#This Row],[TOTAL Eligible FTE Enrolment Sept. 30 2016]]</f>
        <v>2.3760827718960539E-2</v>
      </c>
    </row>
    <row r="42" spans="1:9" ht="13.5" customHeight="1">
      <c r="A42" s="150" t="s">
        <v>1956</v>
      </c>
      <c r="B42" s="151">
        <f>'E. 17-18 FRAME Budget'!U45</f>
        <v>7132600</v>
      </c>
      <c r="C42" s="151">
        <f>'E. 17-18 FRAME Budget'!V45</f>
        <v>6795408</v>
      </c>
      <c r="D42" s="152">
        <f>Table534[[#This Row],[Special Needs LEVEL 2]]/9500</f>
        <v>750.8</v>
      </c>
      <c r="E42" s="152">
        <f>Table534[[#This Row],[Special Needs LEVEL 3]]/21130</f>
        <v>321.60000000000002</v>
      </c>
      <c r="F42" s="153">
        <f>'K. MB Funded Enrolment'!C42</f>
        <v>29637.4</v>
      </c>
      <c r="G42" s="154">
        <f>Table534[[#This Row],[Estimated number of Level 2 FTE Students]]/Table534[[#This Row],[TOTAL Eligible FTE Enrolment Sept. 30 2016]]</f>
        <v>2.5332856458393782E-2</v>
      </c>
      <c r="H42" s="154">
        <f>Table534[[#This Row],[Estimated number of Level 3 FTE Students]]/Table534[[#This Row],[TOTAL Eligible FTE Enrolment Sept. 30 2016]]</f>
        <v>1.0851154284788814E-2</v>
      </c>
      <c r="I42" s="154">
        <f>SUM(Table534[[#This Row],[Estimated number of Level 2 FTE Students]:[Estimated number of Level 3 FTE Students]])/Table534[[#This Row],[TOTAL Eligible FTE Enrolment Sept. 30 2016]]</f>
        <v>3.6184010743182601E-2</v>
      </c>
    </row>
    <row r="43" spans="1:9" ht="13.5" customHeight="1">
      <c r="A43" s="257" t="s">
        <v>72</v>
      </c>
      <c r="B43" s="370">
        <f>SUBTOTAL(109,Table534[Special Needs LEVEL 2])</f>
        <v>37323800</v>
      </c>
      <c r="C43" s="370">
        <f>SUBTOTAL(109,Table534[Special Needs LEVEL 3])</f>
        <v>36954227</v>
      </c>
      <c r="D43" s="371">
        <f>SUBTOTAL(109,Table534[Estimated number of Level 2 FTE Students])</f>
        <v>3928.8210526315788</v>
      </c>
      <c r="E43" s="371">
        <f>SUBTOTAL(109,Table534[Estimated number of Level 3 FTE Students])</f>
        <v>1748.8985802176999</v>
      </c>
      <c r="F43" s="372">
        <f>SUBTOTAL(109,Table534[TOTAL Eligible FTE Enrolment Sept. 30 2016])</f>
        <v>168991.19999999998</v>
      </c>
      <c r="G43" s="373"/>
      <c r="H43" s="373"/>
      <c r="I43" s="373"/>
    </row>
    <row r="44" spans="1:9">
      <c r="B44" s="108"/>
      <c r="C44" s="108"/>
    </row>
    <row r="45" spans="1:9">
      <c r="B45" s="108"/>
      <c r="C45" s="108"/>
    </row>
  </sheetData>
  <mergeCells count="1">
    <mergeCell ref="A3:E3"/>
  </mergeCells>
  <pageMargins left="0.7" right="0.7" top="0.75" bottom="0.75" header="0.3" footer="0.3"/>
  <pageSetup orientation="portrait" r:id="rId1"/>
  <headerFooter>
    <oddHeader>&amp;R&amp;P of &amp;N</oddHeader>
  </headerFooter>
  <tableParts count="1">
    <tablePart r:id="rId2"/>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2:G20"/>
  <sheetViews>
    <sheetView workbookViewId="0"/>
  </sheetViews>
  <sheetFormatPr baseColWidth="10" defaultColWidth="9.19921875" defaultRowHeight="15"/>
  <cols>
    <col min="1" max="1" width="20.3984375" style="107" customWidth="1"/>
    <col min="2" max="2" width="35.19921875" style="107" customWidth="1"/>
    <col min="3" max="3" width="20.19921875" style="107" customWidth="1"/>
    <col min="4" max="8" width="9.19921875" style="107"/>
    <col min="9" max="9" width="14.796875" style="107" customWidth="1"/>
    <col min="10" max="10" width="18" style="107" customWidth="1"/>
    <col min="11" max="16384" width="9.19921875" style="107"/>
  </cols>
  <sheetData>
    <row r="2" spans="1:7" ht="16">
      <c r="A2" s="160" t="s">
        <v>2457</v>
      </c>
      <c r="E2"/>
    </row>
    <row r="3" spans="1:7" ht="41.25" customHeight="1">
      <c r="A3" s="1825" t="s">
        <v>2458</v>
      </c>
      <c r="B3" s="1825"/>
      <c r="C3" s="1825"/>
    </row>
    <row r="4" spans="1:7" ht="27" customHeight="1">
      <c r="A4" s="1825" t="s">
        <v>2459</v>
      </c>
      <c r="B4" s="1825"/>
      <c r="C4" s="1825"/>
    </row>
    <row r="5" spans="1:7" ht="16">
      <c r="A5" s="160"/>
    </row>
    <row r="6" spans="1:7" ht="36" customHeight="1">
      <c r="A6" s="161" t="s">
        <v>2460</v>
      </c>
      <c r="B6" s="161" t="s">
        <v>286</v>
      </c>
      <c r="C6" s="161" t="s">
        <v>2461</v>
      </c>
      <c r="E6"/>
      <c r="F6"/>
      <c r="G6"/>
    </row>
    <row r="7" spans="1:7">
      <c r="A7" s="162">
        <v>261</v>
      </c>
      <c r="B7" s="162" t="s">
        <v>400</v>
      </c>
      <c r="C7" s="151">
        <v>238</v>
      </c>
      <c r="E7"/>
      <c r="F7"/>
      <c r="G7"/>
    </row>
    <row r="8" spans="1:7">
      <c r="A8" s="162">
        <v>267</v>
      </c>
      <c r="B8" s="162" t="s">
        <v>392</v>
      </c>
      <c r="C8" s="151">
        <v>723</v>
      </c>
      <c r="E8"/>
      <c r="F8"/>
      <c r="G8"/>
    </row>
    <row r="9" spans="1:7">
      <c r="A9" s="162">
        <v>271</v>
      </c>
      <c r="B9" s="162" t="s">
        <v>396</v>
      </c>
      <c r="C9" s="151">
        <v>368</v>
      </c>
      <c r="E9"/>
      <c r="F9"/>
      <c r="G9"/>
    </row>
    <row r="10" spans="1:7">
      <c r="A10" s="162">
        <v>272</v>
      </c>
      <c r="B10" s="162" t="s">
        <v>2462</v>
      </c>
      <c r="C10" s="151">
        <v>413</v>
      </c>
      <c r="E10"/>
      <c r="F10"/>
      <c r="G10"/>
    </row>
    <row r="11" spans="1:7">
      <c r="A11" s="162">
        <v>273</v>
      </c>
      <c r="B11" s="162" t="s">
        <v>402</v>
      </c>
      <c r="C11" s="151">
        <v>280</v>
      </c>
      <c r="E11"/>
      <c r="F11"/>
      <c r="G11"/>
    </row>
    <row r="12" spans="1:7">
      <c r="A12" s="162">
        <v>275</v>
      </c>
      <c r="B12" s="162" t="s">
        <v>390</v>
      </c>
      <c r="C12" s="151">
        <v>464</v>
      </c>
      <c r="E12"/>
      <c r="F12"/>
      <c r="G12"/>
    </row>
    <row r="13" spans="1:7">
      <c r="A13" s="162">
        <v>286</v>
      </c>
      <c r="B13" s="162" t="s">
        <v>406</v>
      </c>
      <c r="C13" s="151">
        <v>466</v>
      </c>
      <c r="E13"/>
      <c r="F13"/>
      <c r="G13"/>
    </row>
    <row r="14" spans="1:7">
      <c r="A14" s="162">
        <v>288</v>
      </c>
      <c r="B14" s="162" t="s">
        <v>398</v>
      </c>
      <c r="C14" s="151">
        <v>318</v>
      </c>
      <c r="E14"/>
      <c r="F14"/>
      <c r="G14"/>
    </row>
    <row r="15" spans="1:7">
      <c r="A15" s="254">
        <v>295</v>
      </c>
      <c r="B15" s="254" t="s">
        <v>320</v>
      </c>
      <c r="C15" s="1275">
        <v>318</v>
      </c>
      <c r="E15"/>
      <c r="F15"/>
      <c r="G15"/>
    </row>
    <row r="16" spans="1:7">
      <c r="A16" s="162">
        <v>304</v>
      </c>
      <c r="B16" s="162" t="s">
        <v>394</v>
      </c>
      <c r="C16" s="151">
        <v>1514</v>
      </c>
      <c r="E16"/>
      <c r="F16"/>
      <c r="G16"/>
    </row>
    <row r="17" spans="1:7">
      <c r="A17" s="162">
        <v>305</v>
      </c>
      <c r="B17" s="162" t="s">
        <v>404</v>
      </c>
      <c r="C17" s="151">
        <v>1402</v>
      </c>
      <c r="E17"/>
      <c r="F17"/>
      <c r="G17"/>
    </row>
    <row r="18" spans="1:7">
      <c r="A18" t="s">
        <v>72</v>
      </c>
      <c r="B18"/>
      <c r="C18" s="163">
        <f>SUBTOTAL(109,Table135[2017-18 Travel Rate])</f>
        <v>6504</v>
      </c>
      <c r="E18"/>
      <c r="F18"/>
      <c r="G18"/>
    </row>
    <row r="19" spans="1:7">
      <c r="E19"/>
      <c r="F19"/>
      <c r="G19"/>
    </row>
    <row r="20" spans="1:7">
      <c r="E20"/>
      <c r="F20"/>
      <c r="G20"/>
    </row>
  </sheetData>
  <mergeCells count="2">
    <mergeCell ref="A3:C3"/>
    <mergeCell ref="A4:C4"/>
  </mergeCells>
  <pageMargins left="0.7" right="0.7" top="0.75" bottom="0.75" header="0.3" footer="0.3"/>
  <pageSetup orientation="portrait" r:id="rId1"/>
  <tableParts count="1">
    <tablePart r:id="rId2"/>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2:Y60"/>
  <sheetViews>
    <sheetView topLeftCell="E1" workbookViewId="0"/>
  </sheetViews>
  <sheetFormatPr baseColWidth="10" defaultColWidth="9.19921875" defaultRowHeight="15"/>
  <cols>
    <col min="1" max="1" width="23.19921875" style="107" bestFit="1" customWidth="1"/>
    <col min="2" max="2" width="11.19921875" style="107" customWidth="1"/>
    <col min="3" max="3" width="10.3984375" style="107" customWidth="1"/>
    <col min="4" max="4" width="3.19921875" style="107" customWidth="1"/>
    <col min="5" max="5" width="27.796875" style="107" customWidth="1"/>
    <col min="6" max="6" width="10.3984375" style="107" customWidth="1"/>
    <col min="7" max="7" width="3.3984375" style="107" customWidth="1"/>
    <col min="8" max="8" width="13.59765625" style="107" customWidth="1"/>
    <col min="9" max="9" width="10.59765625" style="107" customWidth="1"/>
    <col min="10" max="10" width="9.19921875" style="107"/>
    <col min="11" max="11" width="11.3984375" style="107" customWidth="1"/>
    <col min="12" max="12" width="9.19921875" style="107"/>
    <col min="13" max="13" width="10.59765625" style="107" customWidth="1"/>
    <col min="14" max="14" width="9.19921875" style="107"/>
    <col min="15" max="15" width="11.19921875" style="107" customWidth="1"/>
    <col min="16" max="16" width="9.19921875" style="107"/>
    <col min="17" max="17" width="3.19921875" style="107" customWidth="1"/>
    <col min="18" max="18" width="12.796875" style="107" customWidth="1"/>
    <col min="19" max="19" width="10.3984375" style="107" customWidth="1"/>
    <col min="20" max="20" width="10.19921875" style="107" customWidth="1"/>
    <col min="21" max="22" width="9.19921875" style="107"/>
    <col min="23" max="23" width="12" style="107" customWidth="1"/>
    <col min="24" max="24" width="11.59765625" style="107" customWidth="1"/>
    <col min="25" max="25" width="11" style="107" customWidth="1"/>
    <col min="26" max="26" width="2.796875" style="107" customWidth="1"/>
    <col min="27" max="27" width="13.19921875" style="107" customWidth="1"/>
    <col min="28" max="31" width="9.19921875" style="107"/>
    <col min="32" max="32" width="12.59765625" style="107" bestFit="1" customWidth="1"/>
    <col min="33" max="16384" width="9.19921875" style="107"/>
  </cols>
  <sheetData>
    <row r="2" spans="1:25" ht="21">
      <c r="A2" s="329" t="s">
        <v>2463</v>
      </c>
    </row>
    <row r="3" spans="1:25" ht="19">
      <c r="A3" s="1436" t="s">
        <v>2464</v>
      </c>
      <c r="B3" s="1437"/>
      <c r="C3" s="1437"/>
      <c r="D3" s="1437"/>
      <c r="E3" s="1437"/>
      <c r="F3" s="1437"/>
      <c r="H3" s="1436" t="s">
        <v>2465</v>
      </c>
      <c r="I3" s="1437"/>
      <c r="J3" s="1437"/>
      <c r="K3" s="1437"/>
      <c r="L3" s="1437"/>
      <c r="M3" s="1437"/>
      <c r="N3" s="1437"/>
      <c r="O3" s="1437"/>
      <c r="P3"/>
      <c r="R3" s="1436" t="s">
        <v>2466</v>
      </c>
      <c r="S3" s="1438"/>
      <c r="T3" s="1438"/>
      <c r="U3" s="1438"/>
      <c r="V3" s="1438"/>
      <c r="W3" s="1438"/>
      <c r="X3" s="1438"/>
      <c r="Y3" s="1438"/>
    </row>
    <row r="4" spans="1:25" ht="16">
      <c r="A4" s="261" t="s">
        <v>2467</v>
      </c>
      <c r="B4" s="261" t="s">
        <v>2468</v>
      </c>
      <c r="C4" s="261" t="s">
        <v>2469</v>
      </c>
      <c r="E4" s="261" t="s">
        <v>471</v>
      </c>
      <c r="H4" s="375" t="s">
        <v>2470</v>
      </c>
      <c r="I4" s="262"/>
      <c r="J4" s="262"/>
      <c r="K4" s="262"/>
      <c r="L4" s="262"/>
      <c r="M4" s="262"/>
      <c r="N4" s="262"/>
      <c r="O4" s="262"/>
      <c r="P4" s="262"/>
      <c r="R4" s="263" t="s">
        <v>2471</v>
      </c>
    </row>
    <row r="5" spans="1:25">
      <c r="A5" s="107" t="s">
        <v>2472</v>
      </c>
      <c r="B5" s="275">
        <f>N18/100</f>
        <v>1.5794999999999999</v>
      </c>
      <c r="C5" s="264">
        <f>ROUND((B5*(1+F7))/F6,4)</f>
        <v>0.46460000000000001</v>
      </c>
      <c r="E5" s="327" t="s">
        <v>2473</v>
      </c>
      <c r="F5" s="265">
        <v>20000</v>
      </c>
      <c r="H5" s="266"/>
      <c r="I5" s="267" t="s">
        <v>845</v>
      </c>
      <c r="J5" s="267"/>
      <c r="K5" s="267"/>
      <c r="L5" s="267"/>
      <c r="M5" s="267" t="s">
        <v>1233</v>
      </c>
      <c r="N5" s="266"/>
      <c r="O5" s="266"/>
      <c r="P5" s="266"/>
      <c r="R5" s="268"/>
      <c r="S5" s="1827" t="s">
        <v>2474</v>
      </c>
      <c r="T5" s="1827" t="s">
        <v>2475</v>
      </c>
      <c r="U5" s="268"/>
      <c r="V5" s="268"/>
      <c r="W5" s="1827" t="s">
        <v>2476</v>
      </c>
      <c r="X5" s="1827" t="s">
        <v>2477</v>
      </c>
    </row>
    <row r="6" spans="1:25" ht="24" customHeight="1">
      <c r="A6" s="107" t="s">
        <v>2478</v>
      </c>
      <c r="B6" s="269">
        <f>I23</f>
        <v>1299.8399999999999</v>
      </c>
      <c r="C6" s="264">
        <f>ROUND(B6/F5,4)</f>
        <v>6.5000000000000002E-2</v>
      </c>
      <c r="E6" s="328" t="s">
        <v>2479</v>
      </c>
      <c r="F6" s="107">
        <v>3.4</v>
      </c>
      <c r="H6" s="270" t="s">
        <v>2480</v>
      </c>
      <c r="I6" s="271" t="s">
        <v>2481</v>
      </c>
      <c r="J6" s="272" t="s">
        <v>2482</v>
      </c>
      <c r="K6" s="272" t="s">
        <v>2483</v>
      </c>
      <c r="L6" s="272" t="s">
        <v>2484</v>
      </c>
      <c r="M6" s="271" t="s">
        <v>2481</v>
      </c>
      <c r="N6" s="272" t="s">
        <v>2482</v>
      </c>
      <c r="O6" s="272" t="s">
        <v>2483</v>
      </c>
      <c r="P6" s="272" t="s">
        <v>2484</v>
      </c>
      <c r="R6" s="273" t="s">
        <v>2485</v>
      </c>
      <c r="S6" s="1828"/>
      <c r="T6" s="1828"/>
      <c r="U6" s="273" t="s">
        <v>2486</v>
      </c>
      <c r="V6" s="273" t="s">
        <v>2487</v>
      </c>
      <c r="W6" s="1828"/>
      <c r="X6" s="1828"/>
      <c r="Y6" s="273" t="s">
        <v>72</v>
      </c>
    </row>
    <row r="7" spans="1:25" ht="33.75" customHeight="1">
      <c r="A7" s="107" t="s">
        <v>2488</v>
      </c>
      <c r="B7" s="274">
        <f>I36</f>
        <v>1575</v>
      </c>
      <c r="C7" s="275">
        <f>ROUND(B7/F5,4)</f>
        <v>7.8799999999999995E-2</v>
      </c>
      <c r="E7" s="328" t="s">
        <v>2489</v>
      </c>
      <c r="F7" s="276">
        <v>0</v>
      </c>
      <c r="H7" s="954" t="s">
        <v>2490</v>
      </c>
      <c r="I7" s="278">
        <v>107.4</v>
      </c>
      <c r="J7" s="277">
        <v>29.9</v>
      </c>
      <c r="K7" s="277">
        <v>6.4</v>
      </c>
      <c r="L7" s="277">
        <v>34.700000000000003</v>
      </c>
      <c r="M7" s="278">
        <v>107.5</v>
      </c>
      <c r="N7" s="277">
        <v>29.9</v>
      </c>
      <c r="O7" s="277">
        <v>6.5</v>
      </c>
      <c r="P7" s="277">
        <v>34.700000000000003</v>
      </c>
      <c r="R7" s="279" t="s">
        <v>2491</v>
      </c>
      <c r="S7" s="280">
        <v>600</v>
      </c>
      <c r="T7" s="107">
        <v>6</v>
      </c>
      <c r="U7" s="281">
        <f>S7*T7</f>
        <v>3600</v>
      </c>
      <c r="W7" s="310">
        <v>35</v>
      </c>
      <c r="X7" s="310">
        <v>20</v>
      </c>
    </row>
    <row r="8" spans="1:25" ht="31.5" customHeight="1">
      <c r="A8" s="107" t="s">
        <v>2492</v>
      </c>
      <c r="B8" s="274">
        <f>Y9</f>
        <v>4014</v>
      </c>
      <c r="C8" s="275">
        <f>ROUND(B8/F8,4)</f>
        <v>8.0299999999999996E-2</v>
      </c>
      <c r="E8" s="328" t="s">
        <v>2493</v>
      </c>
      <c r="F8" s="282">
        <v>50000</v>
      </c>
      <c r="H8" s="954" t="s">
        <v>2494</v>
      </c>
      <c r="I8" s="278">
        <v>113.7</v>
      </c>
      <c r="J8" s="277">
        <v>30.2</v>
      </c>
      <c r="K8" s="277">
        <v>5.4</v>
      </c>
      <c r="L8" s="277">
        <v>34.700000000000003</v>
      </c>
      <c r="M8" s="278">
        <v>112.5</v>
      </c>
      <c r="N8" s="277">
        <v>30.1</v>
      </c>
      <c r="O8" s="277">
        <v>4.2</v>
      </c>
      <c r="P8" s="277">
        <v>34.700000000000003</v>
      </c>
      <c r="R8" s="283"/>
      <c r="S8" s="284"/>
      <c r="T8" s="266"/>
      <c r="U8" s="285">
        <f>S8*T8</f>
        <v>0</v>
      </c>
      <c r="V8" s="266"/>
      <c r="W8" s="266"/>
      <c r="X8" s="266"/>
      <c r="Y8" s="266"/>
    </row>
    <row r="9" spans="1:25">
      <c r="A9" s="266" t="s">
        <v>2495</v>
      </c>
      <c r="B9" s="286">
        <f>J31</f>
        <v>893.72</v>
      </c>
      <c r="C9" s="287">
        <f>ROUND(B9/F5,4)</f>
        <v>4.4699999999999997E-2</v>
      </c>
      <c r="H9" s="954" t="s">
        <v>2496</v>
      </c>
      <c r="I9" s="278">
        <v>120.4</v>
      </c>
      <c r="J9" s="277">
        <v>30.5</v>
      </c>
      <c r="K9" s="277">
        <v>7.8</v>
      </c>
      <c r="L9" s="277">
        <v>34.6</v>
      </c>
      <c r="M9" s="278">
        <v>120.3</v>
      </c>
      <c r="N9" s="277">
        <v>30.5</v>
      </c>
      <c r="O9" s="277">
        <v>7.7</v>
      </c>
      <c r="P9" s="277">
        <v>34.6</v>
      </c>
      <c r="U9" s="288">
        <f>SUM(U7:U8)</f>
        <v>3600</v>
      </c>
      <c r="V9" s="289">
        <f>U15</f>
        <v>84</v>
      </c>
      <c r="W9" s="281">
        <f>W7*(T7+T8)</f>
        <v>210</v>
      </c>
      <c r="X9" s="281">
        <f>X7*(T7+T8)</f>
        <v>120</v>
      </c>
      <c r="Y9" s="288">
        <f>SUM(U9:X9)</f>
        <v>4014</v>
      </c>
    </row>
    <row r="10" spans="1:25" ht="16">
      <c r="A10" s="107" t="s">
        <v>2497</v>
      </c>
      <c r="C10" s="290">
        <f>SUM(C5:C9)</f>
        <v>0.73340000000000005</v>
      </c>
      <c r="E10" s="1825" t="s">
        <v>2498</v>
      </c>
      <c r="F10" s="1825"/>
      <c r="H10" s="955" t="s">
        <v>2499</v>
      </c>
      <c r="I10" s="278">
        <v>124</v>
      </c>
      <c r="J10" s="277">
        <v>34.6</v>
      </c>
      <c r="K10" s="277">
        <v>8.1999999999999993</v>
      </c>
      <c r="L10" s="277">
        <v>36.200000000000003</v>
      </c>
      <c r="M10" s="278">
        <v>124.2</v>
      </c>
      <c r="N10" s="277">
        <v>34.6</v>
      </c>
      <c r="O10" s="277">
        <v>8.3000000000000007</v>
      </c>
      <c r="P10" s="277">
        <v>36.200000000000003</v>
      </c>
    </row>
    <row r="11" spans="1:25" ht="16">
      <c r="E11" s="1825"/>
      <c r="F11" s="1825"/>
      <c r="H11" s="955" t="s">
        <v>2500</v>
      </c>
      <c r="I11" s="278">
        <v>126.1</v>
      </c>
      <c r="J11" s="277">
        <v>34.700000000000003</v>
      </c>
      <c r="K11" s="277">
        <v>7.1</v>
      </c>
      <c r="L11" s="277">
        <v>38.700000000000003</v>
      </c>
      <c r="M11" s="278">
        <v>127.7</v>
      </c>
      <c r="N11" s="277">
        <v>34.799999999999997</v>
      </c>
      <c r="O11" s="277">
        <v>8.6999999999999993</v>
      </c>
      <c r="P11" s="277">
        <v>38.700000000000003</v>
      </c>
    </row>
    <row r="12" spans="1:25" ht="19">
      <c r="A12" s="266" t="s">
        <v>2501</v>
      </c>
      <c r="B12" s="266"/>
      <c r="C12" s="266"/>
      <c r="E12" s="1825"/>
      <c r="F12" s="1825"/>
      <c r="H12" s="955" t="s">
        <v>2502</v>
      </c>
      <c r="I12" s="278">
        <v>126.6</v>
      </c>
      <c r="J12" s="277">
        <v>34.799999999999997</v>
      </c>
      <c r="K12" s="277">
        <v>11.5</v>
      </c>
      <c r="L12" s="277">
        <v>30.4</v>
      </c>
      <c r="M12" s="278">
        <v>128.80000000000001</v>
      </c>
      <c r="N12" s="277">
        <v>34.9</v>
      </c>
      <c r="O12" s="277">
        <v>13.5</v>
      </c>
      <c r="P12" s="277">
        <v>30.4</v>
      </c>
      <c r="R12" s="1436" t="s">
        <v>2503</v>
      </c>
      <c r="S12" s="1438"/>
      <c r="T12" s="1438"/>
      <c r="U12" s="1438"/>
      <c r="V12" s="1438"/>
      <c r="W12" s="1438"/>
      <c r="X12" s="1438"/>
      <c r="Y12" s="1439"/>
    </row>
    <row r="13" spans="1:25" ht="16">
      <c r="A13" s="296">
        <v>1</v>
      </c>
      <c r="B13" s="297">
        <v>0.05</v>
      </c>
      <c r="E13" s="1825"/>
      <c r="F13" s="1825"/>
      <c r="H13" s="955" t="s">
        <v>2504</v>
      </c>
      <c r="I13" s="278">
        <v>128.4</v>
      </c>
      <c r="J13" s="277">
        <v>34.799999999999997</v>
      </c>
      <c r="K13" s="277">
        <v>11.7</v>
      </c>
      <c r="L13" s="277">
        <v>29.7</v>
      </c>
      <c r="M13" s="278">
        <v>128.5</v>
      </c>
      <c r="N13" s="277">
        <v>34.9</v>
      </c>
      <c r="O13" s="277">
        <v>11.9</v>
      </c>
      <c r="P13" s="277">
        <v>29.7</v>
      </c>
      <c r="R13" s="294"/>
    </row>
    <row r="14" spans="1:25" ht="16">
      <c r="A14" s="296">
        <v>2</v>
      </c>
      <c r="B14" s="297">
        <v>0.1</v>
      </c>
      <c r="E14" s="1825"/>
      <c r="F14" s="1825"/>
      <c r="H14" s="955" t="s">
        <v>2505</v>
      </c>
      <c r="I14" s="278">
        <v>128.30000000000001</v>
      </c>
      <c r="J14" s="277">
        <v>34.799999999999997</v>
      </c>
      <c r="K14" s="277">
        <v>12</v>
      </c>
      <c r="L14" s="277">
        <v>32.200000000000003</v>
      </c>
      <c r="M14" s="278">
        <v>128.80000000000001</v>
      </c>
      <c r="N14" s="277">
        <v>34.9</v>
      </c>
      <c r="O14" s="277">
        <v>12.5</v>
      </c>
      <c r="P14" s="277">
        <v>32.200000000000003</v>
      </c>
      <c r="R14" s="1829" t="s">
        <v>2506</v>
      </c>
      <c r="S14" s="1829"/>
      <c r="T14" s="283"/>
      <c r="U14" s="783" t="s">
        <v>2507</v>
      </c>
      <c r="V14" s="266"/>
      <c r="W14" s="266"/>
      <c r="X14" s="266"/>
      <c r="Y14" s="267" t="s">
        <v>72</v>
      </c>
    </row>
    <row r="15" spans="1:25" ht="16">
      <c r="A15" s="296">
        <v>3</v>
      </c>
      <c r="B15" s="297">
        <v>0.15</v>
      </c>
      <c r="H15" s="955" t="s">
        <v>2508</v>
      </c>
      <c r="I15" s="278">
        <v>129.80000000000001</v>
      </c>
      <c r="J15" s="277">
        <v>34.9</v>
      </c>
      <c r="K15" s="277">
        <v>7</v>
      </c>
      <c r="L15" s="277">
        <v>35.700000000000003</v>
      </c>
      <c r="M15" s="278">
        <v>129.1</v>
      </c>
      <c r="N15" s="277">
        <v>34.9</v>
      </c>
      <c r="O15" s="277">
        <v>6.4</v>
      </c>
      <c r="P15" s="277">
        <v>35.700000000000003</v>
      </c>
      <c r="R15" s="107" t="s">
        <v>2509</v>
      </c>
      <c r="S15" s="281">
        <v>125750</v>
      </c>
      <c r="T15" s="289"/>
      <c r="U15" s="299">
        <v>84</v>
      </c>
      <c r="V15" s="107" t="s">
        <v>2510</v>
      </c>
      <c r="Y15" s="288">
        <f>SUM(S15:U15)</f>
        <v>125834</v>
      </c>
    </row>
    <row r="16" spans="1:25" ht="16">
      <c r="A16" s="296">
        <v>4</v>
      </c>
      <c r="B16" s="297">
        <v>0.2</v>
      </c>
      <c r="H16" s="955" t="s">
        <v>2511</v>
      </c>
      <c r="I16" s="292">
        <v>137.5</v>
      </c>
      <c r="J16" s="291">
        <v>35.299999999999997</v>
      </c>
      <c r="K16" s="291">
        <v>7.3</v>
      </c>
      <c r="L16" s="291">
        <v>35.799999999999997</v>
      </c>
      <c r="M16" s="292">
        <v>137.30000000000001</v>
      </c>
      <c r="N16" s="291">
        <v>35.299999999999997</v>
      </c>
      <c r="O16" s="291">
        <v>7.1</v>
      </c>
      <c r="P16" s="291">
        <v>35.799999999999997</v>
      </c>
      <c r="R16" s="107" t="s">
        <v>2512</v>
      </c>
      <c r="S16" s="301">
        <v>122750</v>
      </c>
      <c r="T16" s="289"/>
      <c r="U16" s="299">
        <v>84</v>
      </c>
      <c r="Y16" s="288">
        <f>SUM(S16:U16)</f>
        <v>122834</v>
      </c>
    </row>
    <row r="17" spans="1:25">
      <c r="A17" s="296">
        <v>5</v>
      </c>
      <c r="B17" s="297">
        <v>0.25</v>
      </c>
      <c r="H17" s="293" t="s">
        <v>784</v>
      </c>
      <c r="I17" s="294">
        <f>AVERAGE(I7:I16)</f>
        <v>124.22</v>
      </c>
      <c r="J17" s="294">
        <f>AVERAGE(J7:J16)</f>
        <v>33.450000000000003</v>
      </c>
      <c r="K17" s="262"/>
      <c r="L17" s="262"/>
      <c r="M17" s="919">
        <f>AVERAGE(M7:M16)</f>
        <v>124.46999999999998</v>
      </c>
      <c r="N17" s="295">
        <f>AVERAGE(N7:N16)</f>
        <v>33.479999999999997</v>
      </c>
      <c r="O17" s="262"/>
      <c r="P17" s="262"/>
    </row>
    <row r="18" spans="1:25">
      <c r="A18" s="296">
        <v>6</v>
      </c>
      <c r="B18" s="297">
        <v>0.3</v>
      </c>
      <c r="I18" s="107">
        <f>I17+J17</f>
        <v>157.67000000000002</v>
      </c>
      <c r="M18" s="107" t="s">
        <v>2513</v>
      </c>
      <c r="N18" s="718">
        <f>N17+M17</f>
        <v>157.94999999999999</v>
      </c>
      <c r="Y18" s="73"/>
    </row>
    <row r="19" spans="1:25" ht="20.25" customHeight="1">
      <c r="A19" s="296">
        <v>7</v>
      </c>
      <c r="B19" s="297">
        <v>0.3</v>
      </c>
      <c r="H19" s="1436" t="s">
        <v>2478</v>
      </c>
      <c r="I19" s="1438"/>
      <c r="J19" s="1438"/>
      <c r="K19" s="1438"/>
      <c r="L19" s="1438"/>
      <c r="M19" s="1438"/>
      <c r="N19" s="1438"/>
      <c r="O19" s="1438"/>
      <c r="P19" s="1438"/>
      <c r="R19" s="1436" t="s">
        <v>2514</v>
      </c>
      <c r="S19" s="1438"/>
      <c r="T19" s="1438"/>
      <c r="U19" s="1438"/>
      <c r="V19" s="1438"/>
      <c r="W19" s="1440" t="s">
        <v>2515</v>
      </c>
      <c r="X19" s="1441" t="s">
        <v>2471</v>
      </c>
      <c r="Y19" s="1437"/>
    </row>
    <row r="20" spans="1:25">
      <c r="A20" s="296">
        <v>8</v>
      </c>
      <c r="B20" s="297">
        <v>0.3</v>
      </c>
      <c r="H20" s="1156" t="s">
        <v>2516</v>
      </c>
      <c r="R20" s="300" t="s">
        <v>2517</v>
      </c>
      <c r="S20" s="302"/>
      <c r="T20" s="302"/>
      <c r="U20" s="302"/>
      <c r="V20" s="784" t="s">
        <v>2507</v>
      </c>
      <c r="Y20" s="304" t="s">
        <v>72</v>
      </c>
    </row>
    <row r="21" spans="1:25" ht="28.5" customHeight="1">
      <c r="A21" s="296">
        <v>9</v>
      </c>
      <c r="B21" s="297">
        <v>0.3</v>
      </c>
      <c r="H21" s="302" t="s">
        <v>2518</v>
      </c>
      <c r="I21" s="299">
        <v>649.91999999999996</v>
      </c>
      <c r="S21" s="829" t="s">
        <v>2519</v>
      </c>
      <c r="T21" s="310">
        <v>85000</v>
      </c>
      <c r="U21" s="269"/>
      <c r="V21" s="299">
        <v>36</v>
      </c>
      <c r="W21" s="107" t="s">
        <v>2520</v>
      </c>
      <c r="Y21" s="288">
        <v>85036</v>
      </c>
    </row>
    <row r="22" spans="1:25">
      <c r="A22" s="305">
        <v>10</v>
      </c>
      <c r="B22" s="306">
        <v>0.3</v>
      </c>
      <c r="C22" s="266"/>
      <c r="H22" s="107" t="s">
        <v>2521</v>
      </c>
      <c r="R22" s="107" t="s">
        <v>2522</v>
      </c>
      <c r="T22" s="310"/>
      <c r="U22" s="269"/>
      <c r="V22" s="403"/>
      <c r="Y22" s="288" t="s">
        <v>72</v>
      </c>
    </row>
    <row r="23" spans="1:25">
      <c r="A23" s="107" t="s">
        <v>2523</v>
      </c>
      <c r="B23" s="307">
        <f>ROUND(AVERAGE(B13:B22),2)</f>
        <v>0.23</v>
      </c>
      <c r="H23" s="268" t="s">
        <v>72</v>
      </c>
      <c r="I23" s="288">
        <f>I21*2</f>
        <v>1299.8399999999999</v>
      </c>
      <c r="S23" s="107" t="s">
        <v>2524</v>
      </c>
      <c r="T23" s="107">
        <v>15000</v>
      </c>
      <c r="Y23" s="107">
        <v>15000</v>
      </c>
    </row>
    <row r="24" spans="1:25" ht="15" customHeight="1"/>
    <row r="25" spans="1:25" ht="33" customHeight="1">
      <c r="A25" s="308" t="s">
        <v>2525</v>
      </c>
      <c r="B25" s="326">
        <f>ROUND(C10+B23,4)</f>
        <v>0.96340000000000003</v>
      </c>
      <c r="C25" s="309"/>
      <c r="R25" s="1436" t="s">
        <v>898</v>
      </c>
      <c r="S25" s="1438"/>
      <c r="T25" s="1438"/>
      <c r="U25" s="1438"/>
      <c r="V25" s="1438"/>
      <c r="W25" s="1438"/>
      <c r="X25" s="1438"/>
      <c r="Y25" s="1438"/>
    </row>
    <row r="26" spans="1:25" ht="27" customHeight="1">
      <c r="H26" s="1436" t="s">
        <v>2495</v>
      </c>
      <c r="I26" s="1438"/>
      <c r="J26" s="1438"/>
      <c r="K26" s="1438"/>
      <c r="L26" s="1438"/>
      <c r="M26" s="1438"/>
      <c r="N26" s="1438"/>
      <c r="O26" s="1438"/>
      <c r="P26" s="1438"/>
      <c r="R26" s="107" t="s">
        <v>902</v>
      </c>
      <c r="S26" s="279"/>
      <c r="U26" s="310">
        <v>999</v>
      </c>
      <c r="V26" s="107" t="s">
        <v>903</v>
      </c>
    </row>
    <row r="27" spans="1:25">
      <c r="H27" s="1156" t="s">
        <v>2516</v>
      </c>
      <c r="R27" s="107" t="s">
        <v>908</v>
      </c>
      <c r="U27" s="310">
        <v>250</v>
      </c>
      <c r="V27" s="107" t="s">
        <v>909</v>
      </c>
    </row>
    <row r="28" spans="1:25">
      <c r="H28" s="1156" t="s">
        <v>2526</v>
      </c>
      <c r="J28" s="281"/>
      <c r="R28" s="1830" t="s">
        <v>913</v>
      </c>
      <c r="S28" s="1830"/>
      <c r="T28" s="1830"/>
      <c r="U28" s="310">
        <v>500</v>
      </c>
      <c r="V28" s="107" t="s">
        <v>914</v>
      </c>
    </row>
    <row r="29" spans="1:25">
      <c r="J29" s="281"/>
      <c r="R29" s="1830"/>
      <c r="S29" s="1830"/>
      <c r="T29" s="1830"/>
      <c r="U29" s="403">
        <f>O41</f>
        <v>20.163333333333334</v>
      </c>
      <c r="V29" s="107" t="s">
        <v>917</v>
      </c>
    </row>
    <row r="30" spans="1:25">
      <c r="H30" s="268" t="s">
        <v>2527</v>
      </c>
      <c r="J30" s="288">
        <v>446.86</v>
      </c>
      <c r="R30" s="266" t="s">
        <v>2528</v>
      </c>
      <c r="S30" s="266"/>
      <c r="T30" s="266"/>
      <c r="U30" s="404" t="s">
        <v>2529</v>
      </c>
      <c r="V30" s="266"/>
      <c r="W30" s="266"/>
      <c r="X30" s="266"/>
      <c r="Y30" s="266"/>
    </row>
    <row r="31" spans="1:25">
      <c r="H31" s="107" t="s">
        <v>2530</v>
      </c>
      <c r="J31" s="269">
        <f>J30*2</f>
        <v>893.72</v>
      </c>
      <c r="K31" s="1831" t="s">
        <v>2531</v>
      </c>
      <c r="L31" s="1831"/>
      <c r="M31" s="1831"/>
      <c r="N31" s="1831"/>
      <c r="O31" s="1831"/>
      <c r="P31" s="1831"/>
      <c r="R31" s="315" t="s">
        <v>2532</v>
      </c>
    </row>
    <row r="32" spans="1:25">
      <c r="H32" s="311"/>
      <c r="J32" s="312"/>
      <c r="K32" s="1832"/>
      <c r="L32" s="1832"/>
      <c r="M32" s="1832"/>
      <c r="N32" s="1832"/>
      <c r="O32" s="1832"/>
      <c r="P32" s="1832"/>
      <c r="R32" s="316" t="s">
        <v>2533</v>
      </c>
    </row>
    <row r="33" spans="8:25" ht="19">
      <c r="H33" s="1436" t="s">
        <v>2534</v>
      </c>
      <c r="I33" s="1438"/>
      <c r="J33" s="1438"/>
      <c r="K33" s="1438"/>
      <c r="L33" s="1438"/>
      <c r="M33" s="1438"/>
      <c r="N33" s="1438"/>
      <c r="O33" s="1438"/>
      <c r="P33" s="1438"/>
      <c r="R33" s="1826" t="s">
        <v>2535</v>
      </c>
      <c r="S33" s="1826"/>
      <c r="T33" s="1826"/>
      <c r="U33" s="1826"/>
      <c r="V33" s="1826"/>
      <c r="W33" s="1826"/>
      <c r="X33" s="1826"/>
      <c r="Y33" s="1826"/>
    </row>
    <row r="34" spans="8:25">
      <c r="H34" s="313" t="s">
        <v>2471</v>
      </c>
      <c r="R34" s="1826"/>
      <c r="S34" s="1826"/>
      <c r="T34" s="1826"/>
      <c r="U34" s="1826"/>
      <c r="V34" s="1826"/>
      <c r="W34" s="1826"/>
      <c r="X34" s="1826"/>
      <c r="Y34" s="1826"/>
    </row>
    <row r="35" spans="8:25">
      <c r="H35" s="107" t="s">
        <v>2536</v>
      </c>
      <c r="R35" s="316" t="s">
        <v>2537</v>
      </c>
    </row>
    <row r="36" spans="8:25">
      <c r="H36" s="107" t="s">
        <v>784</v>
      </c>
      <c r="I36" s="314">
        <v>1575</v>
      </c>
      <c r="R36" s="316" t="s">
        <v>2538</v>
      </c>
    </row>
    <row r="38" spans="8:25">
      <c r="P38" s="73"/>
    </row>
    <row r="39" spans="8:25" ht="16">
      <c r="H39" s="1554" t="s">
        <v>2539</v>
      </c>
      <c r="I39" s="1438"/>
      <c r="J39" s="1438"/>
      <c r="K39" s="1438"/>
      <c r="L39" s="1438"/>
      <c r="M39" s="1438"/>
      <c r="N39" s="1438"/>
      <c r="O39" s="1438"/>
    </row>
    <row r="40" spans="8:25">
      <c r="H40" s="267" t="s">
        <v>2540</v>
      </c>
      <c r="I40" s="267" t="s">
        <v>2541</v>
      </c>
      <c r="J40" s="267" t="s">
        <v>2542</v>
      </c>
      <c r="K40" s="267" t="s">
        <v>2543</v>
      </c>
      <c r="L40" s="267" t="s">
        <v>2544</v>
      </c>
      <c r="M40" s="267" t="s">
        <v>2545</v>
      </c>
      <c r="N40" s="267" t="s">
        <v>2546</v>
      </c>
      <c r="O40" s="267" t="s">
        <v>2547</v>
      </c>
    </row>
    <row r="41" spans="8:25" ht="32">
      <c r="H41" s="279" t="s">
        <v>2548</v>
      </c>
      <c r="I41" s="299">
        <v>18.64</v>
      </c>
      <c r="J41" s="299">
        <v>19.22</v>
      </c>
      <c r="K41" s="299">
        <v>19.809999999999999</v>
      </c>
      <c r="L41" s="299">
        <v>20.440000000000001</v>
      </c>
      <c r="M41" s="299">
        <v>21.11</v>
      </c>
      <c r="N41" s="299">
        <v>21.76</v>
      </c>
      <c r="O41" s="317">
        <f>AVERAGE(I41:N41)</f>
        <v>20.163333333333334</v>
      </c>
    </row>
    <row r="60" spans="9:16">
      <c r="I60" s="318"/>
      <c r="J60" s="269"/>
      <c r="L60" s="319"/>
      <c r="P60" s="288"/>
    </row>
  </sheetData>
  <mergeCells count="10">
    <mergeCell ref="E10:F14"/>
    <mergeCell ref="R14:S14"/>
    <mergeCell ref="R28:T29"/>
    <mergeCell ref="K31:P31"/>
    <mergeCell ref="K32:P32"/>
    <mergeCell ref="R33:Y34"/>
    <mergeCell ref="S5:S6"/>
    <mergeCell ref="T5:T6"/>
    <mergeCell ref="W5:W6"/>
    <mergeCell ref="X5:X6"/>
  </mergeCells>
  <hyperlinks>
    <hyperlink ref="E5" r:id="rId1" xr:uid="{00000000-0004-0000-4C00-000000000000}"/>
    <hyperlink ref="R4" r:id="rId2" xr:uid="{00000000-0004-0000-4C00-000001000000}"/>
    <hyperlink ref="X19" r:id="rId3" xr:uid="{00000000-0004-0000-4C00-000002000000}"/>
    <hyperlink ref="K31:P31" r:id="rId4" display="According to the Blue Bird Vision 2006 Service Manual, oil should be changed every 6 months or 18,000 km." xr:uid="{00000000-0004-0000-4C00-000003000000}"/>
    <hyperlink ref="H34" r:id="rId5" xr:uid="{00000000-0004-0000-4C00-000004000000}"/>
    <hyperlink ref="U14" r:id="rId6" xr:uid="{00000000-0004-0000-4C00-000005000000}"/>
    <hyperlink ref="H27" r:id="rId7" location="school-buses" display="Vital Transit Service, Winnipeg" xr:uid="{00000000-0004-0000-4C00-000006000000}"/>
    <hyperlink ref="H4" r:id="rId8" xr:uid="{00000000-0004-0000-4C00-000007000000}"/>
    <hyperlink ref="H39" r:id="rId9" xr:uid="{00000000-0004-0000-4C00-000008000000}"/>
    <hyperlink ref="H20" r:id="rId10" location="school-buses" display="Vital Transit Service, Winnipeg" xr:uid="{00000000-0004-0000-4C00-000009000000}"/>
  </hyperlinks>
  <pageMargins left="0.7" right="0.7" top="0.75" bottom="0.75" header="0.3" footer="0.3"/>
  <pageSetup orientation="portrait" r:id="rId11"/>
  <colBreaks count="1" manualBreakCount="1">
    <brk id="7" max="1048575"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theme="0" tint="-0.499984740745262"/>
  </sheetPr>
  <dimension ref="A1:E10"/>
  <sheetViews>
    <sheetView workbookViewId="0"/>
  </sheetViews>
  <sheetFormatPr baseColWidth="10" defaultColWidth="9.19921875" defaultRowHeight="15"/>
  <cols>
    <col min="1" max="1" width="12.59765625" style="883" customWidth="1"/>
    <col min="2" max="2" width="46.796875" style="883" customWidth="1"/>
    <col min="3" max="3" width="14.796875" style="883" customWidth="1"/>
    <col min="4" max="4" width="28" style="883" customWidth="1"/>
    <col min="5" max="5" width="14.796875" style="883" customWidth="1"/>
    <col min="6" max="6" width="26.19921875" style="883" customWidth="1"/>
    <col min="7" max="7" width="9.19921875" style="883"/>
    <col min="8" max="8" width="24.3984375" style="883" customWidth="1"/>
    <col min="9" max="16384" width="9.19921875" style="883"/>
  </cols>
  <sheetData>
    <row r="1" spans="1:5" ht="21">
      <c r="A1" s="882" t="s">
        <v>2549</v>
      </c>
    </row>
    <row r="2" spans="1:5">
      <c r="A2" s="883" t="s">
        <v>1275</v>
      </c>
    </row>
    <row r="4" spans="1:5">
      <c r="A4" s="884" t="s">
        <v>1524</v>
      </c>
      <c r="B4" s="884" t="s">
        <v>286</v>
      </c>
    </row>
    <row r="5" spans="1:5">
      <c r="A5" s="884" t="s">
        <v>2550</v>
      </c>
      <c r="B5" s="884" t="s">
        <v>286</v>
      </c>
    </row>
    <row r="7" spans="1:5">
      <c r="A7" s="884" t="s">
        <v>2551</v>
      </c>
      <c r="B7" s="884"/>
      <c r="C7" s="884" t="s">
        <v>2552</v>
      </c>
      <c r="D7" s="884"/>
      <c r="E7" s="884"/>
    </row>
    <row r="8" spans="1:5">
      <c r="A8" s="885" t="s">
        <v>375</v>
      </c>
      <c r="B8" s="885" t="s">
        <v>331</v>
      </c>
      <c r="C8" s="885" t="s">
        <v>2553</v>
      </c>
      <c r="D8" s="885" t="s">
        <v>2554</v>
      </c>
      <c r="E8" s="885" t="s">
        <v>697</v>
      </c>
    </row>
    <row r="9" spans="1:5">
      <c r="A9" s="883">
        <v>1486</v>
      </c>
      <c r="B9" s="883" t="s">
        <v>399</v>
      </c>
      <c r="D9" s="883">
        <v>1</v>
      </c>
      <c r="E9" s="886">
        <v>1</v>
      </c>
    </row>
    <row r="10" spans="1:5">
      <c r="A10" s="883">
        <v>8990</v>
      </c>
      <c r="B10" s="883" t="s">
        <v>407</v>
      </c>
      <c r="D10" s="883">
        <v>1</v>
      </c>
      <c r="E10" s="886">
        <v>1</v>
      </c>
    </row>
  </sheetData>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N88"/>
  <sheetViews>
    <sheetView zoomScale="115" zoomScaleNormal="115" workbookViewId="0"/>
  </sheetViews>
  <sheetFormatPr baseColWidth="10" defaultColWidth="8.796875" defaultRowHeight="15"/>
  <cols>
    <col min="1" max="1" width="51.19921875" style="1040" customWidth="1"/>
    <col min="2" max="2" width="21.3984375" style="1040" customWidth="1"/>
    <col min="3" max="3" width="23.3984375" style="1040" customWidth="1"/>
    <col min="4" max="4" width="17.796875" style="1040" customWidth="1"/>
    <col min="5" max="5" width="23.796875" style="1040" customWidth="1"/>
    <col min="6" max="6" width="8.796875" style="1040"/>
    <col min="7" max="7" width="15.796875" style="1040" customWidth="1"/>
    <col min="8" max="11" width="8.796875" style="1040"/>
    <col min="12" max="12" width="16.796875" style="1040" customWidth="1"/>
    <col min="13" max="13" width="14.3984375" style="1040" bestFit="1" customWidth="1"/>
    <col min="14" max="16384" width="8.796875" style="1040"/>
  </cols>
  <sheetData>
    <row r="1" spans="1:14">
      <c r="A1" s="1039"/>
    </row>
    <row r="2" spans="1:14">
      <c r="A2" s="1039" t="s">
        <v>2555</v>
      </c>
      <c r="B2" s="1040" t="s">
        <v>2556</v>
      </c>
      <c r="C2" s="1040" t="s">
        <v>2557</v>
      </c>
      <c r="K2" s="1039"/>
    </row>
    <row r="3" spans="1:14">
      <c r="A3" s="1040" t="s">
        <v>2558</v>
      </c>
      <c r="B3" s="1041">
        <v>473</v>
      </c>
      <c r="C3" s="1041">
        <v>321</v>
      </c>
      <c r="D3" s="1040" t="s">
        <v>2559</v>
      </c>
      <c r="K3" s="1039"/>
    </row>
    <row r="4" spans="1:14">
      <c r="A4" s="1040" t="s">
        <v>2560</v>
      </c>
      <c r="B4" s="1041">
        <v>27227</v>
      </c>
      <c r="C4" s="1041">
        <v>21524</v>
      </c>
      <c r="D4" s="1040" t="s">
        <v>2559</v>
      </c>
      <c r="K4" s="1039"/>
      <c r="L4" s="1039"/>
    </row>
    <row r="5" spans="1:14">
      <c r="A5" s="1040" t="s">
        <v>2561</v>
      </c>
      <c r="B5" s="1041">
        <v>12739</v>
      </c>
      <c r="C5" s="1041">
        <v>11006</v>
      </c>
      <c r="D5" s="1040" t="s">
        <v>2559</v>
      </c>
    </row>
    <row r="6" spans="1:14">
      <c r="A6" s="1040" t="s">
        <v>2562</v>
      </c>
      <c r="B6" s="1041">
        <f>M7</f>
        <v>6520</v>
      </c>
      <c r="C6" s="1042">
        <v>5583.1</v>
      </c>
      <c r="D6" s="960" t="s">
        <v>2563</v>
      </c>
      <c r="K6" s="1040" t="s">
        <v>2564</v>
      </c>
    </row>
    <row r="7" spans="1:14">
      <c r="A7" s="1043" t="s">
        <v>2565</v>
      </c>
      <c r="B7" s="1042">
        <f>SUM(B3:B6)</f>
        <v>46959</v>
      </c>
      <c r="C7" s="1042">
        <f>SUM(C3:C6)</f>
        <v>38434.1</v>
      </c>
      <c r="K7" s="1044" t="s">
        <v>2566</v>
      </c>
      <c r="L7" s="1045">
        <v>10472</v>
      </c>
      <c r="M7" s="1042">
        <v>6520</v>
      </c>
      <c r="N7" s="1040" t="s">
        <v>2567</v>
      </c>
    </row>
    <row r="8" spans="1:14">
      <c r="I8" s="1046"/>
      <c r="K8" s="1040" t="s">
        <v>2568</v>
      </c>
      <c r="L8" s="1040">
        <v>9005</v>
      </c>
      <c r="M8" s="1042">
        <v>5583</v>
      </c>
    </row>
    <row r="9" spans="1:14">
      <c r="A9" s="1039" t="s">
        <v>2569</v>
      </c>
      <c r="B9" s="1040" t="s">
        <v>2570</v>
      </c>
      <c r="D9" s="1040" t="s">
        <v>2571</v>
      </c>
      <c r="I9" s="1046"/>
    </row>
    <row r="10" spans="1:14">
      <c r="A10" s="1040" t="s">
        <v>2572</v>
      </c>
      <c r="B10" s="1040">
        <v>178242</v>
      </c>
      <c r="D10" s="1040">
        <v>168483</v>
      </c>
      <c r="F10" s="556" t="s">
        <v>2573</v>
      </c>
      <c r="K10" s="1043"/>
    </row>
    <row r="11" spans="1:14">
      <c r="F11" s="556"/>
      <c r="L11" s="1039"/>
    </row>
    <row r="12" spans="1:14">
      <c r="B12" s="1040" t="s">
        <v>2574</v>
      </c>
      <c r="D12" s="1040" t="s">
        <v>2575</v>
      </c>
    </row>
    <row r="13" spans="1:14">
      <c r="A13" s="1040" t="s">
        <v>2572</v>
      </c>
      <c r="B13" s="1040">
        <v>67490</v>
      </c>
      <c r="D13" s="1040">
        <v>57731</v>
      </c>
    </row>
    <row r="14" spans="1:14">
      <c r="L14" s="1040">
        <f>13067*0.62</f>
        <v>8101.54</v>
      </c>
    </row>
    <row r="16" spans="1:14">
      <c r="A16" s="1039" t="s">
        <v>2576</v>
      </c>
      <c r="B16" s="1040" t="s">
        <v>2577</v>
      </c>
      <c r="C16" s="1040" t="s">
        <v>2578</v>
      </c>
    </row>
    <row r="17" spans="1:11">
      <c r="A17" s="1040" t="s">
        <v>2579</v>
      </c>
      <c r="B17" s="1040">
        <v>11</v>
      </c>
      <c r="C17" s="1040">
        <v>50</v>
      </c>
      <c r="D17" s="1040" t="s">
        <v>2580</v>
      </c>
      <c r="K17" s="1043"/>
    </row>
    <row r="18" spans="1:11">
      <c r="A18" s="1040" t="s">
        <v>2581</v>
      </c>
      <c r="B18" s="1040">
        <v>12</v>
      </c>
      <c r="C18" s="1040">
        <v>52</v>
      </c>
      <c r="D18" s="1040" t="s">
        <v>2582</v>
      </c>
    </row>
    <row r="19" spans="1:11">
      <c r="A19" s="1040" t="s">
        <v>2583</v>
      </c>
      <c r="B19" s="1040">
        <v>11</v>
      </c>
      <c r="C19" s="1040">
        <v>50</v>
      </c>
      <c r="D19" s="1040" t="s">
        <v>2584</v>
      </c>
    </row>
    <row r="20" spans="1:11">
      <c r="A20" s="1040" t="s">
        <v>2585</v>
      </c>
      <c r="B20" s="1040">
        <v>10</v>
      </c>
      <c r="C20" s="1040">
        <v>50</v>
      </c>
      <c r="D20" s="1040" t="s">
        <v>2586</v>
      </c>
    </row>
    <row r="21" spans="1:11">
      <c r="A21" s="1040" t="s">
        <v>2587</v>
      </c>
      <c r="B21" s="1040">
        <v>11</v>
      </c>
      <c r="C21" s="1040">
        <v>55</v>
      </c>
      <c r="D21" s="1040" t="s">
        <v>2588</v>
      </c>
    </row>
    <row r="22" spans="1:11">
      <c r="A22" s="1040" t="s">
        <v>2589</v>
      </c>
      <c r="B22" s="1040">
        <v>10</v>
      </c>
      <c r="C22" s="1040">
        <v>50</v>
      </c>
      <c r="D22" s="1040" t="s">
        <v>2590</v>
      </c>
    </row>
    <row r="23" spans="1:11">
      <c r="A23" s="1047" t="s">
        <v>784</v>
      </c>
      <c r="B23" s="1040">
        <f>AVERAGE(B17:B22)</f>
        <v>10.833333333333334</v>
      </c>
      <c r="C23" s="1040">
        <f>AVERAGE(C17:C22)</f>
        <v>51.166666666666664</v>
      </c>
    </row>
    <row r="24" spans="1:11">
      <c r="A24" s="1048" t="s">
        <v>2591</v>
      </c>
      <c r="B24" s="1048">
        <v>10</v>
      </c>
      <c r="C24" s="1048">
        <v>52</v>
      </c>
      <c r="D24" s="1049" t="s">
        <v>2592</v>
      </c>
      <c r="E24" s="1049"/>
    </row>
    <row r="29" spans="1:11">
      <c r="A29" s="1039" t="s">
        <v>2593</v>
      </c>
    </row>
    <row r="30" spans="1:11">
      <c r="A30" s="1040" t="s">
        <v>2594</v>
      </c>
      <c r="B30" s="1040">
        <v>13</v>
      </c>
      <c r="C30" s="1040" t="s">
        <v>2595</v>
      </c>
      <c r="D30" s="1040" t="s">
        <v>2596</v>
      </c>
    </row>
    <row r="31" spans="1:11">
      <c r="A31" s="1040" t="s">
        <v>2581</v>
      </c>
      <c r="B31" s="1040">
        <v>13</v>
      </c>
      <c r="C31" s="1040" t="s">
        <v>2582</v>
      </c>
      <c r="D31" s="1040" t="s">
        <v>2597</v>
      </c>
    </row>
    <row r="32" spans="1:11">
      <c r="A32" s="1040" t="s">
        <v>2598</v>
      </c>
      <c r="B32" s="1040">
        <v>13</v>
      </c>
      <c r="C32" s="1040" t="s">
        <v>2599</v>
      </c>
      <c r="D32" s="1040" t="s">
        <v>2596</v>
      </c>
    </row>
    <row r="33" spans="1:12">
      <c r="A33" s="1040" t="s">
        <v>2583</v>
      </c>
      <c r="B33" s="1040">
        <v>13</v>
      </c>
      <c r="C33" s="1040" t="s">
        <v>2584</v>
      </c>
      <c r="D33" s="1040" t="s">
        <v>2600</v>
      </c>
    </row>
    <row r="34" spans="1:12">
      <c r="A34" s="1040" t="s">
        <v>2585</v>
      </c>
      <c r="B34" s="1040">
        <v>13</v>
      </c>
      <c r="C34" s="1040" t="s">
        <v>2586</v>
      </c>
    </row>
    <row r="35" spans="1:12">
      <c r="A35" s="1047" t="s">
        <v>784</v>
      </c>
      <c r="B35" s="1040">
        <f>AVERAGE(B29:B34)</f>
        <v>13</v>
      </c>
    </row>
    <row r="36" spans="1:12">
      <c r="A36" s="1048" t="s">
        <v>2591</v>
      </c>
      <c r="B36" s="1048">
        <f>B35</f>
        <v>13</v>
      </c>
    </row>
    <row r="39" spans="1:12">
      <c r="A39" s="1039" t="s">
        <v>2601</v>
      </c>
      <c r="B39" s="1040" t="s">
        <v>2602</v>
      </c>
      <c r="C39" s="1040" t="s">
        <v>2603</v>
      </c>
    </row>
    <row r="40" spans="1:12">
      <c r="A40" s="1040" t="s">
        <v>2585</v>
      </c>
      <c r="B40" s="1040">
        <v>169</v>
      </c>
      <c r="D40" s="1040" t="s">
        <v>2586</v>
      </c>
    </row>
    <row r="41" spans="1:12">
      <c r="A41" s="1040" t="s">
        <v>2604</v>
      </c>
      <c r="C41" s="1040">
        <f>20*13</f>
        <v>260</v>
      </c>
      <c r="D41" s="1040" t="s">
        <v>2605</v>
      </c>
    </row>
    <row r="42" spans="1:12">
      <c r="A42" s="1050" t="s">
        <v>2606</v>
      </c>
      <c r="C42" s="1040">
        <v>286</v>
      </c>
      <c r="D42" s="1040" t="s">
        <v>2607</v>
      </c>
    </row>
    <row r="43" spans="1:12">
      <c r="A43" s="1047" t="s">
        <v>784</v>
      </c>
      <c r="B43" s="1040">
        <f>AVERAGE(B40:B42)</f>
        <v>169</v>
      </c>
      <c r="C43" s="1040">
        <f>AVERAGE(C40:C42)</f>
        <v>273</v>
      </c>
      <c r="E43" s="1040" t="s">
        <v>2608</v>
      </c>
      <c r="F43" s="1040" t="s">
        <v>2609</v>
      </c>
      <c r="H43" s="1040" t="s">
        <v>2610</v>
      </c>
      <c r="K43" s="1040">
        <f>7*3*13</f>
        <v>273</v>
      </c>
    </row>
    <row r="44" spans="1:12">
      <c r="A44" s="1048" t="s">
        <v>2591</v>
      </c>
      <c r="B44" s="1048">
        <f>B43</f>
        <v>169</v>
      </c>
      <c r="C44" s="1048">
        <v>275</v>
      </c>
      <c r="E44" s="1040" t="s">
        <v>2611</v>
      </c>
      <c r="F44" s="1040" t="s">
        <v>2612</v>
      </c>
      <c r="K44" s="1040">
        <f>7*2*12</f>
        <v>168</v>
      </c>
      <c r="L44" s="1040" t="s">
        <v>2613</v>
      </c>
    </row>
    <row r="45" spans="1:12">
      <c r="A45" s="1048"/>
      <c r="B45" s="1048"/>
      <c r="C45" s="1048"/>
    </row>
    <row r="46" spans="1:12">
      <c r="A46" s="1048"/>
      <c r="B46" s="1048"/>
      <c r="C46" s="1048"/>
    </row>
    <row r="48" spans="1:12">
      <c r="F48" s="1040" t="s">
        <v>2614</v>
      </c>
    </row>
    <row r="49" spans="1:6" ht="15" customHeight="1">
      <c r="A49" s="1040" t="s">
        <v>2615</v>
      </c>
      <c r="B49" s="1040" t="s">
        <v>2616</v>
      </c>
      <c r="C49" s="1040" t="s">
        <v>2617</v>
      </c>
      <c r="D49" s="1040" t="s">
        <v>2618</v>
      </c>
      <c r="E49" s="1040" t="s">
        <v>2619</v>
      </c>
    </row>
    <row r="50" spans="1:6" ht="15" customHeight="1">
      <c r="A50" s="1051"/>
      <c r="B50" s="1052">
        <v>0.43</v>
      </c>
      <c r="C50" s="1052">
        <f>B44/13*B50</f>
        <v>5.59</v>
      </c>
      <c r="D50" s="1052">
        <f>C50*13</f>
        <v>72.67</v>
      </c>
      <c r="E50" s="1040" t="s">
        <v>2620</v>
      </c>
    </row>
    <row r="51" spans="1:6" ht="15" customHeight="1">
      <c r="A51" s="1051"/>
      <c r="B51" s="1052">
        <v>0.37</v>
      </c>
      <c r="C51" s="1052">
        <f>B44/13*B51</f>
        <v>4.8099999999999996</v>
      </c>
      <c r="D51" s="1052">
        <f>C51*13</f>
        <v>62.529999999999994</v>
      </c>
      <c r="E51" s="1040" t="s">
        <v>2621</v>
      </c>
    </row>
    <row r="52" spans="1:6" ht="15" customHeight="1">
      <c r="A52" s="1051"/>
      <c r="B52" s="1052">
        <v>0.34</v>
      </c>
      <c r="C52" s="1052">
        <f>B44/13*B52</f>
        <v>4.42</v>
      </c>
      <c r="D52" s="1052">
        <f>C52*13</f>
        <v>57.46</v>
      </c>
      <c r="E52" s="1040" t="s">
        <v>2622</v>
      </c>
    </row>
    <row r="53" spans="1:6" ht="15" customHeight="1">
      <c r="A53" s="1051"/>
      <c r="B53" s="1052">
        <v>0.28000000000000003</v>
      </c>
      <c r="C53" s="1052">
        <f>B44/13*B53</f>
        <v>3.6400000000000006</v>
      </c>
      <c r="D53" s="1052">
        <f>C53*13</f>
        <v>47.320000000000007</v>
      </c>
      <c r="E53" s="1040" t="s">
        <v>2623</v>
      </c>
    </row>
    <row r="54" spans="1:6" ht="15" customHeight="1">
      <c r="A54" s="1047" t="s">
        <v>784</v>
      </c>
      <c r="B54" s="1053">
        <f>SUM(B50:B53)/4</f>
        <v>0.35500000000000004</v>
      </c>
      <c r="C54" s="1053">
        <f>AVERAGE(C50:C53)</f>
        <v>4.6150000000000002</v>
      </c>
      <c r="D54" s="1053">
        <f>AVERAGE(D50:D53)</f>
        <v>59.995000000000005</v>
      </c>
    </row>
    <row r="55" spans="1:6" ht="15" customHeight="1">
      <c r="A55" s="1047" t="s">
        <v>2624</v>
      </c>
      <c r="B55" s="1053">
        <f>(B54*0.2)</f>
        <v>7.1000000000000008E-2</v>
      </c>
      <c r="C55" s="1054">
        <f>(C54*0.2)</f>
        <v>0.92300000000000004</v>
      </c>
      <c r="D55" s="1053">
        <f>(D54*0.2)</f>
        <v>11.999000000000002</v>
      </c>
    </row>
    <row r="56" spans="1:6" ht="15" customHeight="1">
      <c r="A56" s="1048" t="s">
        <v>2591</v>
      </c>
      <c r="B56" s="1055">
        <f>SUM(B54:B55)</f>
        <v>0.42600000000000005</v>
      </c>
      <c r="C56" s="1055">
        <f>SUM(C54:C55)</f>
        <v>5.5380000000000003</v>
      </c>
      <c r="D56" s="1055">
        <f>SUM(D54:D55)</f>
        <v>71.994</v>
      </c>
    </row>
    <row r="57" spans="1:6" ht="26">
      <c r="A57" s="1051"/>
    </row>
    <row r="58" spans="1:6">
      <c r="A58" s="1040" t="s">
        <v>2625</v>
      </c>
      <c r="B58" s="1040" t="s">
        <v>2616</v>
      </c>
      <c r="C58" s="1040" t="s">
        <v>2617</v>
      </c>
      <c r="D58" s="1040" t="s">
        <v>2618</v>
      </c>
      <c r="E58" s="1040" t="s">
        <v>2619</v>
      </c>
      <c r="F58" s="1040" t="s">
        <v>2626</v>
      </c>
    </row>
    <row r="59" spans="1:6">
      <c r="A59" s="1056"/>
      <c r="B59" s="1057">
        <v>0.33</v>
      </c>
      <c r="C59" s="1052">
        <f>D59/13</f>
        <v>6.9807692307692308</v>
      </c>
      <c r="D59" s="1052">
        <f>B59*C44</f>
        <v>90.75</v>
      </c>
      <c r="E59" s="1058" t="s">
        <v>2627</v>
      </c>
    </row>
    <row r="60" spans="1:6">
      <c r="A60" s="1056"/>
      <c r="B60" s="1057">
        <f>AVERAGE(0.18,0.25)</f>
        <v>0.215</v>
      </c>
      <c r="C60" s="1052">
        <f>D60/13</f>
        <v>4.5480769230769234</v>
      </c>
      <c r="D60" s="1052">
        <f>B60*C44</f>
        <v>59.125</v>
      </c>
      <c r="E60" s="1040" t="s">
        <v>2628</v>
      </c>
      <c r="F60" s="1040" t="s">
        <v>2629</v>
      </c>
    </row>
    <row r="61" spans="1:6">
      <c r="A61" s="1056"/>
      <c r="B61" s="1057">
        <v>0.26</v>
      </c>
      <c r="C61" s="1052">
        <f>D61/13</f>
        <v>5.5</v>
      </c>
      <c r="D61" s="1052">
        <f>B61*C44</f>
        <v>71.5</v>
      </c>
      <c r="E61" s="1040" t="s">
        <v>2622</v>
      </c>
    </row>
    <row r="62" spans="1:6">
      <c r="A62" s="1056"/>
      <c r="B62" s="1057">
        <v>0.26</v>
      </c>
      <c r="C62" s="1052">
        <f>D62/13</f>
        <v>5.5</v>
      </c>
      <c r="D62" s="1052">
        <f>B62*C44</f>
        <v>71.5</v>
      </c>
      <c r="E62" s="1040" t="s">
        <v>2621</v>
      </c>
    </row>
    <row r="63" spans="1:6">
      <c r="A63" s="1047" t="s">
        <v>784</v>
      </c>
      <c r="B63" s="1057">
        <f>AVERAGE(B59:B62)</f>
        <v>0.26624999999999999</v>
      </c>
      <c r="C63" s="1057">
        <f>AVERAGE(C59:C62)</f>
        <v>5.6322115384615383</v>
      </c>
      <c r="D63" s="1057">
        <f>AVERAGE(D59:D62)</f>
        <v>73.21875</v>
      </c>
    </row>
    <row r="64" spans="1:6">
      <c r="A64" s="1047" t="s">
        <v>2624</v>
      </c>
      <c r="B64" s="1057">
        <f>B63*0.2</f>
        <v>5.3249999999999999E-2</v>
      </c>
      <c r="C64" s="1057">
        <f>C63*0.2</f>
        <v>1.1264423076923078</v>
      </c>
      <c r="D64" s="1057">
        <f>D63*0.2</f>
        <v>14.643750000000001</v>
      </c>
    </row>
    <row r="65" spans="1:8" ht="18">
      <c r="A65" s="1048" t="s">
        <v>2591</v>
      </c>
      <c r="B65" s="1059">
        <f>SUM(B63:B64)</f>
        <v>0.31950000000000001</v>
      </c>
      <c r="C65" s="1059">
        <f>SUM(C63:C64)</f>
        <v>6.7586538461538463</v>
      </c>
      <c r="D65" s="1059">
        <f>SUM(D63:D64)</f>
        <v>87.862499999999997</v>
      </c>
    </row>
    <row r="66" spans="1:8">
      <c r="A66" s="1056"/>
      <c r="B66" s="1057"/>
      <c r="C66" s="1052"/>
      <c r="D66" s="1052"/>
    </row>
    <row r="67" spans="1:8">
      <c r="A67" s="1056"/>
      <c r="B67" s="1058"/>
    </row>
    <row r="68" spans="1:8">
      <c r="A68" s="1056"/>
      <c r="B68" s="1058"/>
      <c r="F68" s="1040" t="s">
        <v>2626</v>
      </c>
    </row>
    <row r="69" spans="1:8" ht="14" customHeight="1">
      <c r="A69" s="1056" t="s">
        <v>2630</v>
      </c>
      <c r="C69" s="1040" t="s">
        <v>2617</v>
      </c>
      <c r="D69" s="1040" t="s">
        <v>2618</v>
      </c>
      <c r="E69" s="1040" t="s">
        <v>2619</v>
      </c>
    </row>
    <row r="70" spans="1:8">
      <c r="A70" s="1056"/>
      <c r="B70" s="1060"/>
      <c r="C70" s="1060">
        <f>D70/13</f>
        <v>4.1538461538461542</v>
      </c>
      <c r="D70" s="1061">
        <v>54</v>
      </c>
      <c r="E70" s="1040" t="s">
        <v>2631</v>
      </c>
      <c r="H70" s="1062" t="s">
        <v>2632</v>
      </c>
    </row>
    <row r="71" spans="1:8">
      <c r="A71" s="1056"/>
      <c r="B71" s="1060"/>
      <c r="C71" s="1060">
        <f>D71/13</f>
        <v>3.0746153846153845</v>
      </c>
      <c r="D71" s="1052">
        <v>39.97</v>
      </c>
      <c r="E71" s="1040" t="s">
        <v>2633</v>
      </c>
    </row>
    <row r="72" spans="1:8">
      <c r="A72" s="1063"/>
      <c r="B72" s="1058"/>
      <c r="C72" s="1060">
        <f>D72/13</f>
        <v>1.9415384615384614</v>
      </c>
      <c r="D72" s="1052">
        <v>25.24</v>
      </c>
      <c r="E72" s="1040" t="s">
        <v>2634</v>
      </c>
    </row>
    <row r="73" spans="1:8">
      <c r="C73" s="1060">
        <f>D73/13</f>
        <v>2.9223076923076925</v>
      </c>
      <c r="D73" s="1052">
        <v>37.99</v>
      </c>
      <c r="E73" s="1040" t="s">
        <v>2635</v>
      </c>
    </row>
    <row r="74" spans="1:8">
      <c r="A74" s="1047" t="s">
        <v>784</v>
      </c>
      <c r="C74" s="1053">
        <f>AVERAGE(C70:C73)</f>
        <v>3.023076923076923</v>
      </c>
      <c r="D74" s="1053">
        <f>AVERAGE(D70:D73)</f>
        <v>39.299999999999997</v>
      </c>
    </row>
    <row r="75" spans="1:8">
      <c r="A75" s="1047" t="s">
        <v>2624</v>
      </c>
      <c r="C75" s="1053">
        <f>C74*0.2</f>
        <v>0.60461538461538467</v>
      </c>
      <c r="D75" s="1053">
        <f>D74*0.2</f>
        <v>7.8599999999999994</v>
      </c>
    </row>
    <row r="76" spans="1:8">
      <c r="A76" s="1048" t="s">
        <v>2591</v>
      </c>
      <c r="B76" s="1064"/>
      <c r="C76" s="1065">
        <f>SUM(C74:C75)</f>
        <v>3.6276923076923078</v>
      </c>
      <c r="D76" s="1065">
        <f>SUM(D74:D75)</f>
        <v>47.16</v>
      </c>
    </row>
    <row r="78" spans="1:8">
      <c r="A78" s="1040" t="s">
        <v>2636</v>
      </c>
    </row>
    <row r="79" spans="1:8">
      <c r="A79" s="1040" t="s">
        <v>2637</v>
      </c>
    </row>
    <row r="81" spans="4:9">
      <c r="G81" s="1040" t="s">
        <v>2638</v>
      </c>
      <c r="H81" s="1040" t="s">
        <v>2639</v>
      </c>
      <c r="I81" s="1040" t="s">
        <v>2640</v>
      </c>
    </row>
    <row r="82" spans="4:9">
      <c r="D82" s="1040" t="s">
        <v>2558</v>
      </c>
      <c r="E82" s="1041">
        <v>473</v>
      </c>
      <c r="F82" s="1041">
        <v>321</v>
      </c>
      <c r="G82" s="1040">
        <f>E82/3*D56</f>
        <v>11351.054</v>
      </c>
      <c r="H82" s="1040">
        <f>E82/3*$D$65</f>
        <v>13852.987499999999</v>
      </c>
      <c r="I82" s="1040">
        <f>E82/3*$D$76</f>
        <v>7435.5599999999986</v>
      </c>
    </row>
    <row r="83" spans="4:9">
      <c r="D83" s="1040" t="s">
        <v>2560</v>
      </c>
      <c r="E83" s="1041">
        <v>27227</v>
      </c>
      <c r="F83" s="1041">
        <v>21524</v>
      </c>
      <c r="G83" s="1040">
        <f>E83/3*D56</f>
        <v>653393.54599999997</v>
      </c>
      <c r="H83" s="1040">
        <f>E83/3*$D$65</f>
        <v>797410.76249999995</v>
      </c>
      <c r="I83" s="1040">
        <f>E83/3*$D$76</f>
        <v>428008.43999999994</v>
      </c>
    </row>
    <row r="84" spans="4:9">
      <c r="D84" s="1040" t="s">
        <v>2561</v>
      </c>
      <c r="E84" s="1041">
        <v>12739</v>
      </c>
      <c r="F84" s="1041">
        <v>11006</v>
      </c>
      <c r="G84" s="1040">
        <f>E84/3*$D$56</f>
        <v>305710.522</v>
      </c>
      <c r="H84" s="1040">
        <f>E84/3*$D$65</f>
        <v>373093.46249999997</v>
      </c>
      <c r="I84" s="1040">
        <f>E84/3*$D$76</f>
        <v>200257.07999999996</v>
      </c>
    </row>
    <row r="85" spans="4:9">
      <c r="D85" s="1040" t="s">
        <v>2562</v>
      </c>
      <c r="E85" s="1041">
        <v>6493</v>
      </c>
      <c r="F85" s="1042">
        <v>5583.1</v>
      </c>
      <c r="G85" s="1040">
        <f>E85/3*$D$56</f>
        <v>155819.01400000002</v>
      </c>
      <c r="H85" s="1040">
        <f>E85/3*$D$65</f>
        <v>190163.73750000002</v>
      </c>
      <c r="I85" s="1040">
        <f>E85/3*$D$76</f>
        <v>102069.96</v>
      </c>
    </row>
    <row r="86" spans="4:9">
      <c r="D86" s="1043" t="s">
        <v>2565</v>
      </c>
      <c r="E86" s="1042">
        <f>SUM(E82:E85)</f>
        <v>46932</v>
      </c>
      <c r="F86" s="1042">
        <f>SUM(F82:F85)</f>
        <v>38434.1</v>
      </c>
      <c r="G86" s="1040">
        <f>E86/3*$D$56</f>
        <v>1126274.1359999999</v>
      </c>
      <c r="H86" s="1040">
        <f>E86/3*$D$65</f>
        <v>1374520.95</v>
      </c>
      <c r="I86" s="1040">
        <f>E86/3*$D$76</f>
        <v>737771.03999999992</v>
      </c>
    </row>
    <row r="88" spans="4:9">
      <c r="G88" s="1052">
        <f>SUM(G86:I86)</f>
        <v>3238566.1260000002</v>
      </c>
    </row>
  </sheetData>
  <hyperlinks>
    <hyperlink ref="D6" r:id="rId1" display="https://gcdocs.intra.pri/aanc-inac/llisapi.dll/link/93945784" xr:uid="{00000000-0004-0000-4E00-000000000000}"/>
    <hyperlink ref="F10" r:id="rId2" display="https://gcdocs.intra.pri/aanc-inac/llisapi.dll/link/99027933" xr:uid="{00000000-0004-0000-4E00-000001000000}"/>
  </hyperlinks>
  <pageMargins left="0.7" right="0.7" top="0.75" bottom="0.75" header="0.3" footer="0.3"/>
  <pageSetup orientation="portrait" r:id="rId3"/>
  <headerFooter>
    <oddFooter>&amp;LGCDOCS # 98818395</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2:Y58"/>
  <sheetViews>
    <sheetView topLeftCell="B13" workbookViewId="0">
      <selection activeCell="H37" sqref="H37"/>
    </sheetView>
  </sheetViews>
  <sheetFormatPr baseColWidth="10" defaultColWidth="9.19921875" defaultRowHeight="15"/>
  <cols>
    <col min="1" max="1" width="23.19921875" style="107" bestFit="1" customWidth="1"/>
    <col min="2" max="2" width="11.19921875" style="107" customWidth="1"/>
    <col min="3" max="3" width="10.3984375" style="107" customWidth="1"/>
    <col min="4" max="4" width="3.19921875" style="107" customWidth="1"/>
    <col min="5" max="5" width="27.796875" style="107" customWidth="1"/>
    <col min="6" max="6" width="10.3984375" style="107" customWidth="1"/>
    <col min="7" max="7" width="3.3984375" style="107" customWidth="1"/>
    <col min="8" max="8" width="13.59765625" style="107" customWidth="1"/>
    <col min="9" max="9" width="10.59765625" style="107" customWidth="1"/>
    <col min="10" max="10" width="9.19921875" style="107"/>
    <col min="11" max="11" width="11.3984375" style="107" customWidth="1"/>
    <col min="12" max="12" width="9.19921875" style="107"/>
    <col min="13" max="13" width="10.59765625" style="107" customWidth="1"/>
    <col min="14" max="14" width="9.19921875" style="107"/>
    <col min="15" max="15" width="11.19921875" style="107" customWidth="1"/>
    <col min="16" max="16" width="9.19921875" style="107"/>
    <col min="17" max="17" width="3.19921875" style="107" customWidth="1"/>
    <col min="18" max="18" width="12.796875" style="107" customWidth="1"/>
    <col min="19" max="19" width="10.3984375" style="107" customWidth="1"/>
    <col min="20" max="20" width="10.19921875" style="107" customWidth="1"/>
    <col min="21" max="22" width="9.19921875" style="107"/>
    <col min="23" max="23" width="12" style="107" customWidth="1"/>
    <col min="24" max="24" width="11.59765625" style="107" customWidth="1"/>
    <col min="25" max="25" width="11" style="107" customWidth="1"/>
    <col min="26" max="26" width="2.796875" style="107" customWidth="1"/>
    <col min="27" max="27" width="13.19921875" style="107" customWidth="1"/>
    <col min="28" max="31" width="9.19921875" style="107"/>
    <col min="32" max="32" width="12.59765625" style="107" bestFit="1" customWidth="1"/>
    <col min="33" max="16384" width="9.19921875" style="107"/>
  </cols>
  <sheetData>
    <row r="2" spans="1:25" ht="21">
      <c r="A2" s="329" t="s">
        <v>2463</v>
      </c>
    </row>
    <row r="3" spans="1:25" ht="19">
      <c r="A3" s="1436" t="s">
        <v>2464</v>
      </c>
      <c r="B3" s="1437"/>
      <c r="C3" s="1437"/>
      <c r="D3" s="1437"/>
      <c r="E3" s="1437"/>
      <c r="F3" s="1437"/>
      <c r="H3" s="1436" t="s">
        <v>2465</v>
      </c>
      <c r="I3" s="1437"/>
      <c r="J3" s="1437"/>
      <c r="K3" s="1437"/>
      <c r="L3" s="1437"/>
      <c r="M3" s="1437"/>
      <c r="N3" s="1437"/>
      <c r="O3" s="1437"/>
      <c r="P3"/>
      <c r="R3" s="1436" t="s">
        <v>2641</v>
      </c>
      <c r="S3" s="1438"/>
      <c r="T3" s="1438"/>
      <c r="U3" s="1438"/>
      <c r="V3" s="1438"/>
      <c r="W3" s="1438"/>
      <c r="X3" s="1438"/>
      <c r="Y3" s="1438"/>
    </row>
    <row r="4" spans="1:25" ht="16">
      <c r="A4" s="261" t="s">
        <v>2467</v>
      </c>
      <c r="B4" s="261" t="s">
        <v>2468</v>
      </c>
      <c r="C4" s="261" t="s">
        <v>2469</v>
      </c>
      <c r="E4" s="261" t="s">
        <v>471</v>
      </c>
      <c r="H4" s="375" t="s">
        <v>2642</v>
      </c>
      <c r="I4" s="262"/>
      <c r="J4" s="262"/>
      <c r="K4" s="262"/>
      <c r="L4" s="262"/>
      <c r="M4" s="262"/>
      <c r="N4" s="262"/>
      <c r="O4" s="262"/>
      <c r="P4" s="262"/>
      <c r="R4" s="263" t="s">
        <v>2471</v>
      </c>
    </row>
    <row r="5" spans="1:25">
      <c r="A5" s="107" t="s">
        <v>2472</v>
      </c>
      <c r="B5" s="275">
        <f>N16/100</f>
        <v>1.4555</v>
      </c>
      <c r="C5" s="264">
        <f>ROUND((B5*(1+F7))/F6,4)</f>
        <v>0.42809999999999998</v>
      </c>
      <c r="E5" s="327" t="s">
        <v>2473</v>
      </c>
      <c r="F5" s="265">
        <v>20000</v>
      </c>
      <c r="H5" s="266"/>
      <c r="I5" s="267" t="s">
        <v>845</v>
      </c>
      <c r="J5" s="267"/>
      <c r="K5" s="267"/>
      <c r="L5" s="267"/>
      <c r="M5" s="267" t="s">
        <v>1233</v>
      </c>
      <c r="N5" s="266"/>
      <c r="O5" s="266"/>
      <c r="P5" s="266"/>
      <c r="R5" s="268"/>
      <c r="S5" s="1827" t="s">
        <v>2474</v>
      </c>
      <c r="T5" s="1827" t="s">
        <v>2475</v>
      </c>
      <c r="U5" s="268"/>
      <c r="V5" s="268"/>
      <c r="W5" s="1827" t="s">
        <v>2476</v>
      </c>
      <c r="X5" s="1827" t="s">
        <v>2477</v>
      </c>
    </row>
    <row r="6" spans="1:25" ht="24" customHeight="1">
      <c r="A6" s="107" t="s">
        <v>2478</v>
      </c>
      <c r="B6" s="269">
        <f>I21</f>
        <v>1200</v>
      </c>
      <c r="C6" s="264">
        <f>ROUND(B6/F5,4)</f>
        <v>0.06</v>
      </c>
      <c r="E6" s="328" t="s">
        <v>2479</v>
      </c>
      <c r="F6" s="107">
        <v>3.4</v>
      </c>
      <c r="H6" s="270" t="s">
        <v>2480</v>
      </c>
      <c r="I6" s="271" t="s">
        <v>2481</v>
      </c>
      <c r="J6" s="272" t="s">
        <v>2482</v>
      </c>
      <c r="K6" s="272" t="s">
        <v>2483</v>
      </c>
      <c r="L6" s="272" t="s">
        <v>2484</v>
      </c>
      <c r="M6" s="271" t="s">
        <v>2481</v>
      </c>
      <c r="N6" s="272" t="s">
        <v>2482</v>
      </c>
      <c r="O6" s="272" t="s">
        <v>2483</v>
      </c>
      <c r="P6" s="272" t="s">
        <v>2484</v>
      </c>
      <c r="R6" s="273" t="s">
        <v>2485</v>
      </c>
      <c r="S6" s="1828"/>
      <c r="T6" s="1828"/>
      <c r="U6" s="273" t="s">
        <v>2486</v>
      </c>
      <c r="V6" s="273" t="s">
        <v>2487</v>
      </c>
      <c r="W6" s="1828"/>
      <c r="X6" s="1828"/>
      <c r="Y6" s="273" t="s">
        <v>72</v>
      </c>
    </row>
    <row r="7" spans="1:25" ht="33.75" customHeight="1">
      <c r="A7" s="107" t="s">
        <v>2488</v>
      </c>
      <c r="B7" s="274">
        <f>I34</f>
        <v>1050</v>
      </c>
      <c r="C7" s="275">
        <f>ROUND(B7/F5,4)</f>
        <v>5.2499999999999998E-2</v>
      </c>
      <c r="E7" s="328" t="s">
        <v>2489</v>
      </c>
      <c r="F7" s="276">
        <v>0</v>
      </c>
      <c r="H7" s="277" t="s">
        <v>2643</v>
      </c>
      <c r="I7" s="278">
        <v>96.3</v>
      </c>
      <c r="J7" s="277">
        <v>23.7</v>
      </c>
      <c r="K7" s="277">
        <v>12.1</v>
      </c>
      <c r="L7" s="277">
        <v>36.1</v>
      </c>
      <c r="M7" s="278">
        <v>119.6</v>
      </c>
      <c r="N7" s="277">
        <v>23.7</v>
      </c>
      <c r="O7" s="277">
        <v>11.6</v>
      </c>
      <c r="P7" s="277">
        <v>36.1</v>
      </c>
      <c r="R7" s="279" t="s">
        <v>2644</v>
      </c>
      <c r="S7" s="280">
        <v>550</v>
      </c>
      <c r="T7" s="107">
        <v>4</v>
      </c>
      <c r="U7" s="281">
        <f>S7*T7</f>
        <v>2200</v>
      </c>
      <c r="W7" s="281">
        <v>35</v>
      </c>
      <c r="X7" s="281">
        <v>20</v>
      </c>
    </row>
    <row r="8" spans="1:25" ht="31.5" customHeight="1">
      <c r="A8" s="107" t="s">
        <v>2492</v>
      </c>
      <c r="B8" s="274">
        <f>Y9</f>
        <v>3739</v>
      </c>
      <c r="C8" s="275">
        <f>ROUND(B8/F8,4)</f>
        <v>7.4800000000000005E-2</v>
      </c>
      <c r="E8" s="328" t="s">
        <v>2493</v>
      </c>
      <c r="F8" s="282">
        <v>50000</v>
      </c>
      <c r="H8" s="277" t="s">
        <v>2645</v>
      </c>
      <c r="I8" s="278">
        <v>98.2</v>
      </c>
      <c r="J8" s="277">
        <v>23.8</v>
      </c>
      <c r="K8" s="277">
        <v>7.6</v>
      </c>
      <c r="L8" s="277">
        <v>39.4</v>
      </c>
      <c r="M8" s="278">
        <v>121.1</v>
      </c>
      <c r="N8" s="277">
        <v>23.8</v>
      </c>
      <c r="O8" s="277">
        <v>6.8</v>
      </c>
      <c r="P8" s="277">
        <v>39.4</v>
      </c>
      <c r="R8" s="283" t="s">
        <v>2646</v>
      </c>
      <c r="S8" s="284">
        <v>577.5</v>
      </c>
      <c r="T8" s="266">
        <v>2</v>
      </c>
      <c r="U8" s="285">
        <f>S8*T8</f>
        <v>1155</v>
      </c>
      <c r="V8" s="266"/>
      <c r="W8" s="266"/>
      <c r="X8" s="266"/>
      <c r="Y8" s="266"/>
    </row>
    <row r="9" spans="1:25" ht="16">
      <c r="A9" s="266" t="s">
        <v>2495</v>
      </c>
      <c r="B9" s="286">
        <f>J29</f>
        <v>730</v>
      </c>
      <c r="C9" s="287">
        <f>ROUND(B9/F5,4)</f>
        <v>3.6499999999999998E-2</v>
      </c>
      <c r="H9" s="277" t="s">
        <v>2647</v>
      </c>
      <c r="I9" s="278">
        <v>100</v>
      </c>
      <c r="J9" s="277">
        <v>23.9</v>
      </c>
      <c r="K9" s="277">
        <v>10.6</v>
      </c>
      <c r="L9" s="277">
        <v>40.9</v>
      </c>
      <c r="M9" s="278">
        <v>122</v>
      </c>
      <c r="N9" s="277">
        <v>23.8</v>
      </c>
      <c r="O9" s="277">
        <v>8.8000000000000007</v>
      </c>
      <c r="P9" s="277">
        <v>40.9</v>
      </c>
      <c r="U9" s="288">
        <f>SUM(U7:U8)</f>
        <v>3355</v>
      </c>
      <c r="V9" s="289">
        <f>U15</f>
        <v>54</v>
      </c>
      <c r="W9" s="281">
        <f>W7*(T7+T8)</f>
        <v>210</v>
      </c>
      <c r="X9" s="281">
        <f>X7*(T7+T8)</f>
        <v>120</v>
      </c>
      <c r="Y9" s="288">
        <f>SUM(U9:X9)</f>
        <v>3739</v>
      </c>
    </row>
    <row r="10" spans="1:25" ht="16">
      <c r="A10" s="107" t="s">
        <v>2497</v>
      </c>
      <c r="C10" s="290">
        <f>SUM(C5:C9)</f>
        <v>0.65189999999999992</v>
      </c>
      <c r="E10" s="1825" t="s">
        <v>2498</v>
      </c>
      <c r="F10" s="1825"/>
      <c r="H10" s="277" t="s">
        <v>2648</v>
      </c>
      <c r="I10" s="278">
        <v>99.1</v>
      </c>
      <c r="J10" s="277">
        <v>23.9</v>
      </c>
      <c r="K10" s="277">
        <v>11.8</v>
      </c>
      <c r="L10" s="277">
        <v>35</v>
      </c>
      <c r="M10" s="278">
        <v>121.3</v>
      </c>
      <c r="N10" s="277">
        <v>23.8</v>
      </c>
      <c r="O10" s="277">
        <v>10.199999999999999</v>
      </c>
      <c r="P10" s="277">
        <v>35</v>
      </c>
    </row>
    <row r="11" spans="1:25" ht="16">
      <c r="E11" s="1825"/>
      <c r="F11" s="1825"/>
      <c r="H11" s="277" t="s">
        <v>2649</v>
      </c>
      <c r="I11" s="278">
        <v>99.199999999999989</v>
      </c>
      <c r="J11" s="277">
        <v>23.9</v>
      </c>
      <c r="K11" s="277">
        <v>12.1</v>
      </c>
      <c r="L11" s="277">
        <v>39.1</v>
      </c>
      <c r="M11" s="278">
        <v>120.6</v>
      </c>
      <c r="N11" s="277">
        <v>23.7</v>
      </c>
      <c r="O11" s="277">
        <v>9.6999999999999993</v>
      </c>
      <c r="P11" s="277">
        <v>39.1</v>
      </c>
    </row>
    <row r="12" spans="1:25" ht="19">
      <c r="A12" s="266" t="s">
        <v>2501</v>
      </c>
      <c r="B12" s="266"/>
      <c r="C12" s="266"/>
      <c r="E12" s="1825"/>
      <c r="F12" s="1825"/>
      <c r="H12" s="277" t="s">
        <v>2650</v>
      </c>
      <c r="I12" s="278">
        <v>99.800000000000011</v>
      </c>
      <c r="J12" s="277">
        <v>23.9</v>
      </c>
      <c r="K12" s="277">
        <v>11.3</v>
      </c>
      <c r="L12" s="277">
        <v>45.4</v>
      </c>
      <c r="M12" s="278">
        <v>121</v>
      </c>
      <c r="N12" s="277">
        <v>23.8</v>
      </c>
      <c r="O12" s="277">
        <v>8.6999999999999993</v>
      </c>
      <c r="P12" s="277">
        <v>45.4</v>
      </c>
      <c r="R12" s="1436" t="s">
        <v>2503</v>
      </c>
      <c r="S12" s="1438"/>
      <c r="T12" s="1438"/>
      <c r="U12" s="1438"/>
      <c r="V12" s="1438"/>
      <c r="W12" s="1438"/>
      <c r="X12" s="1438"/>
      <c r="Y12" s="1439"/>
    </row>
    <row r="13" spans="1:25" ht="16">
      <c r="A13" s="296">
        <v>1</v>
      </c>
      <c r="B13" s="297">
        <v>0.05</v>
      </c>
      <c r="E13" s="1825"/>
      <c r="F13" s="1825"/>
      <c r="H13" s="277" t="s">
        <v>2651</v>
      </c>
      <c r="I13" s="278">
        <v>100.69999999999999</v>
      </c>
      <c r="J13" s="277">
        <v>23.9</v>
      </c>
      <c r="K13" s="277">
        <v>6.6</v>
      </c>
      <c r="L13" s="277">
        <v>62.1</v>
      </c>
      <c r="M13" s="278">
        <v>123.3</v>
      </c>
      <c r="N13" s="277">
        <v>23.9</v>
      </c>
      <c r="O13" s="277">
        <v>5.3</v>
      </c>
      <c r="P13" s="277">
        <v>62.1</v>
      </c>
      <c r="R13" s="294"/>
    </row>
    <row r="14" spans="1:25" ht="16">
      <c r="A14" s="296">
        <v>2</v>
      </c>
      <c r="B14" s="297">
        <v>0.1</v>
      </c>
      <c r="E14" s="1825"/>
      <c r="F14" s="1825"/>
      <c r="H14" s="291" t="s">
        <v>2652</v>
      </c>
      <c r="I14" s="292">
        <v>100.6</v>
      </c>
      <c r="J14" s="291">
        <v>23.9</v>
      </c>
      <c r="K14" s="291">
        <v>9.9</v>
      </c>
      <c r="L14" s="291">
        <v>69.8</v>
      </c>
      <c r="M14" s="292">
        <v>125</v>
      </c>
      <c r="N14" s="291">
        <v>24</v>
      </c>
      <c r="O14" s="291">
        <v>10.4</v>
      </c>
      <c r="P14" s="291">
        <v>69.8</v>
      </c>
      <c r="R14" s="1829" t="s">
        <v>2653</v>
      </c>
      <c r="S14" s="1829"/>
      <c r="T14" s="283"/>
      <c r="U14" s="376" t="s">
        <v>2507</v>
      </c>
      <c r="V14" s="266"/>
      <c r="W14" s="266"/>
      <c r="X14" s="266"/>
      <c r="Y14" s="267" t="s">
        <v>72</v>
      </c>
    </row>
    <row r="15" spans="1:25">
      <c r="A15" s="296">
        <v>3</v>
      </c>
      <c r="B15" s="297">
        <v>0.15</v>
      </c>
      <c r="H15" s="293" t="s">
        <v>784</v>
      </c>
      <c r="I15" s="294">
        <f>AVERAGE(I7:I14)</f>
        <v>99.237499999999997</v>
      </c>
      <c r="J15" s="262"/>
      <c r="K15" s="262"/>
      <c r="L15" s="262"/>
      <c r="M15" s="295">
        <f>AVERAGE(M7:M14)</f>
        <v>121.7375</v>
      </c>
      <c r="N15" s="295">
        <f>AVERAGE(N7:N14)</f>
        <v>23.8125</v>
      </c>
      <c r="O15" s="262"/>
      <c r="P15" s="262"/>
      <c r="R15" s="107" t="s">
        <v>2654</v>
      </c>
      <c r="S15" s="281">
        <v>102394</v>
      </c>
      <c r="T15" s="289"/>
      <c r="U15" s="299">
        <v>54</v>
      </c>
      <c r="V15" s="107" t="s">
        <v>2510</v>
      </c>
      <c r="Y15" s="288">
        <f>SUM(S15:U15)</f>
        <v>102448</v>
      </c>
    </row>
    <row r="16" spans="1:25">
      <c r="A16" s="296">
        <v>4</v>
      </c>
      <c r="B16" s="297">
        <v>0.2</v>
      </c>
      <c r="M16" s="107" t="s">
        <v>2513</v>
      </c>
      <c r="N16" s="718">
        <f>N15+M15</f>
        <v>145.55000000000001</v>
      </c>
      <c r="R16" s="107" t="s">
        <v>2655</v>
      </c>
      <c r="S16" s="301">
        <v>107496</v>
      </c>
      <c r="T16" s="289"/>
      <c r="U16" s="299">
        <v>54</v>
      </c>
      <c r="Y16" s="288">
        <f>SUM(S16:U16)</f>
        <v>107550</v>
      </c>
    </row>
    <row r="17" spans="1:25" ht="19">
      <c r="A17" s="296">
        <v>5</v>
      </c>
      <c r="B17" s="297">
        <v>0.25</v>
      </c>
      <c r="H17" s="1436" t="s">
        <v>2478</v>
      </c>
      <c r="I17" s="1438"/>
      <c r="J17" s="1438"/>
      <c r="K17" s="1438"/>
      <c r="L17" s="1438"/>
      <c r="M17" s="1438"/>
      <c r="N17" s="1438"/>
      <c r="O17" s="1438"/>
      <c r="P17" s="1438"/>
    </row>
    <row r="18" spans="1:25">
      <c r="A18" s="296">
        <v>6</v>
      </c>
      <c r="B18" s="297">
        <v>0.3</v>
      </c>
      <c r="H18" s="298" t="s">
        <v>2656</v>
      </c>
      <c r="Y18" s="73"/>
    </row>
    <row r="19" spans="1:25" ht="20.25" customHeight="1">
      <c r="A19" s="296">
        <v>7</v>
      </c>
      <c r="B19" s="297">
        <v>0.3</v>
      </c>
      <c r="H19" s="300" t="s">
        <v>2657</v>
      </c>
      <c r="I19" s="281">
        <v>600</v>
      </c>
      <c r="R19" s="1436" t="s">
        <v>2514</v>
      </c>
      <c r="S19" s="1438"/>
      <c r="T19" s="1438"/>
      <c r="U19" s="1438"/>
      <c r="V19" s="1438"/>
      <c r="W19" s="1440" t="s">
        <v>2515</v>
      </c>
      <c r="X19" s="1441" t="s">
        <v>2471</v>
      </c>
      <c r="Y19" s="1437"/>
    </row>
    <row r="20" spans="1:25">
      <c r="A20" s="296">
        <v>8</v>
      </c>
      <c r="B20" s="297">
        <v>0.3</v>
      </c>
      <c r="H20" s="107" t="s">
        <v>2521</v>
      </c>
      <c r="R20" s="300" t="s">
        <v>2517</v>
      </c>
      <c r="S20" s="302"/>
      <c r="T20" s="302"/>
      <c r="U20" s="302"/>
      <c r="V20" s="303" t="s">
        <v>2507</v>
      </c>
      <c r="Y20" s="304" t="s">
        <v>72</v>
      </c>
    </row>
    <row r="21" spans="1:25">
      <c r="A21" s="296">
        <v>9</v>
      </c>
      <c r="B21" s="297">
        <v>0.3</v>
      </c>
      <c r="H21" s="268" t="s">
        <v>72</v>
      </c>
      <c r="I21" s="288">
        <f>I19*2</f>
        <v>1200</v>
      </c>
      <c r="S21" s="107" t="s">
        <v>2519</v>
      </c>
      <c r="T21" s="310">
        <v>85000</v>
      </c>
      <c r="U21" s="269"/>
      <c r="V21" s="299">
        <f>9*4</f>
        <v>36</v>
      </c>
      <c r="W21" s="107" t="s">
        <v>2520</v>
      </c>
      <c r="Y21" s="288">
        <f>T21+V21</f>
        <v>85036</v>
      </c>
    </row>
    <row r="22" spans="1:25">
      <c r="A22" s="305">
        <v>10</v>
      </c>
      <c r="B22" s="306">
        <v>0.3</v>
      </c>
      <c r="C22" s="266"/>
      <c r="S22" s="107" t="s">
        <v>2658</v>
      </c>
      <c r="T22" s="310">
        <v>80000</v>
      </c>
      <c r="U22" s="269"/>
      <c r="V22" s="299">
        <f>9*4</f>
        <v>36</v>
      </c>
      <c r="Y22" s="288">
        <f>T22+V22</f>
        <v>80036</v>
      </c>
    </row>
    <row r="23" spans="1:25">
      <c r="A23" s="107" t="s">
        <v>2523</v>
      </c>
      <c r="B23" s="307">
        <f>ROUND(AVERAGE(B13:B22),2)</f>
        <v>0.23</v>
      </c>
    </row>
    <row r="24" spans="1:25" ht="15" customHeight="1">
      <c r="H24" s="1436" t="s">
        <v>2495</v>
      </c>
      <c r="I24" s="1438"/>
      <c r="J24" s="1438"/>
      <c r="K24" s="1438"/>
      <c r="L24" s="1438"/>
      <c r="M24" s="1438"/>
      <c r="N24" s="1438"/>
      <c r="O24" s="1438"/>
      <c r="P24" s="1438"/>
    </row>
    <row r="25" spans="1:25" ht="33" customHeight="1">
      <c r="A25" s="308" t="s">
        <v>2525</v>
      </c>
      <c r="B25" s="326">
        <f>ROUND(C10+B23,4)</f>
        <v>0.88190000000000002</v>
      </c>
      <c r="C25" s="309"/>
      <c r="H25" s="298" t="s">
        <v>2656</v>
      </c>
      <c r="R25" s="1436" t="s">
        <v>898</v>
      </c>
      <c r="S25" s="1438"/>
      <c r="T25" s="1438"/>
      <c r="U25" s="1438"/>
      <c r="V25" s="1438"/>
      <c r="W25" s="1438"/>
      <c r="X25" s="1438"/>
      <c r="Y25" s="1438"/>
    </row>
    <row r="26" spans="1:25" ht="27" customHeight="1">
      <c r="H26" s="107" t="s">
        <v>2659</v>
      </c>
      <c r="J26" s="281">
        <v>165</v>
      </c>
      <c r="R26" s="107" t="s">
        <v>902</v>
      </c>
      <c r="S26" s="279"/>
      <c r="U26" s="310">
        <v>999</v>
      </c>
      <c r="V26" s="107" t="s">
        <v>903</v>
      </c>
    </row>
    <row r="27" spans="1:25">
      <c r="H27" s="107" t="s">
        <v>2660</v>
      </c>
      <c r="J27" s="281">
        <v>200</v>
      </c>
      <c r="R27" s="107" t="s">
        <v>908</v>
      </c>
      <c r="U27" s="310">
        <v>200</v>
      </c>
      <c r="V27" s="107" t="s">
        <v>909</v>
      </c>
    </row>
    <row r="28" spans="1:25">
      <c r="H28" s="268" t="s">
        <v>2527</v>
      </c>
      <c r="J28" s="288">
        <f>J26+J27</f>
        <v>365</v>
      </c>
      <c r="R28" s="1830" t="s">
        <v>913</v>
      </c>
      <c r="S28" s="1830"/>
      <c r="T28" s="1830"/>
      <c r="U28" s="310">
        <v>500</v>
      </c>
      <c r="V28" s="107" t="s">
        <v>914</v>
      </c>
    </row>
    <row r="29" spans="1:25">
      <c r="H29" s="107" t="s">
        <v>2530</v>
      </c>
      <c r="J29" s="269">
        <f>J28*2</f>
        <v>730</v>
      </c>
      <c r="K29" s="1833" t="s">
        <v>2531</v>
      </c>
      <c r="L29" s="1833"/>
      <c r="M29" s="1833"/>
      <c r="N29" s="1833"/>
      <c r="O29" s="1833"/>
      <c r="P29" s="1833"/>
      <c r="R29" s="1830"/>
      <c r="S29" s="1830"/>
      <c r="T29" s="1830"/>
      <c r="U29" s="403">
        <v>18.899999999999999</v>
      </c>
      <c r="V29" s="107" t="s">
        <v>917</v>
      </c>
    </row>
    <row r="30" spans="1:25">
      <c r="H30" s="311"/>
      <c r="J30" s="312"/>
      <c r="K30" s="1832"/>
      <c r="L30" s="1832"/>
      <c r="M30" s="1832"/>
      <c r="N30" s="1832"/>
      <c r="O30" s="1832"/>
      <c r="P30" s="1832"/>
      <c r="R30" s="266" t="s">
        <v>2528</v>
      </c>
      <c r="S30" s="266"/>
      <c r="T30" s="266"/>
      <c r="U30" s="404" t="s">
        <v>2529</v>
      </c>
      <c r="V30" s="266"/>
      <c r="W30" s="266"/>
      <c r="X30" s="266"/>
      <c r="Y30" s="266"/>
    </row>
    <row r="31" spans="1:25" ht="19">
      <c r="H31" s="1436" t="s">
        <v>2534</v>
      </c>
      <c r="I31" s="1438"/>
      <c r="J31" s="1438"/>
      <c r="K31" s="1438"/>
      <c r="L31" s="1438"/>
      <c r="M31" s="1438"/>
      <c r="N31" s="1438"/>
      <c r="O31" s="1438"/>
      <c r="P31" s="1438"/>
      <c r="R31" s="315" t="s">
        <v>2532</v>
      </c>
    </row>
    <row r="32" spans="1:25">
      <c r="H32" s="313" t="s">
        <v>2471</v>
      </c>
      <c r="R32" s="316" t="s">
        <v>2533</v>
      </c>
    </row>
    <row r="33" spans="8:25">
      <c r="H33" s="107" t="s">
        <v>2661</v>
      </c>
      <c r="R33" s="1826" t="s">
        <v>2535</v>
      </c>
      <c r="S33" s="1826"/>
      <c r="T33" s="1826"/>
      <c r="U33" s="1826"/>
      <c r="V33" s="1826"/>
      <c r="W33" s="1826"/>
      <c r="X33" s="1826"/>
      <c r="Y33" s="1826"/>
    </row>
    <row r="34" spans="8:25">
      <c r="H34" s="107" t="s">
        <v>784</v>
      </c>
      <c r="I34" s="314">
        <v>1050</v>
      </c>
      <c r="R34" s="1826"/>
      <c r="S34" s="1826"/>
      <c r="T34" s="1826"/>
      <c r="U34" s="1826"/>
      <c r="V34" s="1826"/>
      <c r="W34" s="1826"/>
      <c r="X34" s="1826"/>
      <c r="Y34" s="1826"/>
    </row>
    <row r="35" spans="8:25">
      <c r="R35" s="316" t="s">
        <v>2537</v>
      </c>
    </row>
    <row r="36" spans="8:25">
      <c r="P36" s="73"/>
    </row>
    <row r="37" spans="8:25" ht="19">
      <c r="H37" s="1442" t="s">
        <v>2662</v>
      </c>
      <c r="I37" s="1438"/>
      <c r="J37" s="1438"/>
      <c r="K37" s="1438"/>
      <c r="L37" s="1438"/>
      <c r="M37" s="1438"/>
      <c r="N37" s="1438"/>
      <c r="O37" s="1438"/>
    </row>
    <row r="38" spans="8:25">
      <c r="H38" s="267" t="s">
        <v>2540</v>
      </c>
      <c r="I38" s="267" t="s">
        <v>2541</v>
      </c>
      <c r="J38" s="267" t="s">
        <v>2542</v>
      </c>
      <c r="K38" s="267" t="s">
        <v>2543</v>
      </c>
      <c r="L38" s="267" t="s">
        <v>2544</v>
      </c>
      <c r="M38" s="267" t="s">
        <v>2545</v>
      </c>
      <c r="N38" s="267" t="s">
        <v>2546</v>
      </c>
      <c r="O38" s="267" t="s">
        <v>2547</v>
      </c>
    </row>
    <row r="39" spans="8:25" ht="32">
      <c r="H39" s="279" t="s">
        <v>2548</v>
      </c>
      <c r="I39" s="299">
        <v>17.46</v>
      </c>
      <c r="J39" s="299">
        <v>18.010000000000002</v>
      </c>
      <c r="K39" s="299">
        <v>18.57</v>
      </c>
      <c r="L39" s="299">
        <v>19.149999999999999</v>
      </c>
      <c r="M39" s="299">
        <v>19.78</v>
      </c>
      <c r="N39" s="299">
        <v>20.399999999999999</v>
      </c>
      <c r="O39" s="317">
        <f>AVERAGE(I39:N39)</f>
        <v>18.895</v>
      </c>
    </row>
    <row r="58" spans="9:16">
      <c r="I58" s="318"/>
      <c r="J58" s="269"/>
      <c r="L58" s="319"/>
      <c r="P58" s="288"/>
    </row>
  </sheetData>
  <mergeCells count="10">
    <mergeCell ref="E10:F14"/>
    <mergeCell ref="R14:S14"/>
    <mergeCell ref="K29:P29"/>
    <mergeCell ref="K30:P30"/>
    <mergeCell ref="R28:T29"/>
    <mergeCell ref="S5:S6"/>
    <mergeCell ref="T5:T6"/>
    <mergeCell ref="R33:Y34"/>
    <mergeCell ref="W5:W6"/>
    <mergeCell ref="X5:X6"/>
  </mergeCells>
  <hyperlinks>
    <hyperlink ref="E5" r:id="rId1" xr:uid="{00000000-0004-0000-4F00-000000000000}"/>
    <hyperlink ref="R4" r:id="rId2" xr:uid="{00000000-0004-0000-4F00-000001000000}"/>
    <hyperlink ref="X19" r:id="rId3" xr:uid="{00000000-0004-0000-4F00-000002000000}"/>
    <hyperlink ref="V20" r:id="rId4" display="Tire Fee" xr:uid="{00000000-0004-0000-4F00-000003000000}"/>
    <hyperlink ref="H4" r:id="rId5" display="Average Retail Prices for Diesel June-October 2017 (Prices Include Taxes)" xr:uid="{00000000-0004-0000-4F00-000004000000}"/>
    <hyperlink ref="H18" r:id="rId6" location="school-buses" xr:uid="{00000000-0004-0000-4F00-000005000000}"/>
    <hyperlink ref="H25" r:id="rId7" location="school-buses" xr:uid="{00000000-0004-0000-4F00-000006000000}"/>
    <hyperlink ref="K29:P29" r:id="rId8" display="According to the Blue Bird Vision 2006 Service Manual, oil should be changed every 6 months or 18,000 km." xr:uid="{00000000-0004-0000-4F00-000007000000}"/>
    <hyperlink ref="H32" r:id="rId9" xr:uid="{00000000-0004-0000-4F00-000008000000}"/>
    <hyperlink ref="U14" r:id="rId10" xr:uid="{00000000-0004-0000-4F00-000009000000}"/>
    <hyperlink ref="H37" r:id="rId11" xr:uid="{00000000-0004-0000-4F00-00000A000000}"/>
  </hyperlinks>
  <pageMargins left="0.7" right="0.7" top="0.75" bottom="0.75" header="0.3" footer="0.3"/>
  <pageSetup orientation="portrait" r:id="rId12"/>
  <colBreaks count="1" manualBreakCount="1">
    <brk id="7"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bfb77542-f000-416e-9391-d4f3ed66f756" xsi:nil="true"/>
    <lcf76f155ced4ddcb4097134ff3c332f xmlns="2b313e45-d48c-4d36-b475-2ce2b8c74c54">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0E76F91975C3B469A9C9E5B90195820" ma:contentTypeVersion="16" ma:contentTypeDescription="Create a new document." ma:contentTypeScope="" ma:versionID="3d044a0b9c54eefe6672bdcd1de2a28d">
  <xsd:schema xmlns:xsd="http://www.w3.org/2001/XMLSchema" xmlns:xs="http://www.w3.org/2001/XMLSchema" xmlns:p="http://schemas.microsoft.com/office/2006/metadata/properties" xmlns:ns2="2b313e45-d48c-4d36-b475-2ce2b8c74c54" xmlns:ns3="bfb77542-f000-416e-9391-d4f3ed66f756" targetNamespace="http://schemas.microsoft.com/office/2006/metadata/properties" ma:root="true" ma:fieldsID="1d9534cf13e5bbdf06d33948ab5fbaa0" ns2:_="" ns3:_="">
    <xsd:import namespace="2b313e45-d48c-4d36-b475-2ce2b8c74c54"/>
    <xsd:import namespace="bfb77542-f000-416e-9391-d4f3ed66f7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13e45-d48c-4d36-b475-2ce2b8c74c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06eaa1d-5c29-47cb-9655-4de75fbf2f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b77542-f000-416e-9391-d4f3ed66f75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2f0f5e-e1a3-482f-8cb6-09bf2f32627a}" ma:internalName="TaxCatchAll" ma:showField="CatchAllData" ma:web="bfb77542-f000-416e-9391-d4f3ed66f7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6A4CA8-36BB-4658-8D24-DD18F198DA40}">
  <ds:schemaRefs>
    <ds:schemaRef ds:uri="http://schemas.microsoft.com/sharepoint/v3/contenttype/forms"/>
  </ds:schemaRefs>
</ds:datastoreItem>
</file>

<file path=customXml/itemProps2.xml><?xml version="1.0" encoding="utf-8"?>
<ds:datastoreItem xmlns:ds="http://schemas.openxmlformats.org/officeDocument/2006/customXml" ds:itemID="{05ECF6BD-4286-4412-83B5-85911EEDAEAE}">
  <ds:schemaRefs>
    <ds:schemaRef ds:uri="http://schemas.microsoft.com/DataMashup"/>
  </ds:schemaRefs>
</ds:datastoreItem>
</file>

<file path=customXml/itemProps3.xml><?xml version="1.0" encoding="utf-8"?>
<ds:datastoreItem xmlns:ds="http://schemas.openxmlformats.org/officeDocument/2006/customXml" ds:itemID="{7FCAB388-C376-4EBF-B8ED-8C459DE5738D}">
  <ds:schemaRefs>
    <ds:schemaRef ds:uri="http://purl.org/dc/dcmitype/"/>
    <ds:schemaRef ds:uri="http://schemas.microsoft.com/office/2006/documentManagement/types"/>
    <ds:schemaRef ds:uri="http://purl.org/dc/terms/"/>
    <ds:schemaRef ds:uri="http://www.w3.org/XML/1998/namespace"/>
    <ds:schemaRef ds:uri="http://schemas.openxmlformats.org/package/2006/metadata/core-properties"/>
    <ds:schemaRef ds:uri="http://purl.org/dc/elements/1.1/"/>
    <ds:schemaRef ds:uri="http://schemas.microsoft.com/office/2006/metadata/properties"/>
    <ds:schemaRef ds:uri="bfb77542-f000-416e-9391-d4f3ed66f756"/>
    <ds:schemaRef ds:uri="http://schemas.microsoft.com/office/infopath/2007/PartnerControls"/>
    <ds:schemaRef ds:uri="2b313e45-d48c-4d36-b475-2ce2b8c74c54"/>
  </ds:schemaRefs>
</ds:datastoreItem>
</file>

<file path=customXml/itemProps4.xml><?xml version="1.0" encoding="utf-8"?>
<ds:datastoreItem xmlns:ds="http://schemas.openxmlformats.org/officeDocument/2006/customXml" ds:itemID="{CAC75E3F-BBC8-4D7C-9071-9F3D8D5EA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13e45-d48c-4d36-b475-2ce2b8c74c54"/>
    <ds:schemaRef ds:uri="bfb77542-f000-416e-9391-d4f3ed66f7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76</vt:i4>
      </vt:variant>
      <vt:variant>
        <vt:lpstr>Named Ranges</vt:lpstr>
      </vt:variant>
      <vt:variant>
        <vt:i4>67</vt:i4>
      </vt:variant>
    </vt:vector>
  </HeadingPairs>
  <TitlesOfParts>
    <vt:vector size="143" baseType="lpstr">
      <vt:lpstr>Transfer Calculation 2019-20</vt:lpstr>
      <vt:lpstr>Transfer Calculation 2020-21</vt:lpstr>
      <vt:lpstr>Transfer Calculation 2018-19</vt:lpstr>
      <vt:lpstr>Transfer Calculation (1718)</vt:lpstr>
      <vt:lpstr>FNSS SUMMARY</vt:lpstr>
      <vt:lpstr>FNSS Summary Breakdown</vt:lpstr>
      <vt:lpstr>-B1-</vt:lpstr>
      <vt:lpstr>-B2-</vt:lpstr>
      <vt:lpstr>-B3-</vt:lpstr>
      <vt:lpstr>-B4-</vt:lpstr>
      <vt:lpstr>-B5-</vt:lpstr>
      <vt:lpstr>-B6-</vt:lpstr>
      <vt:lpstr>-B7-</vt:lpstr>
      <vt:lpstr>-B8-</vt:lpstr>
      <vt:lpstr>-B9-</vt:lpstr>
      <vt:lpstr>-B10-</vt:lpstr>
      <vt:lpstr>-B11-</vt:lpstr>
      <vt:lpstr>Student Supports </vt:lpstr>
      <vt:lpstr>-C1-</vt:lpstr>
      <vt:lpstr>-C2-</vt:lpstr>
      <vt:lpstr>-C3-</vt:lpstr>
      <vt:lpstr>-C4-</vt:lpstr>
      <vt:lpstr>-C5-</vt:lpstr>
      <vt:lpstr>-C6-</vt:lpstr>
      <vt:lpstr>-C7-</vt:lpstr>
      <vt:lpstr>-C8-</vt:lpstr>
      <vt:lpstr>-C9-</vt:lpstr>
      <vt:lpstr>-C10-</vt:lpstr>
      <vt:lpstr>-C11-</vt:lpstr>
      <vt:lpstr>-C12-</vt:lpstr>
      <vt:lpstr>-C13-</vt:lpstr>
      <vt:lpstr>Menstrual Products</vt:lpstr>
      <vt:lpstr>BASC </vt:lpstr>
      <vt:lpstr>Stabilization</vt:lpstr>
      <vt:lpstr>SLS Tax Base</vt:lpstr>
      <vt:lpstr>School Admin Tax Base</vt:lpstr>
      <vt:lpstr>Minor Capital</vt:lpstr>
      <vt:lpstr>Property Tax</vt:lpstr>
      <vt:lpstr>Other Revenue</vt:lpstr>
      <vt:lpstr>Formula Guarantee</vt:lpstr>
      <vt:lpstr>Pensions</vt:lpstr>
      <vt:lpstr>2. Tuition &lt;22</vt:lpstr>
      <vt:lpstr>2.i. Tuition 22+</vt:lpstr>
      <vt:lpstr>Tuiton Actual Rates</vt:lpstr>
      <vt:lpstr>3. Transportation Summary</vt:lpstr>
      <vt:lpstr>Transportation Calc</vt:lpstr>
      <vt:lpstr>4. Accommodation &lt;18</vt:lpstr>
      <vt:lpstr>4.i. Accommodation 18-21</vt:lpstr>
      <vt:lpstr>VTA Data</vt:lpstr>
      <vt:lpstr>A. 20-21 FN Schools Data</vt:lpstr>
      <vt:lpstr>B. 20-21 Prov&amp;Priv Enrolment&lt;22</vt:lpstr>
      <vt:lpstr>B.1 Accommmodation Data</vt:lpstr>
      <vt:lpstr>C. 20-21 Prov&amp;Priv 22+</vt:lpstr>
      <vt:lpstr>D. 19-20 Enrolment by FN</vt:lpstr>
      <vt:lpstr>E. 17-18 FRAME Budget</vt:lpstr>
      <vt:lpstr>E.2. 18-19 FRAME Budget</vt:lpstr>
      <vt:lpstr>F1. Prov School Area 1617</vt:lpstr>
      <vt:lpstr>E.3. Prov Data</vt:lpstr>
      <vt:lpstr>F2. Prov School Area 1718</vt:lpstr>
      <vt:lpstr>G. 17-18 Prov. Tuition Rates</vt:lpstr>
      <vt:lpstr>G2. 20-21 Prov Tuition Rates</vt:lpstr>
      <vt:lpstr>H. PHP Rates</vt:lpstr>
      <vt:lpstr>I. AAA &amp; AIL</vt:lpstr>
      <vt:lpstr>K. MB Funded Enrolment</vt:lpstr>
      <vt:lpstr>L1. 2016 PROV Enrol Report Sum</vt:lpstr>
      <vt:lpstr>M1. ENROLMENT 2016-FRONTIER</vt:lpstr>
      <vt:lpstr>M2. ENROLMENT 2017-FRONTIER</vt:lpstr>
      <vt:lpstr>N1. ENROLMENT 2016-RTSD</vt:lpstr>
      <vt:lpstr>N2. ENROLMENT 2017-RTSD</vt:lpstr>
      <vt:lpstr>O. FN Profile Data</vt:lpstr>
      <vt:lpstr>Q. MB Special Needs Incidence</vt:lpstr>
      <vt:lpstr>R. Travel Expenses</vt:lpstr>
      <vt:lpstr>S. 21-22 Transp Rates</vt:lpstr>
      <vt:lpstr>T. Ext of FN Language</vt:lpstr>
      <vt:lpstr>Menstrual Product Data</vt:lpstr>
      <vt:lpstr>S. 2018-19 Transp Rates</vt:lpstr>
      <vt:lpstr>'Other Revenue'!_ftn1</vt:lpstr>
      <vt:lpstr>Pensions!_ftn1</vt:lpstr>
      <vt:lpstr>'H. PHP Rates'!_ftnref1</vt:lpstr>
      <vt:lpstr>'Other Revenue'!_ftnref1</vt:lpstr>
      <vt:lpstr>Pensions!_ftnref1</vt:lpstr>
      <vt:lpstr>'H. PHP Rates'!_ftnref2</vt:lpstr>
      <vt:lpstr>'FNSS SUMMARY'!_Toc460573862</vt:lpstr>
      <vt:lpstr>'FNSS SUMMARY'!_Toc460573863</vt:lpstr>
      <vt:lpstr>FRE_Instr_Time</vt:lpstr>
      <vt:lpstr>FudningRate_SmSchperSch</vt:lpstr>
      <vt:lpstr>FundingRate_AAA</vt:lpstr>
      <vt:lpstr>FundingRate_AddSuppSmSch</vt:lpstr>
      <vt:lpstr>FundingRate_AddSuppSmSchools</vt:lpstr>
      <vt:lpstr>FundingRate_AILGr1to12</vt:lpstr>
      <vt:lpstr>FundingRate_AILKindergarten</vt:lpstr>
      <vt:lpstr>FundingRate_AILperCourse</vt:lpstr>
      <vt:lpstr>FundingRate_CounsGuid</vt:lpstr>
      <vt:lpstr>FundingRate_Curricular</vt:lpstr>
      <vt:lpstr>FundingRate_EALperFTE</vt:lpstr>
      <vt:lpstr>FundingRate_EALYr1</vt:lpstr>
      <vt:lpstr>FundingRate_EALYr2</vt:lpstr>
      <vt:lpstr>FundingRate_EALYr3</vt:lpstr>
      <vt:lpstr>FundingRate_EALYr4</vt:lpstr>
      <vt:lpstr>FundingRate_EnhancedAAA</vt:lpstr>
      <vt:lpstr>FundingRate_FREGr4to6</vt:lpstr>
      <vt:lpstr>FundingRate_FREGr7to8</vt:lpstr>
      <vt:lpstr>FundingRate_FREGr9to12</vt:lpstr>
      <vt:lpstr>FundingRate_FREK4toGr3</vt:lpstr>
      <vt:lpstr>FundingRate_IndLanguageCulture</vt:lpstr>
      <vt:lpstr>FundingRate_InfoTech</vt:lpstr>
      <vt:lpstr>FundingRate_InstrSupp</vt:lpstr>
      <vt:lpstr>FundingRate_LibraryServ</vt:lpstr>
      <vt:lpstr>FundingRate_LitNumperFTE</vt:lpstr>
      <vt:lpstr>FundingRate_LitNumSalary</vt:lpstr>
      <vt:lpstr>FundingRate_MinCapSqM</vt:lpstr>
      <vt:lpstr>FundingRate_MinCapSSEEF</vt:lpstr>
      <vt:lpstr>FundingRate_MinCapTEER</vt:lpstr>
      <vt:lpstr>FundingRate_Northern</vt:lpstr>
      <vt:lpstr>FundingRate_Occupancy</vt:lpstr>
      <vt:lpstr>FundingRate_OtherRevProxy</vt:lpstr>
      <vt:lpstr>FundingRate_PhysEd</vt:lpstr>
      <vt:lpstr>FundingRate_ProfDev_Distance1</vt:lpstr>
      <vt:lpstr>FundingRate_ProfDev_Distance2</vt:lpstr>
      <vt:lpstr>FundingRate_ProfDev_perStud</vt:lpstr>
      <vt:lpstr>FundingRate_SmSchElem</vt:lpstr>
      <vt:lpstr>FundingRate_SmSchElemperPupil</vt:lpstr>
      <vt:lpstr>FundingRate_SmSchSec</vt:lpstr>
      <vt:lpstr>FundingRate_SmSchSecperPupil</vt:lpstr>
      <vt:lpstr>FundingRate_Sparsity</vt:lpstr>
      <vt:lpstr>FundingRate_SpecNeeds</vt:lpstr>
      <vt:lpstr>FundingRate_SrYrTech</vt:lpstr>
      <vt:lpstr>FundingRate_StdperGrade</vt:lpstr>
      <vt:lpstr>FundingRate_StudServ</vt:lpstr>
      <vt:lpstr>FundingRate_SusDev</vt:lpstr>
      <vt:lpstr>PensionContrPercent</vt:lpstr>
      <vt:lpstr>'F1. Prov School Area 1617'!Print_Area</vt:lpstr>
      <vt:lpstr>'L1. 2016 PROV Enrol Report Sum'!Print_Area</vt:lpstr>
      <vt:lpstr>'M1. ENROLMENT 2016-FRONTIER'!Print_Area</vt:lpstr>
      <vt:lpstr>'M2. ENROLMENT 2017-FRONTIER'!Print_Area</vt:lpstr>
      <vt:lpstr>'N1. ENROLMENT 2016-RTSD'!Print_Area</vt:lpstr>
      <vt:lpstr>'N2. ENROLMENT 2017-RTSD'!Print_Area</vt:lpstr>
      <vt:lpstr>'A. 20-21 FN Schools Data'!Print_Titles</vt:lpstr>
      <vt:lpstr>'L1. 2016 PROV Enrol Report Sum'!Print_Titles</vt:lpstr>
      <vt:lpstr>'M1. ENROLMENT 2016-FRONTIER'!Print_Titles</vt:lpstr>
      <vt:lpstr>'M2. ENROLMENT 2017-FRONTIER'!Print_Titles</vt:lpstr>
      <vt:lpstr>'N1. ENROLMENT 2016-RTSD'!Print_Titles</vt:lpstr>
      <vt:lpstr>'N2. ENROLMENT 2017-RTSD'!Print_Titles</vt:lpstr>
    </vt:vector>
  </TitlesOfParts>
  <Manager/>
  <Company>AADNC-AANDC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Phoebe Mitton</dc:creator>
  <cp:keywords/>
  <dc:description/>
  <cp:lastModifiedBy>Michael Pereira</cp:lastModifiedBy>
  <cp:revision/>
  <dcterms:created xsi:type="dcterms:W3CDTF">2015-04-22T18:33:05Z</dcterms:created>
  <dcterms:modified xsi:type="dcterms:W3CDTF">2023-06-21T16:24:15Z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0x010100F0E76F91975C3B469A9C9E5B90195820</vt:lpwstr>
  </property>
</Properties>
</file>