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8f1\AC\Temp\"/>
    </mc:Choice>
  </mc:AlternateContent>
  <xr:revisionPtr revIDLastSave="0" documentId="8_{16CD7A00-2B76-40CF-8D6C-FC9F5A7A059A}" xr6:coauthVersionLast="47" xr6:coauthVersionMax="47" xr10:uidLastSave="{00000000-0000-0000-0000-000000000000}"/>
  <bookViews>
    <workbookView xWindow="-60" yWindow="-60" windowWidth="15480" windowHeight="11640" firstSheet="3" activeTab="3" xr2:uid="{00000000-000D-0000-FFFF-FFFF00000000}"/>
  </bookViews>
  <sheets>
    <sheet name="Exhibits &amp; Tables" sheetId="7" r:id="rId1"/>
    <sheet name="Target Segments &amp; Revenue (TN)" sheetId="9" r:id="rId2"/>
    <sheet name="Customer Acquisition (TN)" sheetId="8" r:id="rId3"/>
    <sheet name="Economics (TN)" sheetId="5" r:id="rId4"/>
    <sheet name="Economics SubTables" sheetId="10" r:id="rId5"/>
  </sheets>
  <definedNames>
    <definedName name="Table_3">'Economics SubTables'!$A$67:$E$95</definedName>
    <definedName name="Table1">'Economics SubTables'!$A$2:$E$30</definedName>
    <definedName name="Table2">'Economics SubTables'!$A$34:$E$62</definedName>
    <definedName name="Table3">'Economics SubTables'!$A$66:$E$96</definedName>
    <definedName name="Table4">'Economics SubTables'!$A$99:$E$127</definedName>
    <definedName name="Table5">'Economics SubTables'!$A$131:$E$159</definedName>
    <definedName name="Table6">'Economics SubTables'!$A$163:$E$191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91" i="10" l="1"/>
  <c r="R187" i="10"/>
  <c r="Q187" i="10"/>
  <c r="P187" i="10"/>
  <c r="O187" i="10"/>
  <c r="R155" i="10"/>
  <c r="Q155" i="10"/>
  <c r="P155" i="10"/>
  <c r="O155" i="10"/>
  <c r="R123" i="10"/>
  <c r="Q123" i="10"/>
  <c r="P123" i="10"/>
  <c r="O123" i="10"/>
  <c r="R91" i="10"/>
  <c r="P26" i="10"/>
  <c r="Q26" i="10"/>
  <c r="R26" i="10"/>
  <c r="R58" i="10"/>
  <c r="Q58" i="10"/>
  <c r="P58" i="10"/>
  <c r="P91" i="10"/>
  <c r="O91" i="10"/>
  <c r="O58" i="10"/>
  <c r="O26" i="10"/>
  <c r="L3" i="10"/>
  <c r="O20" i="10"/>
  <c r="L6" i="10"/>
  <c r="L7" i="10"/>
  <c r="L5" i="8"/>
  <c r="L164" i="10"/>
  <c r="L132" i="10"/>
  <c r="L100" i="10"/>
  <c r="L68" i="10"/>
  <c r="L35" i="10"/>
  <c r="D106" i="10"/>
  <c r="F23" i="8"/>
  <c r="I22" i="8"/>
  <c r="K22" i="8"/>
  <c r="I17" i="8"/>
  <c r="B171" i="10"/>
  <c r="B170" i="10"/>
  <c r="G31" i="5"/>
  <c r="G32" i="5"/>
  <c r="C177" i="10"/>
  <c r="C171" i="10"/>
  <c r="D171" i="10"/>
  <c r="E171" i="10"/>
  <c r="C170" i="10"/>
  <c r="D170" i="10"/>
  <c r="E170" i="10"/>
  <c r="C145" i="10"/>
  <c r="C139" i="10"/>
  <c r="D139" i="10"/>
  <c r="E139" i="10"/>
  <c r="B139" i="10"/>
  <c r="C138" i="10"/>
  <c r="D138" i="10"/>
  <c r="E138" i="10"/>
  <c r="B138" i="10"/>
  <c r="C113" i="10"/>
  <c r="C107" i="10"/>
  <c r="D107" i="10"/>
  <c r="E107" i="10"/>
  <c r="B107" i="10"/>
  <c r="C106" i="10"/>
  <c r="E106" i="10"/>
  <c r="B106" i="10"/>
  <c r="C55" i="10"/>
  <c r="D55" i="10"/>
  <c r="E55" i="10"/>
  <c r="B55" i="10"/>
  <c r="C81" i="10"/>
  <c r="C75" i="10"/>
  <c r="D75" i="10"/>
  <c r="E75" i="10"/>
  <c r="B75" i="10"/>
  <c r="C74" i="10"/>
  <c r="D74" i="10"/>
  <c r="E74" i="10"/>
  <c r="B74" i="10"/>
  <c r="E23" i="10"/>
  <c r="D23" i="10"/>
  <c r="C23" i="10"/>
  <c r="B23" i="10"/>
  <c r="B22" i="10"/>
  <c r="C48" i="10"/>
  <c r="B42" i="10"/>
  <c r="C42" i="10"/>
  <c r="D42" i="10"/>
  <c r="E42" i="10"/>
  <c r="C38" i="10"/>
  <c r="C41" i="10" s="1"/>
  <c r="D38" i="10"/>
  <c r="D41" i="10" s="1"/>
  <c r="E38" i="10"/>
  <c r="E41" i="10" s="1"/>
  <c r="B38" i="10"/>
  <c r="B41" i="10" s="1"/>
  <c r="B6" i="10"/>
  <c r="D3" i="10"/>
  <c r="D164" i="10"/>
  <c r="D132" i="10"/>
  <c r="D100" i="10"/>
  <c r="D68" i="10"/>
  <c r="D35" i="10"/>
  <c r="D8" i="9"/>
  <c r="H7" i="9"/>
  <c r="H8" i="9"/>
  <c r="H6" i="9"/>
  <c r="B10" i="10"/>
  <c r="K11" i="8"/>
  <c r="E6" i="10"/>
  <c r="E9" i="10"/>
  <c r="D10" i="10"/>
  <c r="C16" i="10"/>
  <c r="C10" i="10"/>
  <c r="E10" i="10"/>
  <c r="C6" i="10"/>
  <c r="C9" i="10" s="1"/>
  <c r="D6" i="10"/>
  <c r="J24" i="8"/>
  <c r="H24" i="8"/>
  <c r="F24" i="8"/>
  <c r="H13" i="8"/>
  <c r="I24" i="8"/>
  <c r="K24" i="8" s="1"/>
  <c r="E24" i="8"/>
  <c r="G24" i="8"/>
  <c r="C24" i="8"/>
  <c r="E23" i="8"/>
  <c r="D24" i="8"/>
  <c r="G23" i="8"/>
  <c r="I7" i="8"/>
  <c r="I6" i="8"/>
  <c r="H22" i="8"/>
  <c r="H23" i="8"/>
  <c r="H11" i="8"/>
  <c r="J23" i="8"/>
  <c r="J22" i="8"/>
  <c r="G12" i="8"/>
  <c r="G13" i="8"/>
  <c r="G22" i="8"/>
  <c r="G11" i="8"/>
  <c r="H12" i="8"/>
  <c r="F22" i="8"/>
  <c r="F11" i="8"/>
  <c r="E22" i="8"/>
  <c r="E11" i="8"/>
  <c r="D23" i="8"/>
  <c r="C23" i="8"/>
  <c r="C22" i="8"/>
  <c r="F13" i="8"/>
  <c r="E13" i="8"/>
  <c r="E12" i="8"/>
  <c r="F12" i="8"/>
  <c r="D22" i="8"/>
  <c r="J9" i="8"/>
  <c r="J11" i="8"/>
  <c r="J10" i="8"/>
  <c r="J8" i="8"/>
  <c r="J7" i="8"/>
  <c r="J6" i="8"/>
  <c r="I13" i="8"/>
  <c r="I11" i="8"/>
  <c r="I12" i="8" s="1"/>
  <c r="D12" i="8"/>
  <c r="C12" i="8"/>
  <c r="D13" i="8"/>
  <c r="C13" i="8"/>
  <c r="D11" i="8"/>
  <c r="E8" i="9"/>
  <c r="D7" i="9"/>
  <c r="E7" i="9" s="1"/>
  <c r="D16" i="9" s="1"/>
  <c r="D6" i="9"/>
  <c r="E6" i="9" s="1"/>
  <c r="D15" i="9" s="1"/>
  <c r="D7" i="7"/>
  <c r="J18" i="8"/>
  <c r="J19" i="8"/>
  <c r="J21" i="8"/>
  <c r="J17" i="8"/>
  <c r="H18" i="8"/>
  <c r="I18" i="8" s="1"/>
  <c r="H19" i="8"/>
  <c r="I19" i="8" s="1"/>
  <c r="H20" i="8"/>
  <c r="I20" i="8" s="1"/>
  <c r="H21" i="8"/>
  <c r="I21" i="8" s="1"/>
  <c r="H17" i="8"/>
  <c r="H7" i="8"/>
  <c r="H8" i="8"/>
  <c r="I8" i="8" s="1"/>
  <c r="H9" i="8"/>
  <c r="I9" i="8" s="1"/>
  <c r="H10" i="8"/>
  <c r="I10" i="8" s="1"/>
  <c r="H6" i="8"/>
  <c r="C29" i="8"/>
  <c r="C35" i="8"/>
  <c r="D35" i="7"/>
  <c r="D24" i="7"/>
  <c r="D26" i="7"/>
  <c r="F24" i="7"/>
  <c r="F26" i="7"/>
  <c r="E35" i="7"/>
  <c r="E24" i="7"/>
  <c r="E26" i="7"/>
  <c r="E22" i="7"/>
  <c r="E32" i="7"/>
  <c r="F22" i="7"/>
  <c r="D22" i="7"/>
  <c r="D32" i="7"/>
  <c r="D6" i="7"/>
  <c r="F6" i="7"/>
  <c r="F7" i="7"/>
  <c r="D8" i="7"/>
  <c r="E8" i="7"/>
  <c r="F8" i="7"/>
  <c r="E7" i="7"/>
  <c r="E6" i="7"/>
  <c r="L22" i="8"/>
  <c r="L12" i="8"/>
  <c r="L24" i="8"/>
  <c r="F32" i="7"/>
  <c r="I23" i="8" l="1"/>
  <c r="D9" i="10"/>
  <c r="B9" i="10"/>
  <c r="C22" i="10"/>
  <c r="D81" i="10"/>
  <c r="D113" i="10"/>
  <c r="D145" i="10"/>
  <c r="D177" i="10"/>
  <c r="D16" i="10"/>
  <c r="D48" i="10"/>
  <c r="C20" i="8"/>
  <c r="J20" i="8" s="1"/>
  <c r="K20" i="8" s="1"/>
  <c r="C9" i="8"/>
  <c r="J13" i="8"/>
  <c r="K6" i="8"/>
  <c r="K10" i="8"/>
  <c r="K8" i="8"/>
  <c r="K7" i="8"/>
  <c r="K17" i="8"/>
  <c r="K21" i="8"/>
  <c r="K19" i="8"/>
  <c r="K18" i="8"/>
  <c r="K23" i="8" l="1"/>
  <c r="L23" i="8"/>
  <c r="D22" i="10"/>
  <c r="E177" i="10"/>
  <c r="E145" i="10"/>
  <c r="E113" i="10"/>
  <c r="E81" i="10"/>
  <c r="E48" i="10"/>
  <c r="E16" i="10"/>
  <c r="L11" i="8"/>
  <c r="C11" i="8"/>
  <c r="E22" i="10" l="1"/>
  <c r="L13" i="8"/>
  <c r="K13" i="8"/>
  <c r="K9" i="8"/>
  <c r="J12" i="8" l="1"/>
  <c r="K12" i="8" s="1"/>
  <c r="F9" i="9"/>
  <c r="C70" i="10"/>
  <c r="D70" i="10"/>
  <c r="E70" i="10"/>
  <c r="B70" i="10"/>
  <c r="C37" i="10"/>
  <c r="D37" i="10"/>
  <c r="E37" i="10"/>
  <c r="B37" i="10"/>
  <c r="C78" i="10"/>
  <c r="D78" i="10"/>
  <c r="E78" i="10"/>
  <c r="B78" i="10"/>
  <c r="B85" i="10"/>
  <c r="C77" i="10"/>
  <c r="C84" i="10"/>
  <c r="D77" i="10"/>
  <c r="D84" i="10"/>
  <c r="E77" i="10"/>
  <c r="E84" i="10"/>
  <c r="B77" i="10"/>
  <c r="B84" i="10"/>
  <c r="B86" i="10"/>
  <c r="B89" i="10"/>
  <c r="B90" i="10"/>
  <c r="O92" i="10"/>
  <c r="E5" i="10"/>
  <c r="D5" i="10"/>
  <c r="C5" i="10"/>
  <c r="B5" i="10"/>
  <c r="B45" i="10"/>
  <c r="C45" i="10"/>
  <c r="F10" i="9"/>
  <c r="B102" i="10"/>
  <c r="E102" i="10"/>
  <c r="D102" i="10"/>
  <c r="C102" i="10"/>
  <c r="B134" i="10"/>
  <c r="E134" i="10"/>
  <c r="D134" i="10"/>
  <c r="C134" i="10"/>
  <c r="B166" i="10"/>
  <c r="E166" i="10"/>
  <c r="D166" i="10"/>
  <c r="C166" i="10"/>
  <c r="D109" i="10"/>
  <c r="B12" i="10"/>
  <c r="B19" i="10"/>
  <c r="B92" i="10"/>
  <c r="B93" i="10"/>
  <c r="C85" i="10"/>
  <c r="B110" i="10"/>
  <c r="B117" i="10"/>
  <c r="B109" i="10"/>
  <c r="B116" i="10"/>
  <c r="B118" i="10"/>
  <c r="B121" i="10"/>
  <c r="B122" i="10"/>
  <c r="O124" i="10"/>
  <c r="E110" i="10"/>
  <c r="E109" i="10"/>
  <c r="E116" i="10"/>
  <c r="D110" i="10"/>
  <c r="D116" i="10"/>
  <c r="C110" i="10"/>
  <c r="C109" i="10"/>
  <c r="C116" i="10"/>
  <c r="C117" i="10"/>
  <c r="B142" i="10"/>
  <c r="B149" i="10"/>
  <c r="B141" i="10"/>
  <c r="B148" i="10"/>
  <c r="B150" i="10"/>
  <c r="B153" i="10"/>
  <c r="B154" i="10"/>
  <c r="O156" i="10"/>
  <c r="E142" i="10"/>
  <c r="E141" i="10"/>
  <c r="E148" i="10"/>
  <c r="D142" i="10"/>
  <c r="D141" i="10"/>
  <c r="D148" i="10"/>
  <c r="C142" i="10"/>
  <c r="C141" i="10"/>
  <c r="C148" i="10"/>
  <c r="C149" i="10"/>
  <c r="B174" i="10"/>
  <c r="B181" i="10"/>
  <c r="B173" i="10"/>
  <c r="E174" i="10"/>
  <c r="E173" i="10"/>
  <c r="E180" i="10"/>
  <c r="D174" i="10"/>
  <c r="D173" i="10"/>
  <c r="D180" i="10"/>
  <c r="C174" i="10"/>
  <c r="C173" i="10"/>
  <c r="C180" i="10"/>
  <c r="C181" i="10"/>
  <c r="C13" i="10"/>
  <c r="C12" i="10"/>
  <c r="E13" i="10"/>
  <c r="E12" i="10"/>
  <c r="D13" i="10"/>
  <c r="D12" i="10"/>
  <c r="B13" i="10"/>
  <c r="E44" i="10"/>
  <c r="E51" i="10"/>
  <c r="E45" i="10"/>
  <c r="D44" i="10"/>
  <c r="D51" i="10"/>
  <c r="D45" i="10"/>
  <c r="C44" i="10"/>
  <c r="C51" i="10"/>
  <c r="B52" i="10"/>
  <c r="B44" i="10"/>
  <c r="B51" i="10"/>
  <c r="B53" i="10"/>
  <c r="B56" i="10"/>
  <c r="B57" i="10"/>
  <c r="O59" i="10"/>
  <c r="C52" i="10"/>
  <c r="B180" i="10"/>
  <c r="B182" i="10"/>
  <c r="B185" i="10"/>
  <c r="B186" i="10"/>
  <c r="O188" i="10"/>
  <c r="B20" i="10"/>
  <c r="D19" i="10"/>
  <c r="E19" i="10"/>
  <c r="C19" i="10"/>
  <c r="C20" i="10"/>
  <c r="C188" i="10"/>
  <c r="B190" i="10"/>
  <c r="C189" i="10"/>
  <c r="B188" i="10"/>
  <c r="B189" i="10"/>
  <c r="C156" i="10"/>
  <c r="B158" i="10"/>
  <c r="C157" i="10"/>
  <c r="B156" i="10"/>
  <c r="B157" i="10"/>
  <c r="C124" i="10"/>
  <c r="B126" i="10"/>
  <c r="C125" i="10"/>
  <c r="B124" i="10"/>
  <c r="B125" i="10"/>
  <c r="C86" i="10"/>
  <c r="C89" i="10"/>
  <c r="C90" i="10"/>
  <c r="P92" i="10"/>
  <c r="C92" i="10"/>
  <c r="B94" i="10"/>
  <c r="C93" i="10"/>
  <c r="C59" i="10"/>
  <c r="B61" i="10"/>
  <c r="C60" i="10"/>
  <c r="B59" i="10"/>
  <c r="B60" i="10"/>
  <c r="D181" i="10"/>
  <c r="C182" i="10"/>
  <c r="C185" i="10"/>
  <c r="C186" i="10"/>
  <c r="P188" i="10"/>
  <c r="D182" i="10"/>
  <c r="D185" i="10"/>
  <c r="D186" i="10"/>
  <c r="Q188" i="10"/>
  <c r="E149" i="10"/>
  <c r="D149" i="10"/>
  <c r="C150" i="10"/>
  <c r="C153" i="10"/>
  <c r="C154" i="10"/>
  <c r="P156" i="10"/>
  <c r="D150" i="10"/>
  <c r="D153" i="10"/>
  <c r="D154" i="10"/>
  <c r="Q156" i="10"/>
  <c r="E150" i="10"/>
  <c r="E153" i="10"/>
  <c r="E154" i="10"/>
  <c r="R156" i="10"/>
  <c r="E117" i="10"/>
  <c r="D117" i="10"/>
  <c r="C118" i="10"/>
  <c r="C121" i="10"/>
  <c r="C122" i="10"/>
  <c r="P124" i="10"/>
  <c r="D118" i="10"/>
  <c r="D121" i="10"/>
  <c r="D122" i="10"/>
  <c r="Q124" i="10"/>
  <c r="E118" i="10"/>
  <c r="E121" i="10"/>
  <c r="E122" i="10"/>
  <c r="R124" i="10"/>
  <c r="D85" i="10"/>
  <c r="C53" i="10"/>
  <c r="C56" i="10"/>
  <c r="C57" i="10"/>
  <c r="P59" i="10"/>
  <c r="C28" i="10"/>
  <c r="C27" i="10"/>
  <c r="B29" i="10" s="1"/>
  <c r="E52" i="10"/>
  <c r="D52" i="10"/>
  <c r="D20" i="10"/>
  <c r="B28" i="10"/>
  <c r="B27" i="10"/>
  <c r="B21" i="10"/>
  <c r="E181" i="10"/>
  <c r="E182" i="10"/>
  <c r="E185" i="10"/>
  <c r="E186" i="10"/>
  <c r="R188" i="10"/>
  <c r="E85" i="10"/>
  <c r="C21" i="10"/>
  <c r="E20" i="10"/>
  <c r="D156" i="10"/>
  <c r="D157" i="10"/>
  <c r="B159" i="10"/>
  <c r="E156" i="10"/>
  <c r="E157" i="10"/>
  <c r="D188" i="10"/>
  <c r="D189" i="10"/>
  <c r="B191" i="10"/>
  <c r="E188" i="10"/>
  <c r="E189" i="10"/>
  <c r="D86" i="10"/>
  <c r="D92" i="10"/>
  <c r="D93" i="10"/>
  <c r="B95" i="10" s="1"/>
  <c r="E86" i="10"/>
  <c r="E89" i="10"/>
  <c r="E92" i="10"/>
  <c r="E93" i="10"/>
  <c r="D124" i="10"/>
  <c r="D125" i="10"/>
  <c r="B127" i="10"/>
  <c r="E124" i="10"/>
  <c r="E125" i="10"/>
  <c r="D53" i="10"/>
  <c r="D56" i="10"/>
  <c r="D59" i="10"/>
  <c r="D60" i="10"/>
  <c r="B62" i="10"/>
  <c r="E53" i="10"/>
  <c r="E56" i="10"/>
  <c r="E59" i="10"/>
  <c r="E60" i="10"/>
  <c r="D21" i="10"/>
  <c r="D28" i="10"/>
  <c r="B30" i="10"/>
  <c r="D57" i="10"/>
  <c r="D27" i="10"/>
  <c r="E57" i="10"/>
  <c r="R59" i="10"/>
  <c r="Q59" i="10"/>
  <c r="AG42" i="5" a="1"/>
  <c r="AG42" i="5"/>
  <c r="D89" i="10"/>
  <c r="E21" i="10"/>
  <c r="C24" i="10"/>
  <c r="B24" i="10"/>
  <c r="D24" i="10"/>
  <c r="E28" i="10"/>
  <c r="E27" i="10"/>
  <c r="D90" i="10"/>
  <c r="B25" i="10"/>
  <c r="O27" i="10"/>
  <c r="E24" i="10"/>
  <c r="E90" i="10"/>
  <c r="R92" i="10"/>
  <c r="Q92" i="10"/>
  <c r="C25" i="10"/>
  <c r="P27" i="10"/>
  <c r="D25" i="10"/>
  <c r="E25" i="10"/>
  <c r="R27" i="10"/>
  <c r="Q27" i="10"/>
  <c r="AA3" i="5" a="1"/>
  <c r="E16" i="5"/>
  <c r="AA42" i="5" a="1"/>
  <c r="AA42" i="5"/>
  <c r="AA3" i="5"/>
  <c r="D32" i="5"/>
  <c r="E32" i="5"/>
  <c r="F32" i="5"/>
  <c r="D31" i="5"/>
  <c r="E31" i="5"/>
  <c r="F31" i="5"/>
  <c r="C31" i="5"/>
  <c r="C32" i="5"/>
  <c r="C33" i="5"/>
  <c r="C34" i="5"/>
  <c r="C24" i="5"/>
  <c r="D24" i="5"/>
  <c r="E24" i="5"/>
  <c r="F24" i="5"/>
  <c r="C25" i="5"/>
  <c r="D25" i="5"/>
  <c r="E25" i="5"/>
  <c r="F25" i="5"/>
  <c r="C26" i="5"/>
  <c r="D26" i="5"/>
  <c r="E26" i="5"/>
  <c r="F26" i="5"/>
  <c r="C27" i="5"/>
  <c r="D27" i="5"/>
  <c r="E27" i="5"/>
  <c r="F27" i="5"/>
  <c r="C28" i="5"/>
  <c r="D28" i="5"/>
  <c r="E28" i="5"/>
  <c r="F28" i="5"/>
  <c r="C29" i="5"/>
  <c r="D29" i="5"/>
  <c r="E29" i="5"/>
  <c r="F29" i="5"/>
  <c r="D23" i="5"/>
  <c r="E23" i="5"/>
  <c r="F23" i="5"/>
  <c r="C23" i="5"/>
  <c r="C20" i="5"/>
  <c r="D20" i="5"/>
  <c r="E20" i="5"/>
  <c r="F20" i="5"/>
  <c r="D19" i="5"/>
  <c r="E19" i="5"/>
  <c r="F19" i="5"/>
  <c r="C19" i="5"/>
  <c r="D17" i="5"/>
  <c r="E17" i="5"/>
  <c r="F17" i="5"/>
  <c r="D16" i="5"/>
  <c r="F16" i="5"/>
  <c r="C16" i="5"/>
  <c r="C17" i="5"/>
  <c r="D14" i="5"/>
  <c r="E14" i="5"/>
  <c r="F14" i="5"/>
  <c r="C14" i="5"/>
  <c r="D13" i="5"/>
  <c r="E13" i="5"/>
  <c r="F13" i="5"/>
  <c r="C13" i="5"/>
  <c r="D11" i="5"/>
  <c r="E11" i="5"/>
  <c r="F11" i="5"/>
  <c r="D10" i="5"/>
  <c r="E10" i="5"/>
  <c r="F10" i="5"/>
  <c r="C10" i="5"/>
  <c r="C11" i="5"/>
  <c r="D9" i="5"/>
  <c r="E9" i="5"/>
  <c r="F9" i="5"/>
  <c r="C9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<sst xmlns="http://schemas.openxmlformats.org/spreadsheetml/2006/main" count="357" uniqueCount="153">
  <si>
    <t>Exhibits</t>
  </si>
  <si>
    <t>Table A - Net Revenue Impact Estimates, 2007</t>
  </si>
  <si>
    <t>Revenue per Cardholder</t>
  </si>
  <si>
    <t>Segment</t>
  </si>
  <si>
    <r>
      <t>Annual Income (</t>
    </r>
    <r>
      <rPr>
        <b/>
        <sz val="9"/>
        <color indexed="8"/>
        <rFont val="Arial"/>
        <family val="2"/>
      </rPr>
      <t>€</t>
    </r>
    <r>
      <rPr>
        <b/>
        <sz val="8.1"/>
        <color indexed="8"/>
        <rFont val="Arial"/>
        <family val="2"/>
      </rPr>
      <t>)</t>
    </r>
  </si>
  <si>
    <r>
      <t>Interest Revenue (</t>
    </r>
    <r>
      <rPr>
        <b/>
        <sz val="9"/>
        <color indexed="8"/>
        <rFont val="Arial"/>
        <family val="2"/>
      </rPr>
      <t>€</t>
    </r>
    <r>
      <rPr>
        <b/>
        <sz val="8.1"/>
        <color indexed="8"/>
        <rFont val="Arial"/>
        <family val="2"/>
      </rPr>
      <t>)</t>
    </r>
  </si>
  <si>
    <r>
      <t>Other Revenue (</t>
    </r>
    <r>
      <rPr>
        <b/>
        <sz val="9"/>
        <color indexed="8"/>
        <rFont val="Arial"/>
        <family val="2"/>
      </rPr>
      <t>€</t>
    </r>
    <r>
      <rPr>
        <b/>
        <sz val="8.1"/>
        <color indexed="8"/>
        <rFont val="Arial"/>
        <family val="2"/>
      </rPr>
      <t>)</t>
    </r>
  </si>
  <si>
    <r>
      <t>Annual Revenue (</t>
    </r>
    <r>
      <rPr>
        <b/>
        <sz val="9"/>
        <color indexed="8"/>
        <rFont val="Arial"/>
        <family val="2"/>
      </rPr>
      <t>€)</t>
    </r>
  </si>
  <si>
    <t>Middle Class</t>
  </si>
  <si>
    <t>3,000-4,500</t>
  </si>
  <si>
    <t>Affluent</t>
  </si>
  <si>
    <t>4,500-6,000</t>
  </si>
  <si>
    <t>Most Affluent</t>
  </si>
  <si>
    <t>6,000+</t>
  </si>
  <si>
    <t>Table B - Customer Acquisition Estimates, Year 1 (All Customers)</t>
  </si>
  <si>
    <r>
      <t xml:space="preserve"> Unit Cost (</t>
    </r>
    <r>
      <rPr>
        <b/>
        <sz val="9"/>
        <color indexed="8"/>
        <rFont val="Arial"/>
        <family val="2"/>
      </rPr>
      <t>€)</t>
    </r>
  </si>
  <si>
    <t>Prospects Reached</t>
  </si>
  <si>
    <t>Response Rate</t>
  </si>
  <si>
    <t>Qualification Rate</t>
  </si>
  <si>
    <t>Direct Mail</t>
  </si>
  <si>
    <t>Take One</t>
  </si>
  <si>
    <t>FSIs</t>
  </si>
  <si>
    <t>Direct Sales</t>
  </si>
  <si>
    <t>€3000/rep</t>
  </si>
  <si>
    <t>Branch Cross-Sell</t>
  </si>
  <si>
    <t>Exhibit 1 - Alpen Bank Romanian Consumer Segment Performance (€ millions)</t>
  </si>
  <si>
    <t>Net revenue</t>
  </si>
  <si>
    <t>Fees/commissions/insurance</t>
  </si>
  <si>
    <t>Customer net revenue</t>
  </si>
  <si>
    <t>Net credit losses</t>
  </si>
  <si>
    <t>Credit collection</t>
  </si>
  <si>
    <t>Total credit cycle</t>
  </si>
  <si>
    <t>Delivery expense</t>
  </si>
  <si>
    <t>Other revenue/(expense)</t>
  </si>
  <si>
    <t>Earnings before tax</t>
  </si>
  <si>
    <r>
      <t>Customer liabilities (</t>
    </r>
    <r>
      <rPr>
        <sz val="9"/>
        <rFont val="Arial"/>
        <family val="2"/>
      </rPr>
      <t>€</t>
    </r>
    <r>
      <rPr>
        <sz val="8.1"/>
        <rFont val="Verdana"/>
        <family val="2"/>
      </rPr>
      <t>M)</t>
    </r>
  </si>
  <si>
    <r>
      <t>Customer assets (</t>
    </r>
    <r>
      <rPr>
        <sz val="9"/>
        <rFont val="Arial"/>
        <family val="2"/>
      </rPr>
      <t>€</t>
    </r>
    <r>
      <rPr>
        <sz val="8.1"/>
        <rFont val="Verdana"/>
        <family val="2"/>
      </rPr>
      <t>M)</t>
    </r>
  </si>
  <si>
    <r>
      <t>Average total assets (</t>
    </r>
    <r>
      <rPr>
        <sz val="9"/>
        <rFont val="Arial"/>
        <family val="2"/>
      </rPr>
      <t>€</t>
    </r>
    <r>
      <rPr>
        <sz val="8.1"/>
        <rFont val="Verdana"/>
        <family val="2"/>
      </rPr>
      <t>M)</t>
    </r>
  </si>
  <si>
    <t>Full-time equivalent employees</t>
  </si>
  <si>
    <t>Number of accounts (000)</t>
  </si>
  <si>
    <t>Number of customers (000)</t>
  </si>
  <si>
    <t>Number of branches</t>
  </si>
  <si>
    <t>Exhibit 4 - Credit Card Issuances, Romania (2006)_x000D_</t>
  </si>
  <si>
    <t>Credit Cards</t>
  </si>
  <si>
    <t>Credit Card Utilization</t>
  </si>
  <si>
    <t>Romanian Commercial Bank (BCR)</t>
  </si>
  <si>
    <t>Raifeissen Bank</t>
  </si>
  <si>
    <t>Bancpost</t>
  </si>
  <si>
    <t>Romanian Bank for Development (BRD)</t>
  </si>
  <si>
    <t>Estimated total credit cards, Romania</t>
  </si>
  <si>
    <t>Exhibit 5 - Distribution of Annual Income, Romania (2005)</t>
  </si>
  <si>
    <r>
      <t>Annual Income (</t>
    </r>
    <r>
      <rPr>
        <b/>
        <sz val="9"/>
        <color indexed="8"/>
        <rFont val="Arial"/>
        <family val="2"/>
      </rPr>
      <t>€</t>
    </r>
    <r>
      <rPr>
        <b/>
        <sz val="8.1"/>
        <color indexed="8"/>
        <rFont val="Verdana"/>
        <family val="2"/>
      </rPr>
      <t>)</t>
    </r>
  </si>
  <si>
    <t>% of Population</t>
  </si>
  <si>
    <t>&lt;1,500</t>
  </si>
  <si>
    <t>1,500 - 2,000</t>
  </si>
  <si>
    <t>2,000 - 3,000</t>
  </si>
  <si>
    <t>3,000 - 4,500</t>
  </si>
  <si>
    <t>4,500 - 6,000</t>
  </si>
  <si>
    <t>6,000 - 7,000</t>
  </si>
  <si>
    <t>7,000 - 10,000</t>
  </si>
  <si>
    <t>10,000 - 15,000</t>
  </si>
  <si>
    <t>&gt;15,000</t>
  </si>
  <si>
    <t>Target Segments &amp; Revenue (TN)</t>
  </si>
  <si>
    <t>Table 1</t>
  </si>
  <si>
    <t>Romanian Market</t>
  </si>
  <si>
    <t>% of Potential Cardholders</t>
  </si>
  <si>
    <t>Potential Cardholders (MM)</t>
  </si>
  <si>
    <t>3000-4500</t>
  </si>
  <si>
    <t>4500-6000</t>
  </si>
  <si>
    <t>6000+</t>
  </si>
  <si>
    <r>
      <rPr>
        <b/>
        <sz val="9"/>
        <color rgb="FF000000"/>
        <rFont val="Verdana"/>
      </rPr>
      <t xml:space="preserve">Annual Revenue per Cardholder </t>
    </r>
    <r>
      <rPr>
        <b/>
        <i/>
        <sz val="9"/>
        <color rgb="FF000000"/>
        <rFont val="Verdana"/>
      </rPr>
      <t>(all customers)</t>
    </r>
  </si>
  <si>
    <t>Annual Revenue per Cardholder (Affluent + Most Affluent)</t>
  </si>
  <si>
    <t>Number of Adults in Romania:</t>
  </si>
  <si>
    <t>Potential Card Holders (All Customers):</t>
  </si>
  <si>
    <t>Potential Card Holders (Affluent Only):</t>
  </si>
  <si>
    <t>Customer Acquisition (TN)</t>
  </si>
  <si>
    <t>Tables 2A, 2B</t>
  </si>
  <si>
    <t>Customer Acquisition Costs (All Customers)</t>
  </si>
  <si>
    <t xml:space="preserve"> Unit Cost (€)</t>
  </si>
  <si>
    <t>Qualif. Rate</t>
  </si>
  <si>
    <t>Conversion Rate</t>
  </si>
  <si>
    <t>Effective Hit Rate</t>
  </si>
  <si>
    <t>Customers</t>
  </si>
  <si>
    <t xml:space="preserve"> Total Cost (€M)</t>
  </si>
  <si>
    <t>Cost per Customer</t>
  </si>
  <si>
    <t>Total, All Channels</t>
  </si>
  <si>
    <t>No Direct Mail</t>
  </si>
  <si>
    <t>Top 3 Channels (Direct Mail, FSIs, Branch Cross-Sell)</t>
  </si>
  <si>
    <t>Customer Acquisition Costs (Premium Only)</t>
  </si>
  <si>
    <t>Total</t>
  </si>
  <si>
    <t>Top 3 Channels (Direct Mail, Direct Sales, Branch Cross-Sell)</t>
  </si>
  <si>
    <t>Direct Sales calculation</t>
  </si>
  <si>
    <t>No of reps</t>
  </si>
  <si>
    <t>Calls per day</t>
  </si>
  <si>
    <t>Days</t>
  </si>
  <si>
    <t>Months</t>
  </si>
  <si>
    <t>Customers reached</t>
  </si>
  <si>
    <t>Cost per rep (€)</t>
  </si>
  <si>
    <t>Annual cost (€)</t>
  </si>
  <si>
    <t>Economics (TN)</t>
  </si>
  <si>
    <t>Table 3B</t>
  </si>
  <si>
    <t>Assumptions</t>
  </si>
  <si>
    <t>Toggles</t>
  </si>
  <si>
    <t>Customer Targeting</t>
  </si>
  <si>
    <t>Affluent Only</t>
  </si>
  <si>
    <t>Acquisition</t>
  </si>
  <si>
    <t>All Channels</t>
  </si>
  <si>
    <t>Number of Customers</t>
  </si>
  <si>
    <t xml:space="preserve">Per Customer </t>
  </si>
  <si>
    <t>Revenue</t>
  </si>
  <si>
    <t>Acquisition Cost</t>
  </si>
  <si>
    <t>Direct Cost</t>
  </si>
  <si>
    <t>Costs: New Customer</t>
  </si>
  <si>
    <t>Costs: Existing Customer</t>
  </si>
  <si>
    <t>Contribution: New Customer</t>
  </si>
  <si>
    <t>Contribution: Existing Customer</t>
  </si>
  <si>
    <t>New Customers</t>
  </si>
  <si>
    <t>Existing Customers</t>
  </si>
  <si>
    <t>Credit Card Profitability</t>
  </si>
  <si>
    <t>New Customer</t>
  </si>
  <si>
    <t>Existing Customer</t>
  </si>
  <si>
    <t>Total Contribution</t>
  </si>
  <si>
    <t>Fixed Cost Infrastructure</t>
  </si>
  <si>
    <t>Advertising Expense</t>
  </si>
  <si>
    <t>Profit (Loss)</t>
  </si>
  <si>
    <t>Cumulative Profit (Loss)</t>
  </si>
  <si>
    <t>Breakeven (customers)</t>
  </si>
  <si>
    <t>5M Profit (customers)</t>
  </si>
  <si>
    <t xml:space="preserve">Time required breakeven (months) </t>
  </si>
  <si>
    <t xml:space="preserve">Time required profit (months) </t>
  </si>
  <si>
    <t>Inner If for All Customers</t>
  </si>
  <si>
    <t>Inner If for Affluent Only</t>
  </si>
  <si>
    <t>All Customers</t>
  </si>
  <si>
    <t>Top 3 Channels</t>
  </si>
  <si>
    <t>All Customers - All Channels</t>
  </si>
  <si>
    <t>Months to acquire 50K customers</t>
  </si>
  <si>
    <t>No months (vary)</t>
  </si>
  <si>
    <t>Costumer growth rate per year</t>
  </si>
  <si>
    <t>Total Customers</t>
  </si>
  <si>
    <t>Profit 50k</t>
  </si>
  <si>
    <t>Profit 100k</t>
  </si>
  <si>
    <t>Profit 150k</t>
  </si>
  <si>
    <t>Profit 200k</t>
  </si>
  <si>
    <t>No Costumers</t>
  </si>
  <si>
    <t>No months</t>
  </si>
  <si>
    <t>the only value in the right range is the second one</t>
  </si>
  <si>
    <t>Cumulative Profit</t>
  </si>
  <si>
    <t>the only value in the right range is the third one</t>
  </si>
  <si>
    <t>All Customers - No Direct Mail</t>
  </si>
  <si>
    <t>All Customers - Top 3 Channels (Direct Mail, FSIs, Branch Cross-Sell)</t>
  </si>
  <si>
    <t>Affluent Only - All Channels</t>
  </si>
  <si>
    <t>Affluent Only - No Direct Mail</t>
  </si>
  <si>
    <t>Affluent Only - Top 3 Channels (Direct Mail, Direct Sales, Branch Cross-Sell)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</si>
</sst>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(* #,##0.00_);_(* \(#,##0.00\);_(* &quot;-&quot;??_);_(@_)"/>
    <numFmt numFmtId="165" formatCode="_(* #,##0.0_);_(* \(#,##0.0\);_(* &quot;-&quot;??_);_(@_)"/>
    <numFmt numFmtId="166" formatCode="_(* #,##0_);_(* \(#,##0\);_(* &quot;-&quot;??_);_(@_)"/>
    <numFmt numFmtId="167" formatCode="0.0%"/>
    <numFmt numFmtId="168" formatCode="[$€-2]\ #,##0.00"/>
    <numFmt numFmtId="169" formatCode="[$€-2]\ #,##0.00_);\([$€-2]\ #,##0.00\)"/>
    <numFmt numFmtId="170" formatCode="#,##0.00\ &quot;€&quot;"/>
  </numFmts>
  <fonts count="27">
    <font>
      <sz val="10"/>
      <name val="Arial"/>
    </font>
    <font>
      <sz val="10"/>
      <name val="Arial"/>
      <family val="2"/>
    </font>
    <font>
      <sz val="9"/>
      <name val="Arial"/>
      <family val="2"/>
    </font>
    <font>
      <b/>
      <sz val="9"/>
      <color indexed="8"/>
      <name val="Arial"/>
      <family val="2"/>
    </font>
    <font>
      <sz val="9"/>
      <name val="Verdana"/>
      <family val="2"/>
    </font>
    <font>
      <b/>
      <sz val="9"/>
      <color indexed="9"/>
      <name val="Verdana"/>
      <family val="2"/>
    </font>
    <font>
      <b/>
      <sz val="9"/>
      <name val="Verdana"/>
      <family val="2"/>
    </font>
    <font>
      <b/>
      <sz val="9"/>
      <color indexed="8"/>
      <name val="Verdana"/>
      <family val="2"/>
    </font>
    <font>
      <b/>
      <sz val="10"/>
      <color indexed="9"/>
      <name val="Verdana"/>
      <family val="2"/>
    </font>
    <font>
      <sz val="8"/>
      <name val="Arial"/>
      <family val="2"/>
    </font>
    <font>
      <b/>
      <i/>
      <sz val="9"/>
      <name val="Verdana"/>
      <family val="2"/>
    </font>
    <font>
      <b/>
      <u/>
      <sz val="9"/>
      <name val="Verdana"/>
      <family val="2"/>
    </font>
    <font>
      <sz val="9"/>
      <color indexed="8"/>
      <name val="Verdana"/>
      <family val="2"/>
    </font>
    <font>
      <b/>
      <sz val="8.1"/>
      <color indexed="8"/>
      <name val="Arial"/>
      <family val="2"/>
    </font>
    <font>
      <sz val="8.1"/>
      <name val="Verdana"/>
      <family val="2"/>
    </font>
    <font>
      <b/>
      <sz val="9"/>
      <color indexed="12"/>
      <name val="Verdana"/>
      <family val="2"/>
    </font>
    <font>
      <b/>
      <sz val="9"/>
      <color indexed="9"/>
      <name val="Arial"/>
      <family val="2"/>
    </font>
    <font>
      <sz val="9"/>
      <color indexed="9"/>
      <name val="Verdana"/>
      <family val="2"/>
    </font>
    <font>
      <b/>
      <sz val="8.1"/>
      <color indexed="8"/>
      <name val="Verdana"/>
      <family val="2"/>
    </font>
    <font>
      <sz val="11"/>
      <color rgb="FF444444"/>
      <name val="Calibri"/>
      <family val="2"/>
      <charset val="1"/>
    </font>
    <font>
      <b/>
      <sz val="9"/>
      <color rgb="FF000000"/>
      <name val="Verdana"/>
    </font>
    <font>
      <b/>
      <sz val="9"/>
      <color rgb="FF000000"/>
      <name val="Verdana"/>
      <family val="2"/>
    </font>
    <font>
      <b/>
      <sz val="11"/>
      <color rgb="FF444444"/>
      <name val="Calibri"/>
      <family val="2"/>
      <charset val="1"/>
    </font>
    <font>
      <sz val="9"/>
      <color rgb="FF000000"/>
      <name val="Verdana"/>
      <family val="2"/>
    </font>
    <font>
      <b/>
      <sz val="9"/>
      <color rgb="FF0000FF"/>
      <name val="Verdana"/>
      <family val="2"/>
    </font>
    <font>
      <b/>
      <sz val="9"/>
      <color rgb="FF000000"/>
      <name val="Arial"/>
      <family val="2"/>
    </font>
    <font>
      <b/>
      <i/>
      <sz val="9"/>
      <color rgb="FF000000"/>
      <name val="Verdana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3D3D3"/>
        <bgColor rgb="FF000000"/>
      </patternFill>
    </fill>
    <fill>
      <patternFill patternType="solid">
        <fgColor rgb="FFFFFF99"/>
        <bgColor rgb="FF000000"/>
      </patternFill>
    </fill>
  </fills>
  <borders count="29">
    <border>
      <left/>
      <right/>
      <top/>
      <bottom/>
      <diagonal/>
    </border>
    <border>
      <left/>
      <right style="thick">
        <color indexed="9"/>
      </right>
      <top style="thick">
        <color indexed="9"/>
      </top>
      <bottom style="thick">
        <color indexed="9"/>
      </bottom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  <border>
      <left style="thick">
        <color indexed="9"/>
      </left>
      <right/>
      <top style="thick">
        <color indexed="9"/>
      </top>
      <bottom style="thick">
        <color indexed="9"/>
      </bottom>
      <diagonal/>
    </border>
    <border>
      <left style="thick">
        <color indexed="9"/>
      </left>
      <right style="thick">
        <color indexed="9"/>
      </right>
      <top/>
      <bottom style="thick">
        <color indexed="9"/>
      </bottom>
      <diagonal/>
    </border>
    <border>
      <left style="thick">
        <color indexed="9"/>
      </left>
      <right/>
      <top/>
      <bottom style="thick">
        <color indexed="9"/>
      </bottom>
      <diagonal/>
    </border>
    <border>
      <left/>
      <right style="thick">
        <color indexed="9"/>
      </right>
      <top/>
      <bottom style="thick">
        <color indexed="9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indexed="9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/>
      <top style="thick">
        <color indexed="9"/>
      </top>
      <bottom style="thick">
        <color indexed="9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7">
    <xf numFmtId="0" fontId="0" fillId="0" borderId="0" xfId="0"/>
    <xf numFmtId="0" fontId="3" fillId="2" borderId="1" xfId="0" applyFont="1" applyFill="1" applyBorder="1" applyAlignment="1">
      <alignment horizontal="centerContinuous" vertical="center" wrapText="1"/>
    </xf>
    <xf numFmtId="0" fontId="3" fillId="2" borderId="2" xfId="0" applyFont="1" applyFill="1" applyBorder="1" applyAlignment="1">
      <alignment horizontal="centerContinuous" vertical="center" wrapText="1"/>
    </xf>
    <xf numFmtId="0" fontId="3" fillId="2" borderId="3" xfId="0" applyFont="1" applyFill="1" applyBorder="1" applyAlignment="1">
      <alignment horizontal="centerContinuous" vertical="center" wrapText="1"/>
    </xf>
    <xf numFmtId="0" fontId="5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horizontal="centerContinuous" vertical="center" wrapText="1"/>
    </xf>
    <xf numFmtId="0" fontId="7" fillId="2" borderId="2" xfId="0" applyFont="1" applyFill="1" applyBorder="1" applyAlignment="1">
      <alignment horizontal="centerContinuous" vertical="center" wrapText="1"/>
    </xf>
    <xf numFmtId="0" fontId="7" fillId="2" borderId="3" xfId="0" applyFont="1" applyFill="1" applyBorder="1" applyAlignment="1">
      <alignment horizontal="centerContinuous" vertical="center" wrapText="1"/>
    </xf>
    <xf numFmtId="166" fontId="4" fillId="0" borderId="0" xfId="1" applyNumberFormat="1" applyFont="1" applyAlignment="1">
      <alignment vertical="center"/>
    </xf>
    <xf numFmtId="0" fontId="8" fillId="3" borderId="0" xfId="0" applyFont="1" applyFill="1" applyAlignment="1">
      <alignment vertical="center"/>
    </xf>
    <xf numFmtId="9" fontId="4" fillId="0" borderId="0" xfId="2" applyFont="1" applyAlignment="1">
      <alignment vertical="center"/>
    </xf>
    <xf numFmtId="166" fontId="4" fillId="0" borderId="0" xfId="0" applyNumberFormat="1" applyFont="1" applyAlignment="1">
      <alignment vertical="center"/>
    </xf>
    <xf numFmtId="164" fontId="4" fillId="0" borderId="0" xfId="1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/>
    <xf numFmtId="164" fontId="4" fillId="0" borderId="0" xfId="0" applyNumberFormat="1" applyFont="1" applyAlignment="1">
      <alignment vertical="center"/>
    </xf>
    <xf numFmtId="167" fontId="4" fillId="0" borderId="0" xfId="2" applyNumberFormat="1" applyFont="1" applyAlignment="1">
      <alignment vertical="center"/>
    </xf>
    <xf numFmtId="0" fontId="4" fillId="0" borderId="0" xfId="0" applyFont="1" applyAlignment="1">
      <alignment horizontal="right" vertical="center"/>
    </xf>
    <xf numFmtId="164" fontId="4" fillId="0" borderId="0" xfId="1" applyFont="1" applyAlignment="1">
      <alignment horizontal="right" vertical="center"/>
    </xf>
    <xf numFmtId="0" fontId="7" fillId="0" borderId="0" xfId="0" applyFont="1"/>
    <xf numFmtId="168" fontId="4" fillId="0" borderId="0" xfId="0" applyNumberFormat="1" applyFont="1" applyAlignment="1">
      <alignment vertical="center"/>
    </xf>
    <xf numFmtId="166" fontId="4" fillId="0" borderId="0" xfId="1" applyNumberFormat="1" applyFont="1" applyAlignment="1">
      <alignment horizontal="center" vertical="center"/>
    </xf>
    <xf numFmtId="167" fontId="6" fillId="0" borderId="0" xfId="0" applyNumberFormat="1" applyFont="1" applyAlignment="1">
      <alignment vertical="center"/>
    </xf>
    <xf numFmtId="165" fontId="4" fillId="0" borderId="0" xfId="0" applyNumberFormat="1" applyFont="1" applyAlignment="1">
      <alignment vertical="center"/>
    </xf>
    <xf numFmtId="165" fontId="6" fillId="0" borderId="0" xfId="0" applyNumberFormat="1" applyFont="1" applyAlignment="1">
      <alignment vertical="center"/>
    </xf>
    <xf numFmtId="169" fontId="6" fillId="0" borderId="0" xfId="0" applyNumberFormat="1" applyFont="1" applyAlignment="1">
      <alignment vertical="center"/>
    </xf>
    <xf numFmtId="0" fontId="3" fillId="2" borderId="4" xfId="0" applyFont="1" applyFill="1" applyBorder="1" applyAlignment="1">
      <alignment horizontal="centerContinuous" vertical="center" wrapText="1"/>
    </xf>
    <xf numFmtId="0" fontId="3" fillId="2" borderId="5" xfId="0" applyFont="1" applyFill="1" applyBorder="1" applyAlignment="1">
      <alignment horizontal="centerContinuous" vertical="center" wrapText="1"/>
    </xf>
    <xf numFmtId="0" fontId="3" fillId="2" borderId="6" xfId="0" applyFont="1" applyFill="1" applyBorder="1" applyAlignment="1">
      <alignment horizontal="centerContinuous" vertical="center" wrapText="1"/>
    </xf>
    <xf numFmtId="166" fontId="7" fillId="2" borderId="6" xfId="1" applyNumberFormat="1" applyFont="1" applyFill="1" applyBorder="1" applyAlignment="1">
      <alignment horizontal="centerContinuous" vertical="center" wrapText="1"/>
    </xf>
    <xf numFmtId="166" fontId="7" fillId="2" borderId="4" xfId="1" applyNumberFormat="1" applyFont="1" applyFill="1" applyBorder="1" applyAlignment="1">
      <alignment horizontal="centerContinuous" vertical="center" wrapText="1"/>
    </xf>
    <xf numFmtId="0" fontId="4" fillId="0" borderId="7" xfId="0" applyFont="1" applyBorder="1" applyAlignment="1">
      <alignment vertical="center"/>
    </xf>
    <xf numFmtId="166" fontId="4" fillId="0" borderId="7" xfId="1" applyNumberFormat="1" applyFont="1" applyBorder="1" applyAlignment="1">
      <alignment vertical="center"/>
    </xf>
    <xf numFmtId="166" fontId="4" fillId="0" borderId="7" xfId="0" applyNumberFormat="1" applyFont="1" applyBorder="1" applyAlignment="1">
      <alignment vertical="center"/>
    </xf>
    <xf numFmtId="165" fontId="4" fillId="0" borderId="7" xfId="1" applyNumberFormat="1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166" fontId="4" fillId="0" borderId="8" xfId="1" applyNumberFormat="1" applyFont="1" applyBorder="1" applyAlignment="1">
      <alignment vertical="center"/>
    </xf>
    <xf numFmtId="9" fontId="4" fillId="0" borderId="8" xfId="0" applyNumberFormat="1" applyFont="1" applyBorder="1" applyAlignment="1">
      <alignment vertical="center"/>
    </xf>
    <xf numFmtId="0" fontId="10" fillId="0" borderId="0" xfId="0" applyFont="1" applyAlignment="1">
      <alignment vertical="center"/>
    </xf>
    <xf numFmtId="166" fontId="17" fillId="0" borderId="0" xfId="0" applyNumberFormat="1" applyFont="1" applyAlignment="1">
      <alignment vertical="center"/>
    </xf>
    <xf numFmtId="0" fontId="17" fillId="0" borderId="0" xfId="0" applyFont="1" applyAlignment="1">
      <alignment vertical="center"/>
    </xf>
    <xf numFmtId="0" fontId="15" fillId="4" borderId="9" xfId="0" applyFont="1" applyFill="1" applyBorder="1" applyAlignment="1" applyProtection="1">
      <alignment vertical="center"/>
      <protection locked="0"/>
    </xf>
    <xf numFmtId="0" fontId="15" fillId="4" borderId="10" xfId="0" applyFont="1" applyFill="1" applyBorder="1" applyAlignment="1" applyProtection="1">
      <alignment vertical="center"/>
      <protection locked="0"/>
    </xf>
    <xf numFmtId="165" fontId="15" fillId="4" borderId="11" xfId="0" applyNumberFormat="1" applyFont="1" applyFill="1" applyBorder="1" applyAlignment="1" applyProtection="1">
      <alignment vertical="center"/>
      <protection locked="0"/>
    </xf>
    <xf numFmtId="0" fontId="16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4" fillId="0" borderId="0" xfId="1" applyNumberFormat="1" applyFont="1" applyAlignment="1">
      <alignment horizontal="right" vertical="center"/>
    </xf>
    <xf numFmtId="166" fontId="4" fillId="0" borderId="7" xfId="1" applyNumberFormat="1" applyFont="1" applyBorder="1" applyAlignment="1">
      <alignment horizontal="center" vertical="center"/>
    </xf>
    <xf numFmtId="164" fontId="4" fillId="0" borderId="7" xfId="1" applyFont="1" applyBorder="1" applyAlignment="1">
      <alignment vertical="center"/>
    </xf>
    <xf numFmtId="0" fontId="4" fillId="0" borderId="0" xfId="0" quotePrefix="1" applyFont="1" applyAlignment="1">
      <alignment horizontal="center" vertical="center"/>
    </xf>
    <xf numFmtId="0" fontId="15" fillId="0" borderId="0" xfId="0" applyFont="1" applyAlignment="1" applyProtection="1">
      <alignment horizontal="center" vertical="center"/>
      <protection locked="0"/>
    </xf>
    <xf numFmtId="166" fontId="4" fillId="0" borderId="0" xfId="2" applyNumberFormat="1" applyFont="1" applyAlignment="1">
      <alignment vertical="center"/>
    </xf>
    <xf numFmtId="10" fontId="4" fillId="0" borderId="0" xfId="2" applyNumberFormat="1" applyFont="1" applyAlignment="1">
      <alignment vertical="center"/>
    </xf>
    <xf numFmtId="10" fontId="4" fillId="0" borderId="7" xfId="2" applyNumberFormat="1" applyFont="1" applyBorder="1" applyAlignment="1">
      <alignment vertical="center"/>
    </xf>
    <xf numFmtId="43" fontId="4" fillId="0" borderId="0" xfId="0" applyNumberFormat="1" applyFont="1" applyAlignment="1">
      <alignment vertical="center"/>
    </xf>
    <xf numFmtId="170" fontId="4" fillId="0" borderId="0" xfId="1" applyNumberFormat="1" applyFont="1" applyAlignment="1">
      <alignment vertical="center"/>
    </xf>
    <xf numFmtId="0" fontId="20" fillId="0" borderId="0" xfId="0" applyFont="1" applyAlignment="1">
      <alignment vertical="center"/>
    </xf>
    <xf numFmtId="10" fontId="4" fillId="0" borderId="0" xfId="1" applyNumberFormat="1" applyFont="1" applyAlignment="1">
      <alignment vertical="center"/>
    </xf>
    <xf numFmtId="164" fontId="19" fillId="0" borderId="0" xfId="0" applyNumberFormat="1" applyFont="1"/>
    <xf numFmtId="167" fontId="4" fillId="0" borderId="0" xfId="1" applyNumberFormat="1" applyFont="1" applyAlignment="1">
      <alignment vertical="center"/>
    </xf>
    <xf numFmtId="10" fontId="4" fillId="0" borderId="0" xfId="0" applyNumberFormat="1" applyFont="1" applyAlignment="1">
      <alignment vertical="center"/>
    </xf>
    <xf numFmtId="0" fontId="4" fillId="0" borderId="0" xfId="0" quotePrefix="1" applyFont="1" applyAlignment="1">
      <alignment vertical="center"/>
    </xf>
    <xf numFmtId="10" fontId="19" fillId="0" borderId="0" xfId="0" applyNumberFormat="1" applyFont="1"/>
    <xf numFmtId="166" fontId="12" fillId="0" borderId="0" xfId="0" applyNumberFormat="1" applyFont="1"/>
    <xf numFmtId="0" fontId="0" fillId="5" borderId="0" xfId="0" applyFill="1"/>
    <xf numFmtId="0" fontId="0" fillId="6" borderId="0" xfId="0" applyFill="1"/>
    <xf numFmtId="170" fontId="4" fillId="0" borderId="0" xfId="0" applyNumberFormat="1" applyFont="1" applyAlignment="1">
      <alignment vertical="center"/>
    </xf>
    <xf numFmtId="170" fontId="4" fillId="0" borderId="7" xfId="1" applyNumberFormat="1" applyFont="1" applyBorder="1" applyAlignment="1">
      <alignment vertical="center"/>
    </xf>
    <xf numFmtId="0" fontId="21" fillId="0" borderId="0" xfId="0" applyFont="1" applyAlignment="1">
      <alignment vertical="center"/>
    </xf>
    <xf numFmtId="0" fontId="15" fillId="4" borderId="13" xfId="0" applyFont="1" applyFill="1" applyBorder="1" applyAlignment="1" applyProtection="1">
      <alignment vertical="center"/>
      <protection locked="0"/>
    </xf>
    <xf numFmtId="168" fontId="19" fillId="0" borderId="0" xfId="0" quotePrefix="1" applyNumberFormat="1" applyFont="1"/>
    <xf numFmtId="166" fontId="0" fillId="0" borderId="0" xfId="0" applyNumberFormat="1"/>
    <xf numFmtId="165" fontId="15" fillId="0" borderId="0" xfId="0" applyNumberFormat="1" applyFont="1" applyAlignment="1" applyProtection="1">
      <alignment vertical="center"/>
      <protection locked="0"/>
    </xf>
    <xf numFmtId="166" fontId="23" fillId="4" borderId="14" xfId="0" applyNumberFormat="1" applyFont="1" applyFill="1" applyBorder="1" applyAlignment="1" applyProtection="1">
      <alignment vertical="center"/>
      <protection locked="0"/>
    </xf>
    <xf numFmtId="166" fontId="21" fillId="4" borderId="14" xfId="0" applyNumberFormat="1" applyFont="1" applyFill="1" applyBorder="1" applyAlignment="1" applyProtection="1">
      <alignment vertical="center"/>
      <protection locked="0"/>
    </xf>
    <xf numFmtId="166" fontId="23" fillId="7" borderId="14" xfId="0" applyNumberFormat="1" applyFont="1" applyFill="1" applyBorder="1" applyAlignment="1" applyProtection="1">
      <alignment vertical="center"/>
      <protection locked="0"/>
    </xf>
    <xf numFmtId="166" fontId="19" fillId="7" borderId="0" xfId="0" applyNumberFormat="1" applyFont="1" applyFill="1"/>
    <xf numFmtId="166" fontId="22" fillId="7" borderId="0" xfId="0" applyNumberFormat="1" applyFont="1" applyFill="1"/>
    <xf numFmtId="165" fontId="21" fillId="4" borderId="15" xfId="0" applyNumberFormat="1" applyFont="1" applyFill="1" applyBorder="1" applyAlignment="1" applyProtection="1">
      <alignment vertical="center"/>
      <protection locked="0"/>
    </xf>
    <xf numFmtId="165" fontId="21" fillId="4" borderId="0" xfId="0" applyNumberFormat="1" applyFont="1" applyFill="1" applyAlignment="1" applyProtection="1">
      <alignment vertical="center"/>
      <protection locked="0"/>
    </xf>
    <xf numFmtId="166" fontId="19" fillId="0" borderId="0" xfId="0" quotePrefix="1" applyNumberFormat="1" applyFont="1"/>
    <xf numFmtId="166" fontId="7" fillId="2" borderId="6" xfId="1" applyNumberFormat="1" applyFont="1" applyFill="1" applyBorder="1" applyAlignment="1">
      <alignment horizontal="center" vertical="center" wrapText="1"/>
    </xf>
    <xf numFmtId="166" fontId="7" fillId="2" borderId="4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11" fillId="0" borderId="0" xfId="0" applyFont="1"/>
    <xf numFmtId="0" fontId="6" fillId="0" borderId="0" xfId="0" applyFont="1"/>
    <xf numFmtId="0" fontId="4" fillId="0" borderId="7" xfId="0" applyFont="1" applyBorder="1"/>
    <xf numFmtId="3" fontId="21" fillId="8" borderId="19" xfId="0" applyNumberFormat="1" applyFont="1" applyFill="1" applyBorder="1" applyAlignment="1">
      <alignment wrapText="1"/>
    </xf>
    <xf numFmtId="0" fontId="19" fillId="0" borderId="0" xfId="0" applyFont="1"/>
    <xf numFmtId="0" fontId="15" fillId="4" borderId="22" xfId="0" applyFont="1" applyFill="1" applyBorder="1" applyAlignment="1" applyProtection="1">
      <alignment vertical="center"/>
      <protection locked="0"/>
    </xf>
    <xf numFmtId="0" fontId="15" fillId="4" borderId="24" xfId="0" applyFont="1" applyFill="1" applyBorder="1" applyAlignment="1" applyProtection="1">
      <alignment vertical="center"/>
      <protection locked="0"/>
    </xf>
    <xf numFmtId="170" fontId="4" fillId="0" borderId="0" xfId="0" applyNumberFormat="1" applyFont="1"/>
    <xf numFmtId="166" fontId="4" fillId="0" borderId="0" xfId="0" applyNumberFormat="1" applyFont="1"/>
    <xf numFmtId="166" fontId="15" fillId="0" borderId="0" xfId="0" applyNumberFormat="1" applyFont="1" applyAlignment="1" applyProtection="1">
      <alignment vertical="center"/>
      <protection locked="0"/>
    </xf>
    <xf numFmtId="166" fontId="4" fillId="7" borderId="25" xfId="0" applyNumberFormat="1" applyFont="1" applyFill="1" applyBorder="1"/>
    <xf numFmtId="166" fontId="6" fillId="7" borderId="25" xfId="0" applyNumberFormat="1" applyFont="1" applyFill="1" applyBorder="1"/>
    <xf numFmtId="166" fontId="4" fillId="7" borderId="0" xfId="0" applyNumberFormat="1" applyFont="1" applyFill="1"/>
    <xf numFmtId="166" fontId="4" fillId="7" borderId="26" xfId="0" applyNumberFormat="1" applyFont="1" applyFill="1" applyBorder="1"/>
    <xf numFmtId="166" fontId="4" fillId="7" borderId="21" xfId="0" applyNumberFormat="1" applyFont="1" applyFill="1" applyBorder="1"/>
    <xf numFmtId="166" fontId="6" fillId="7" borderId="21" xfId="0" applyNumberFormat="1" applyFont="1" applyFill="1" applyBorder="1"/>
    <xf numFmtId="166" fontId="4" fillId="7" borderId="20" xfId="0" applyNumberFormat="1" applyFont="1" applyFill="1" applyBorder="1"/>
    <xf numFmtId="0" fontId="24" fillId="9" borderId="23" xfId="0" applyFont="1" applyFill="1" applyBorder="1"/>
    <xf numFmtId="165" fontId="6" fillId="7" borderId="27" xfId="0" applyNumberFormat="1" applyFont="1" applyFill="1" applyBorder="1"/>
    <xf numFmtId="165" fontId="6" fillId="7" borderId="28" xfId="0" applyNumberFormat="1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5" fillId="0" borderId="0" xfId="0" applyFont="1" applyAlignment="1" applyProtection="1">
      <alignment horizontal="center" vertical="center"/>
      <protection locked="0"/>
    </xf>
    <xf numFmtId="0" fontId="15" fillId="0" borderId="12" xfId="0" applyFont="1" applyBorder="1" applyAlignment="1" applyProtection="1">
      <alignment horizontal="center" vertical="center"/>
      <protection locked="0"/>
    </xf>
    <xf numFmtId="0" fontId="16" fillId="3" borderId="0" xfId="0" applyFont="1" applyFill="1" applyAlignment="1">
      <alignment horizontal="center" vertical="center"/>
    </xf>
    <xf numFmtId="0" fontId="25" fillId="8" borderId="18" xfId="0" applyFont="1" applyFill="1" applyBorder="1" applyAlignment="1">
      <alignment horizontal="center" wrapText="1"/>
    </xf>
    <xf numFmtId="0" fontId="25" fillId="8" borderId="17" xfId="0" applyFont="1" applyFill="1" applyBorder="1" applyAlignment="1">
      <alignment horizontal="center" wrapText="1"/>
    </xf>
    <xf numFmtId="0" fontId="3" fillId="2" borderId="16" xfId="0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3D3D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CC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2B2B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3"/>
  <sheetViews>
    <sheetView showGridLines="0" zoomScale="90" workbookViewId="0">
      <pane xSplit="1" ySplit="1" topLeftCell="B2" activePane="bottomRight" state="frozen"/>
      <selection pane="bottomRight" activeCell="F69" sqref="F69"/>
      <selection pane="bottomLeft" activeCell="A2" sqref="A2"/>
      <selection pane="topRight" activeCell="B1" sqref="B1"/>
    </sheetView>
  </sheetViews>
  <sheetFormatPr defaultRowHeight="11.25"/>
  <cols>
    <col min="1" max="1" width="2.28515625" style="5" customWidth="1"/>
    <col min="2" max="2" width="18" style="5" customWidth="1"/>
    <col min="3" max="13" width="11.7109375" style="5" customWidth="1"/>
    <col min="14" max="256" width="11.42578125" style="5" customWidth="1"/>
    <col min="257" max="16384" width="9.140625" style="5"/>
  </cols>
  <sheetData>
    <row r="1" spans="1:13" ht="12.75">
      <c r="A1" s="4"/>
      <c r="B1" s="11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3" spans="1:13" ht="15" customHeight="1" thickBot="1">
      <c r="B3" s="16" t="s">
        <v>1</v>
      </c>
    </row>
    <row r="4" spans="1:13" ht="12.75" customHeight="1" thickTop="1" thickBot="1">
      <c r="B4" s="1" t="s">
        <v>2</v>
      </c>
      <c r="C4" s="2"/>
      <c r="D4" s="2"/>
      <c r="E4" s="2"/>
      <c r="F4" s="2"/>
      <c r="G4"/>
      <c r="H4"/>
    </row>
    <row r="5" spans="1:13" ht="25.5" thickTop="1" thickBot="1">
      <c r="B5" s="31" t="s">
        <v>3</v>
      </c>
      <c r="C5" s="31" t="s">
        <v>4</v>
      </c>
      <c r="D5" s="29" t="s">
        <v>5</v>
      </c>
      <c r="E5" s="29" t="s">
        <v>6</v>
      </c>
      <c r="F5" s="30" t="s">
        <v>7</v>
      </c>
      <c r="G5"/>
    </row>
    <row r="6" spans="1:13" ht="12" thickTop="1">
      <c r="B6" s="5" t="s">
        <v>8</v>
      </c>
      <c r="C6" s="24" t="s">
        <v>9</v>
      </c>
      <c r="D6" s="14">
        <f>3750*15%*30%*22%</f>
        <v>37.125</v>
      </c>
      <c r="E6" s="14">
        <f>20+35*10%</f>
        <v>23.5</v>
      </c>
      <c r="F6" s="18">
        <f>D6+E6</f>
        <v>60.625</v>
      </c>
    </row>
    <row r="7" spans="1:13">
      <c r="B7" s="5" t="s">
        <v>10</v>
      </c>
      <c r="C7" s="24" t="s">
        <v>11</v>
      </c>
      <c r="D7" s="14">
        <f>5250*15%*50%*22%</f>
        <v>86.625</v>
      </c>
      <c r="E7" s="14">
        <f>35+35*5%</f>
        <v>36.75</v>
      </c>
      <c r="F7" s="18">
        <f>D7+E7</f>
        <v>123.375</v>
      </c>
    </row>
    <row r="8" spans="1:13">
      <c r="B8" s="5" t="s">
        <v>12</v>
      </c>
      <c r="C8" s="24" t="s">
        <v>13</v>
      </c>
      <c r="D8" s="14">
        <f>6000*15%*75%*22%</f>
        <v>148.5</v>
      </c>
      <c r="E8" s="14">
        <f>60+25*5%</f>
        <v>61.25</v>
      </c>
      <c r="F8" s="18">
        <f>D8+E8</f>
        <v>209.75</v>
      </c>
    </row>
    <row r="10" spans="1:13" ht="15" customHeight="1" thickBot="1">
      <c r="B10" s="16" t="s">
        <v>14</v>
      </c>
    </row>
    <row r="11" spans="1:13" ht="25.5" thickTop="1" thickBot="1">
      <c r="C11" s="1" t="s">
        <v>15</v>
      </c>
      <c r="D11" s="2" t="s">
        <v>16</v>
      </c>
      <c r="E11" s="3" t="s">
        <v>17</v>
      </c>
      <c r="F11" s="3" t="s">
        <v>18</v>
      </c>
    </row>
    <row r="12" spans="1:13" ht="12" thickTop="1">
      <c r="B12" s="17" t="s">
        <v>19</v>
      </c>
      <c r="C12" s="14">
        <v>0.5</v>
      </c>
      <c r="D12" s="10">
        <v>2500000</v>
      </c>
      <c r="E12" s="19">
        <v>0.03</v>
      </c>
      <c r="F12" s="19">
        <v>0.6</v>
      </c>
    </row>
    <row r="13" spans="1:13">
      <c r="B13" s="17" t="s">
        <v>20</v>
      </c>
      <c r="C13" s="14">
        <v>0.1</v>
      </c>
      <c r="D13" s="10">
        <v>2000000</v>
      </c>
      <c r="E13" s="19">
        <v>2.5000000000000001E-2</v>
      </c>
      <c r="F13" s="19">
        <v>0.3</v>
      </c>
    </row>
    <row r="14" spans="1:13">
      <c r="B14" s="17" t="s">
        <v>21</v>
      </c>
      <c r="C14" s="21">
        <v>0.05</v>
      </c>
      <c r="D14" s="10">
        <v>3500000</v>
      </c>
      <c r="E14" s="19">
        <v>1.4999999999999999E-2</v>
      </c>
      <c r="F14" s="19">
        <v>0.3</v>
      </c>
    </row>
    <row r="15" spans="1:13">
      <c r="B15" s="17" t="s">
        <v>22</v>
      </c>
      <c r="C15" s="20" t="s">
        <v>23</v>
      </c>
      <c r="D15" s="10">
        <v>60000</v>
      </c>
      <c r="E15" s="19">
        <v>0.25</v>
      </c>
      <c r="F15" s="19">
        <v>0.6</v>
      </c>
    </row>
    <row r="16" spans="1:13">
      <c r="B16" s="17" t="s">
        <v>24</v>
      </c>
      <c r="C16" s="14">
        <v>1</v>
      </c>
      <c r="D16" s="10">
        <v>50000</v>
      </c>
      <c r="E16" s="19">
        <v>0.5</v>
      </c>
      <c r="F16" s="19">
        <v>0.9</v>
      </c>
    </row>
    <row r="18" spans="2:6" ht="13.5" thickBot="1">
      <c r="B18" s="16" t="s">
        <v>25</v>
      </c>
      <c r="E18"/>
    </row>
    <row r="19" spans="2:6" ht="13.5" thickTop="1" thickBot="1">
      <c r="B19" s="16"/>
      <c r="D19" s="1">
        <v>2003</v>
      </c>
      <c r="E19" s="1">
        <v>2004</v>
      </c>
      <c r="F19" s="3">
        <v>2005</v>
      </c>
    </row>
    <row r="20" spans="2:6" ht="12" thickTop="1">
      <c r="B20" s="5" t="s">
        <v>26</v>
      </c>
      <c r="D20" s="15">
        <v>66</v>
      </c>
      <c r="E20" s="15">
        <v>82</v>
      </c>
      <c r="F20" s="15">
        <v>87.5</v>
      </c>
    </row>
    <row r="21" spans="2:6">
      <c r="B21" s="34" t="s">
        <v>27</v>
      </c>
      <c r="C21" s="34"/>
      <c r="D21" s="37">
        <v>4</v>
      </c>
      <c r="E21" s="37">
        <v>6.9</v>
      </c>
      <c r="F21" s="37">
        <v>13.1</v>
      </c>
    </row>
    <row r="22" spans="2:6">
      <c r="B22" s="5" t="s">
        <v>28</v>
      </c>
      <c r="D22" s="15">
        <f>SUM(D20:D21)</f>
        <v>70</v>
      </c>
      <c r="E22" s="15">
        <f>SUM(E20:E21)</f>
        <v>88.9</v>
      </c>
      <c r="F22" s="15">
        <f>SUM(F20:F21)</f>
        <v>100.6</v>
      </c>
    </row>
    <row r="23" spans="2:6">
      <c r="D23" s="15"/>
      <c r="E23" s="15"/>
      <c r="F23" s="15"/>
    </row>
    <row r="24" spans="2:6">
      <c r="B24" s="5" t="s">
        <v>29</v>
      </c>
      <c r="D24" s="15">
        <f>1.2%*D35*50%</f>
        <v>9.8406000000000002</v>
      </c>
      <c r="E24" s="15">
        <f>1.2%*E35*50%</f>
        <v>11.528999999999998</v>
      </c>
      <c r="F24" s="15">
        <f>1.2%*F35*50%</f>
        <v>14.4</v>
      </c>
    </row>
    <row r="25" spans="2:6">
      <c r="B25" s="34" t="s">
        <v>30</v>
      </c>
      <c r="C25" s="34"/>
      <c r="D25" s="37">
        <v>3.3485375000000004</v>
      </c>
      <c r="E25" s="37">
        <v>3.9230624999999995</v>
      </c>
      <c r="F25" s="37">
        <v>4.9000000000000004</v>
      </c>
    </row>
    <row r="26" spans="2:6">
      <c r="B26" s="5" t="s">
        <v>31</v>
      </c>
      <c r="D26" s="15">
        <f>SUM(D24:D25)</f>
        <v>13.189137500000001</v>
      </c>
      <c r="E26" s="15">
        <f>SUM(E24:E25)</f>
        <v>15.452062499999997</v>
      </c>
      <c r="F26" s="15">
        <f>SUM(F24:F25)</f>
        <v>19.3</v>
      </c>
    </row>
    <row r="27" spans="2:6">
      <c r="D27" s="15"/>
      <c r="E27" s="15"/>
      <c r="F27" s="15"/>
    </row>
    <row r="28" spans="2:6">
      <c r="B28" s="5" t="s">
        <v>32</v>
      </c>
      <c r="D28" s="15">
        <v>47</v>
      </c>
      <c r="E28" s="15">
        <v>54.5</v>
      </c>
      <c r="F28" s="15">
        <v>57.9</v>
      </c>
    </row>
    <row r="29" spans="2:6">
      <c r="D29" s="15"/>
      <c r="E29" s="15"/>
      <c r="F29" s="15"/>
    </row>
    <row r="30" spans="2:6">
      <c r="B30" s="5" t="s">
        <v>33</v>
      </c>
      <c r="D30" s="15">
        <v>-4.9000000000000004</v>
      </c>
      <c r="E30" s="15">
        <v>-5.5</v>
      </c>
      <c r="F30" s="15">
        <v>-6.7</v>
      </c>
    </row>
    <row r="32" spans="2:6">
      <c r="B32" s="5" t="s">
        <v>34</v>
      </c>
      <c r="D32" s="26">
        <f>D22-D26-D28+D30</f>
        <v>4.9108624999999986</v>
      </c>
      <c r="E32" s="26">
        <f>E22-E26-E28+E30</f>
        <v>13.447937500000009</v>
      </c>
      <c r="F32" s="26">
        <f>F22-F26-F28+F30</f>
        <v>16.7</v>
      </c>
    </row>
    <row r="34" spans="2:8" ht="12">
      <c r="B34" s="5" t="s">
        <v>35</v>
      </c>
      <c r="D34" s="10">
        <v>2343</v>
      </c>
      <c r="E34" s="10">
        <v>2745</v>
      </c>
      <c r="F34" s="10">
        <v>3000</v>
      </c>
    </row>
    <row r="35" spans="2:8" ht="12">
      <c r="B35" s="5" t="s">
        <v>36</v>
      </c>
      <c r="D35" s="10">
        <f>0.7*D34</f>
        <v>1640.1</v>
      </c>
      <c r="E35" s="10">
        <f>0.7*E34</f>
        <v>1921.4999999999998</v>
      </c>
      <c r="F35" s="10">
        <v>2400</v>
      </c>
    </row>
    <row r="36" spans="2:8" ht="12">
      <c r="B36" s="5" t="s">
        <v>37</v>
      </c>
      <c r="D36" s="10">
        <v>1875</v>
      </c>
      <c r="E36" s="10">
        <v>2232</v>
      </c>
      <c r="F36" s="10">
        <v>2573</v>
      </c>
    </row>
    <row r="37" spans="2:8">
      <c r="B37" s="5" t="s">
        <v>38</v>
      </c>
      <c r="D37" s="10">
        <v>564</v>
      </c>
      <c r="E37" s="10">
        <v>611</v>
      </c>
      <c r="F37" s="10">
        <v>705</v>
      </c>
    </row>
    <row r="38" spans="2:8">
      <c r="B38" s="5" t="s">
        <v>39</v>
      </c>
      <c r="D38" s="10">
        <v>209</v>
      </c>
      <c r="E38" s="10">
        <v>256</v>
      </c>
      <c r="F38" s="10">
        <v>297</v>
      </c>
    </row>
    <row r="39" spans="2:8">
      <c r="B39" s="5" t="s">
        <v>40</v>
      </c>
      <c r="D39" s="10">
        <v>157</v>
      </c>
      <c r="E39" s="10">
        <v>179</v>
      </c>
      <c r="F39" s="10">
        <v>201</v>
      </c>
    </row>
    <row r="40" spans="2:8">
      <c r="B40" s="5" t="s">
        <v>41</v>
      </c>
      <c r="D40" s="10">
        <v>12</v>
      </c>
      <c r="E40" s="10">
        <v>13</v>
      </c>
      <c r="F40" s="10">
        <v>15</v>
      </c>
    </row>
    <row r="42" spans="2:8" ht="12" thickBot="1">
      <c r="B42" s="16" t="s">
        <v>42</v>
      </c>
    </row>
    <row r="43" spans="2:8" ht="35.25" thickTop="1" thickBot="1">
      <c r="B43" s="16"/>
      <c r="E43" s="8" t="s">
        <v>43</v>
      </c>
      <c r="F43" s="9" t="s">
        <v>44</v>
      </c>
      <c r="G43"/>
      <c r="H43"/>
    </row>
    <row r="44" spans="2:8" ht="13.5" thickTop="1">
      <c r="B44" s="5" t="s">
        <v>45</v>
      </c>
      <c r="E44" s="10">
        <v>180000</v>
      </c>
      <c r="F44" s="12">
        <v>0.1</v>
      </c>
      <c r="G44"/>
      <c r="H44"/>
    </row>
    <row r="45" spans="2:8" ht="12.75">
      <c r="B45" s="5" t="s">
        <v>46</v>
      </c>
      <c r="E45" s="10">
        <v>200000</v>
      </c>
      <c r="F45" s="12">
        <v>0.7</v>
      </c>
      <c r="G45"/>
      <c r="H45"/>
    </row>
    <row r="46" spans="2:8" ht="12.75">
      <c r="B46" s="5" t="s">
        <v>47</v>
      </c>
      <c r="E46" s="10">
        <v>29000</v>
      </c>
      <c r="F46" s="12">
        <v>5.5E-2</v>
      </c>
      <c r="G46"/>
      <c r="H46"/>
    </row>
    <row r="47" spans="2:8" ht="12.75">
      <c r="B47" s="5" t="s">
        <v>48</v>
      </c>
      <c r="E47" s="10">
        <v>606000</v>
      </c>
      <c r="F47" s="12">
        <v>0.27</v>
      </c>
      <c r="G47"/>
      <c r="H47"/>
    </row>
    <row r="49" spans="2:6">
      <c r="B49" s="38" t="s">
        <v>49</v>
      </c>
      <c r="C49" s="39"/>
      <c r="D49" s="39"/>
      <c r="E49" s="40">
        <v>1710000</v>
      </c>
      <c r="F49" s="41">
        <v>0.2</v>
      </c>
    </row>
    <row r="51" spans="2:6" ht="14.25" customHeight="1" thickBot="1">
      <c r="B51" s="16" t="s">
        <v>50</v>
      </c>
    </row>
    <row r="52" spans="2:6" ht="39" customHeight="1" thickTop="1" thickBot="1">
      <c r="B52" s="7" t="s">
        <v>51</v>
      </c>
      <c r="C52" s="9" t="s">
        <v>52</v>
      </c>
      <c r="D52"/>
      <c r="F52"/>
    </row>
    <row r="53" spans="2:6" ht="13.5" thickTop="1">
      <c r="B53" s="24" t="s">
        <v>53</v>
      </c>
      <c r="C53" s="19">
        <v>0.23200000000000001</v>
      </c>
      <c r="D53" s="50"/>
      <c r="F53"/>
    </row>
    <row r="54" spans="2:6" ht="12.75">
      <c r="B54" s="53" t="s">
        <v>54</v>
      </c>
      <c r="C54" s="19">
        <v>0.11899999999999999</v>
      </c>
      <c r="D54" s="50"/>
      <c r="F54"/>
    </row>
    <row r="55" spans="2:6" ht="12.75">
      <c r="B55" s="53" t="s">
        <v>55</v>
      </c>
      <c r="C55" s="19">
        <v>0.188</v>
      </c>
      <c r="D55" s="50"/>
      <c r="F55"/>
    </row>
    <row r="56" spans="2:6" ht="12.75">
      <c r="B56" s="49" t="s">
        <v>56</v>
      </c>
      <c r="C56" s="19">
        <v>0.182</v>
      </c>
      <c r="D56" s="50"/>
      <c r="F56"/>
    </row>
    <row r="57" spans="2:6" ht="12.75">
      <c r="B57" s="49" t="s">
        <v>57</v>
      </c>
      <c r="C57" s="19">
        <v>0.15</v>
      </c>
      <c r="D57" s="50"/>
      <c r="F57"/>
    </row>
    <row r="58" spans="2:6" ht="12.75">
      <c r="B58" s="49" t="s">
        <v>58</v>
      </c>
      <c r="C58" s="19">
        <v>6.6000000000000003E-2</v>
      </c>
      <c r="D58" s="50"/>
      <c r="F58"/>
    </row>
    <row r="59" spans="2:6" ht="12.75">
      <c r="B59" s="49" t="s">
        <v>59</v>
      </c>
      <c r="C59" s="19">
        <v>3.7999999999999999E-2</v>
      </c>
      <c r="D59" s="50"/>
      <c r="F59"/>
    </row>
    <row r="60" spans="2:6" ht="12.75">
      <c r="B60" s="49" t="s">
        <v>60</v>
      </c>
      <c r="C60" s="19">
        <v>1.2E-2</v>
      </c>
      <c r="D60" s="50"/>
      <c r="F60"/>
    </row>
    <row r="61" spans="2:6" ht="12.75">
      <c r="B61" s="49" t="s">
        <v>61</v>
      </c>
      <c r="C61" s="19">
        <v>1.2999999999999999E-2</v>
      </c>
      <c r="D61" s="50"/>
      <c r="F61"/>
    </row>
    <row r="62" spans="2:6" ht="12.75">
      <c r="B62" s="49"/>
      <c r="C62" s="49"/>
      <c r="D62" s="50"/>
      <c r="E62" s="19"/>
      <c r="F62"/>
    </row>
    <row r="63" spans="2:6" ht="12.75">
      <c r="B63" s="49"/>
      <c r="C63" s="49"/>
      <c r="D63" s="50"/>
      <c r="E63" s="19"/>
      <c r="F63"/>
    </row>
  </sheetData>
  <phoneticPr fontId="9" type="noConversion"/>
  <pageMargins left="0.3" right="0.3" top="0.5" bottom="0.5" header="0.1" footer="0.1"/>
  <pageSetup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16"/>
  <sheetViews>
    <sheetView showGridLines="0" zoomScale="125" zoomScaleNormal="125" workbookViewId="0">
      <pane xSplit="1" ySplit="1" topLeftCell="B2" activePane="bottomRight" state="frozen"/>
      <selection pane="bottomRight" activeCell="D16" sqref="D16"/>
      <selection pane="bottomLeft" activeCell="A2" sqref="A2"/>
      <selection pane="topRight" activeCell="B1" sqref="B1"/>
    </sheetView>
  </sheetViews>
  <sheetFormatPr defaultRowHeight="11.25"/>
  <cols>
    <col min="1" max="1" width="2.28515625" style="5" customWidth="1"/>
    <col min="2" max="2" width="16.42578125" style="5" customWidth="1"/>
    <col min="3" max="8" width="12.7109375" style="5" customWidth="1"/>
    <col min="9" max="256" width="11.42578125" style="5" customWidth="1"/>
    <col min="257" max="16384" width="9.140625" style="5"/>
  </cols>
  <sheetData>
    <row r="1" spans="1:13" ht="12.75">
      <c r="A1" s="4"/>
      <c r="B1" s="11" t="s">
        <v>62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3" spans="1:13" ht="14.25" customHeight="1" thickBot="1">
      <c r="B3" s="16" t="s">
        <v>63</v>
      </c>
      <c r="C3" s="16"/>
      <c r="D3" s="16"/>
      <c r="E3" s="16"/>
    </row>
    <row r="4" spans="1:13" ht="13.5" thickTop="1" thickBot="1">
      <c r="B4" s="108" t="s">
        <v>64</v>
      </c>
      <c r="C4" s="109"/>
      <c r="D4" s="109"/>
      <c r="E4" s="109"/>
      <c r="F4" s="108" t="s">
        <v>2</v>
      </c>
      <c r="G4" s="109"/>
      <c r="H4" s="110"/>
    </row>
    <row r="5" spans="1:13" ht="33">
      <c r="B5" s="31" t="s">
        <v>3</v>
      </c>
      <c r="C5" s="31" t="s">
        <v>4</v>
      </c>
      <c r="D5" s="29" t="s">
        <v>65</v>
      </c>
      <c r="E5" s="29" t="s">
        <v>66</v>
      </c>
      <c r="F5" s="29" t="s">
        <v>5</v>
      </c>
      <c r="G5" s="29" t="s">
        <v>6</v>
      </c>
      <c r="H5" s="30" t="s">
        <v>7</v>
      </c>
    </row>
    <row r="6" spans="1:13">
      <c r="B6" s="5" t="s">
        <v>8</v>
      </c>
      <c r="C6" s="24" t="s">
        <v>67</v>
      </c>
      <c r="D6" s="56">
        <f>'Exhibits &amp; Tables'!C56</f>
        <v>0.182</v>
      </c>
      <c r="E6" s="55">
        <f>D6 * D14</f>
        <v>3385200</v>
      </c>
      <c r="F6" s="14">
        <v>37.130000000000003</v>
      </c>
      <c r="G6" s="14">
        <v>23.5</v>
      </c>
      <c r="H6" s="18">
        <f>SUM(F6:G6)</f>
        <v>60.63</v>
      </c>
      <c r="I6" s="18"/>
    </row>
    <row r="7" spans="1:13">
      <c r="B7" s="5" t="s">
        <v>10</v>
      </c>
      <c r="C7" s="24" t="s">
        <v>68</v>
      </c>
      <c r="D7" s="56">
        <f>'Exhibits &amp; Tables'!C57</f>
        <v>0.15</v>
      </c>
      <c r="E7" s="55">
        <f>D7 * D14</f>
        <v>2790000</v>
      </c>
      <c r="F7" s="14">
        <v>86.63</v>
      </c>
      <c r="G7" s="14">
        <v>36.75</v>
      </c>
      <c r="H7" s="18">
        <f>SUM(F7:G7)</f>
        <v>123.38</v>
      </c>
      <c r="I7" s="18"/>
    </row>
    <row r="8" spans="1:13">
      <c r="B8" s="34" t="s">
        <v>12</v>
      </c>
      <c r="C8" s="51" t="s">
        <v>69</v>
      </c>
      <c r="D8" s="57">
        <f>SUM('Exhibits &amp; Tables'!C58:C61)</f>
        <v>0.129</v>
      </c>
      <c r="E8" s="55">
        <f>D8*D14</f>
        <v>2399400</v>
      </c>
      <c r="F8" s="52">
        <v>148.5</v>
      </c>
      <c r="G8" s="52">
        <v>61.25</v>
      </c>
      <c r="H8" s="18">
        <f>SUM(F8:G8)</f>
        <v>209.75</v>
      </c>
      <c r="I8" s="18"/>
    </row>
    <row r="9" spans="1:13">
      <c r="B9" s="60" t="s">
        <v>70</v>
      </c>
      <c r="D9" s="25"/>
      <c r="E9" s="27"/>
      <c r="F9" s="18">
        <f>SUMPRODUCT(E6:E8,H6:H8)/SUM(E6:E8)</f>
        <v>122.77529284164859</v>
      </c>
      <c r="H9" s="28"/>
    </row>
    <row r="10" spans="1:13">
      <c r="B10" s="42" t="s">
        <v>71</v>
      </c>
      <c r="F10" s="18">
        <f>SUMPRODUCT(H7:H8, E7:E8)/SUM(E7:E8)</f>
        <v>163.31451612903226</v>
      </c>
      <c r="H10" s="28"/>
    </row>
    <row r="14" spans="1:13">
      <c r="B14" s="60" t="s">
        <v>72</v>
      </c>
      <c r="D14" s="13">
        <v>18600000</v>
      </c>
    </row>
    <row r="15" spans="1:13">
      <c r="B15" s="72" t="s">
        <v>73</v>
      </c>
      <c r="D15" s="13">
        <f>SUM(E6:E8)</f>
        <v>8574600</v>
      </c>
    </row>
    <row r="16" spans="1:13">
      <c r="B16" s="60" t="s">
        <v>74</v>
      </c>
      <c r="D16" s="13">
        <f>SUM(E7:E8)</f>
        <v>5189400</v>
      </c>
    </row>
  </sheetData>
  <mergeCells count="2">
    <mergeCell ref="B4:E4"/>
    <mergeCell ref="F4:H4"/>
  </mergeCells>
  <phoneticPr fontId="9" type="noConversion"/>
  <pageMargins left="0.3" right="0.3" top="0.5" bottom="0.5" header="0.1" footer="0.1"/>
  <pageSetup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36"/>
  <sheetViews>
    <sheetView showGridLines="0" zoomScale="125" zoomScaleNormal="125" workbookViewId="0">
      <pane xSplit="2" ySplit="1" topLeftCell="C2" activePane="bottomRight" state="frozen"/>
      <selection pane="bottomRight" activeCell="K11" sqref="K11"/>
      <selection pane="bottomLeft" activeCell="A2" sqref="A2"/>
      <selection pane="topRight" activeCell="C1" sqref="C1"/>
    </sheetView>
  </sheetViews>
  <sheetFormatPr defaultRowHeight="11.25"/>
  <cols>
    <col min="1" max="1" width="2.28515625" style="5" customWidth="1"/>
    <col min="2" max="2" width="50" style="5" customWidth="1"/>
    <col min="3" max="11" width="12.7109375" style="5" customWidth="1"/>
    <col min="12" max="12" width="11.7109375" style="5" customWidth="1"/>
    <col min="13" max="256" width="11.42578125" style="5" customWidth="1"/>
    <col min="257" max="16384" width="9.140625" style="5"/>
  </cols>
  <sheetData>
    <row r="1" spans="1:13" ht="12.75">
      <c r="A1" s="4"/>
      <c r="B1" s="11" t="s">
        <v>75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3" spans="1:13">
      <c r="B3" s="16" t="s">
        <v>76</v>
      </c>
    </row>
    <row r="4" spans="1:13" ht="12" thickBot="1">
      <c r="B4" s="6" t="s">
        <v>77</v>
      </c>
    </row>
    <row r="5" spans="1:13" ht="24" thickTop="1" thickBot="1">
      <c r="C5" s="7" t="s">
        <v>78</v>
      </c>
      <c r="D5" s="8" t="s">
        <v>16</v>
      </c>
      <c r="E5" s="9" t="s">
        <v>17</v>
      </c>
      <c r="F5" s="9" t="s">
        <v>79</v>
      </c>
      <c r="G5" s="9" t="s">
        <v>80</v>
      </c>
      <c r="H5" s="9" t="s">
        <v>81</v>
      </c>
      <c r="I5" s="9" t="s">
        <v>82</v>
      </c>
      <c r="J5" s="9" t="s">
        <v>83</v>
      </c>
      <c r="K5" s="9" t="s">
        <v>84</v>
      </c>
      <c r="L5" s="13">
        <f>'Customer Acquisition (TN)'!I11</f>
        <v>91162.5</v>
      </c>
    </row>
    <row r="6" spans="1:13" ht="12" thickTop="1">
      <c r="B6" s="17" t="s">
        <v>19</v>
      </c>
      <c r="C6" s="14">
        <v>0.5</v>
      </c>
      <c r="D6" s="10">
        <v>2500000</v>
      </c>
      <c r="E6" s="19">
        <v>0.03</v>
      </c>
      <c r="F6" s="19">
        <v>0.6</v>
      </c>
      <c r="G6" s="19">
        <v>0.85</v>
      </c>
      <c r="H6" s="56">
        <f>E6*F6*G6</f>
        <v>1.5299999999999998E-2</v>
      </c>
      <c r="I6" s="10">
        <f>D6*H6</f>
        <v>38249.999999999993</v>
      </c>
      <c r="J6" s="10">
        <f>C6*D6</f>
        <v>1250000</v>
      </c>
      <c r="K6" s="23">
        <f>J6/I6</f>
        <v>32.679738562091508</v>
      </c>
    </row>
    <row r="7" spans="1:13">
      <c r="B7" s="17" t="s">
        <v>20</v>
      </c>
      <c r="C7" s="14">
        <v>0.1</v>
      </c>
      <c r="D7" s="10">
        <v>2000000</v>
      </c>
      <c r="E7" s="19">
        <v>2.5000000000000001E-2</v>
      </c>
      <c r="F7" s="19">
        <v>0.3</v>
      </c>
      <c r="G7" s="19">
        <v>0.85</v>
      </c>
      <c r="H7" s="56">
        <f>E7*F7*G7</f>
        <v>6.3749999999999996E-3</v>
      </c>
      <c r="I7" s="10">
        <f>D7*H7</f>
        <v>12750</v>
      </c>
      <c r="J7" s="10">
        <f>C7*D7</f>
        <v>200000</v>
      </c>
      <c r="K7" s="23">
        <f>J7/I7</f>
        <v>15.686274509803921</v>
      </c>
    </row>
    <row r="8" spans="1:13">
      <c r="B8" s="17" t="s">
        <v>21</v>
      </c>
      <c r="C8" s="21">
        <v>0.05</v>
      </c>
      <c r="D8" s="10">
        <v>3500000</v>
      </c>
      <c r="E8" s="19">
        <v>1.4999999999999999E-2</v>
      </c>
      <c r="F8" s="19">
        <v>0.3</v>
      </c>
      <c r="G8" s="19">
        <v>0.85</v>
      </c>
      <c r="H8" s="56">
        <f>E8*F8*G8</f>
        <v>3.8249999999999994E-3</v>
      </c>
      <c r="I8" s="10">
        <f t="shared" ref="I7:I10" si="0">D8*H8</f>
        <v>13387.499999999998</v>
      </c>
      <c r="J8" s="10">
        <f>C8*D8</f>
        <v>175000</v>
      </c>
      <c r="K8" s="23">
        <f>J8/I8</f>
        <v>13.071895424836603</v>
      </c>
    </row>
    <row r="9" spans="1:13">
      <c r="B9" s="17" t="s">
        <v>22</v>
      </c>
      <c r="C9" s="21">
        <f>C35/C31</f>
        <v>0.5</v>
      </c>
      <c r="D9" s="10">
        <v>60000</v>
      </c>
      <c r="E9" s="19">
        <v>0.25</v>
      </c>
      <c r="F9" s="19">
        <v>0.6</v>
      </c>
      <c r="G9" s="19">
        <v>0.85</v>
      </c>
      <c r="H9" s="56">
        <f>E9*F9*G9</f>
        <v>0.1275</v>
      </c>
      <c r="I9" s="10">
        <f t="shared" si="0"/>
        <v>7650</v>
      </c>
      <c r="J9" s="10">
        <f>C9*D9</f>
        <v>30000</v>
      </c>
      <c r="K9" s="23">
        <f>J9/I9</f>
        <v>3.9215686274509802</v>
      </c>
    </row>
    <row r="10" spans="1:13">
      <c r="B10" s="17" t="s">
        <v>24</v>
      </c>
      <c r="C10" s="14">
        <v>1</v>
      </c>
      <c r="D10" s="10">
        <v>50000</v>
      </c>
      <c r="E10" s="19">
        <v>0.5</v>
      </c>
      <c r="F10" s="19">
        <v>0.9</v>
      </c>
      <c r="G10" s="19">
        <v>0.85</v>
      </c>
      <c r="H10" s="56">
        <f>E10*F10*G10</f>
        <v>0.38250000000000001</v>
      </c>
      <c r="I10" s="10">
        <f>D10*H10</f>
        <v>19125</v>
      </c>
      <c r="J10" s="10">
        <f>C10*D10</f>
        <v>50000</v>
      </c>
      <c r="K10" s="23">
        <f>J10/I10</f>
        <v>2.6143790849673203</v>
      </c>
    </row>
    <row r="11" spans="1:13">
      <c r="B11" s="22" t="s">
        <v>85</v>
      </c>
      <c r="C11" s="14">
        <f>SUM(C6:C10)</f>
        <v>2.15</v>
      </c>
      <c r="D11" s="10">
        <f>SUM(D6:D10)</f>
        <v>8110000</v>
      </c>
      <c r="E11" s="61">
        <f>SUMPRODUCT(D6:D10, E6:E10)/D11</f>
        <v>2.681874229346486E-2</v>
      </c>
      <c r="F11" s="61">
        <f>SUMPRODUCT(F6:F10, D6:D10) / SUM(D6:D10)</f>
        <v>0.39839704069050552</v>
      </c>
      <c r="G11" s="63">
        <f>AVERAGE(G6:G10)</f>
        <v>0.85</v>
      </c>
      <c r="H11" s="61">
        <f>SUMPRODUCT(H6:H10, D6:D10) / SUM(D6:D10)</f>
        <v>1.1240752157829839E-2</v>
      </c>
      <c r="I11" s="10">
        <f>SUM(I6:I10)</f>
        <v>91162.5</v>
      </c>
      <c r="J11" s="10">
        <f>SUM(J6:J10)</f>
        <v>1705000</v>
      </c>
      <c r="K11" s="59">
        <f>J11/I11</f>
        <v>18.702865761689292</v>
      </c>
      <c r="L11" s="43">
        <f>I11</f>
        <v>91162.5</v>
      </c>
      <c r="M11" s="65"/>
    </row>
    <row r="12" spans="1:13">
      <c r="B12" s="22" t="s">
        <v>86</v>
      </c>
      <c r="C12" s="14">
        <f>C11-C6</f>
        <v>1.65</v>
      </c>
      <c r="D12" s="10">
        <f>D11-D6</f>
        <v>5610000</v>
      </c>
      <c r="E12" s="61">
        <f>SUMPRODUCT(D7:D10, E7:E10)/D12</f>
        <v>2.5401069518716578E-2</v>
      </c>
      <c r="F12" s="61">
        <f>SUMPRODUCT(F7:F10, D7:D10) / SUM(D7:D10)</f>
        <v>0.3085561497326203</v>
      </c>
      <c r="G12" s="63">
        <f>AVERAGE(G7:G11)</f>
        <v>0.85</v>
      </c>
      <c r="H12" s="61">
        <f>SUMPRODUCT(H7:H10, D7:D10) / SUM(D7:D10)</f>
        <v>9.4318181818181818E-3</v>
      </c>
      <c r="I12" s="10">
        <f>I11-I6</f>
        <v>52912.500000000007</v>
      </c>
      <c r="J12" s="10">
        <f>J11-J6</f>
        <v>455000</v>
      </c>
      <c r="K12" s="59">
        <f>J12/I12</f>
        <v>8.5991022915190154</v>
      </c>
      <c r="L12" s="43">
        <f>I12</f>
        <v>52912.500000000007</v>
      </c>
    </row>
    <row r="13" spans="1:13">
      <c r="B13" s="6" t="s">
        <v>87</v>
      </c>
      <c r="C13" s="58">
        <f>C6+C8+C10</f>
        <v>1.55</v>
      </c>
      <c r="D13" s="13">
        <f>D6+D8+D10</f>
        <v>6050000</v>
      </c>
      <c r="E13" s="64">
        <f>(D6*E6+D8*E8+D10*E10)/D13</f>
        <v>2.5206611570247933E-2</v>
      </c>
      <c r="F13" s="64">
        <f>(D6*F6+D8*F8+D10*F10)/D13</f>
        <v>0.42892561983471073</v>
      </c>
      <c r="G13" s="63">
        <f>AVERAGE(G8:G12)</f>
        <v>0.85</v>
      </c>
      <c r="H13" s="64">
        <f>(H6*D6 + H8*D8+H10*D10)/D13</f>
        <v>1.1696280991735537E-2</v>
      </c>
      <c r="I13" s="13">
        <f>I6+I8+I10</f>
        <v>70762.5</v>
      </c>
      <c r="J13" s="13">
        <f>J6+J8+J10</f>
        <v>1475000</v>
      </c>
      <c r="K13" s="59">
        <f>J13/I13</f>
        <v>20.844373785550257</v>
      </c>
      <c r="L13" s="43">
        <f>I13</f>
        <v>70762.5</v>
      </c>
    </row>
    <row r="14" spans="1:13">
      <c r="L14" s="44"/>
    </row>
    <row r="15" spans="1:13" ht="12" thickBot="1">
      <c r="B15" s="6" t="s">
        <v>88</v>
      </c>
      <c r="L15" s="44"/>
    </row>
    <row r="16" spans="1:13" ht="24" thickTop="1" thickBot="1">
      <c r="C16" s="7" t="s">
        <v>78</v>
      </c>
      <c r="D16" s="8" t="s">
        <v>16</v>
      </c>
      <c r="E16" s="9" t="s">
        <v>17</v>
      </c>
      <c r="F16" s="9" t="s">
        <v>79</v>
      </c>
      <c r="G16" s="9" t="s">
        <v>80</v>
      </c>
      <c r="H16" s="9" t="s">
        <v>81</v>
      </c>
      <c r="I16" s="9" t="s">
        <v>82</v>
      </c>
      <c r="J16" s="9" t="s">
        <v>83</v>
      </c>
      <c r="K16" s="9" t="s">
        <v>84</v>
      </c>
      <c r="L16" s="44"/>
    </row>
    <row r="17" spans="2:12" ht="12" thickTop="1">
      <c r="B17" s="17" t="s">
        <v>19</v>
      </c>
      <c r="C17" s="14">
        <v>0.5</v>
      </c>
      <c r="D17" s="10">
        <v>1250000</v>
      </c>
      <c r="E17" s="19">
        <v>0.03</v>
      </c>
      <c r="F17" s="19">
        <v>0.6</v>
      </c>
      <c r="G17" s="19">
        <v>0.85</v>
      </c>
      <c r="H17" s="56">
        <f>E17*F17*G17</f>
        <v>1.5299999999999998E-2</v>
      </c>
      <c r="I17" s="10">
        <f>D17*H17</f>
        <v>19124.999999999996</v>
      </c>
      <c r="J17" s="10">
        <f>C17*D17</f>
        <v>625000</v>
      </c>
      <c r="K17" s="23">
        <f>J17/I17</f>
        <v>32.679738562091508</v>
      </c>
      <c r="L17" s="44"/>
    </row>
    <row r="18" spans="2:12">
      <c r="B18" s="17" t="s">
        <v>20</v>
      </c>
      <c r="C18" s="14">
        <v>0.1</v>
      </c>
      <c r="D18" s="10">
        <v>2000000</v>
      </c>
      <c r="E18" s="19">
        <v>2.5000000000000001E-2</v>
      </c>
      <c r="F18" s="19">
        <v>0.15</v>
      </c>
      <c r="G18" s="19">
        <v>0.85</v>
      </c>
      <c r="H18" s="56">
        <f t="shared" ref="H18:H21" si="1">E18*F18*G18</f>
        <v>3.1874999999999998E-3</v>
      </c>
      <c r="I18" s="10">
        <f t="shared" ref="I18:I21" si="2">D18*H18</f>
        <v>6375</v>
      </c>
      <c r="J18" s="10">
        <f t="shared" ref="J18:J21" si="3">C18*D18</f>
        <v>200000</v>
      </c>
      <c r="K18" s="23">
        <f>J18/I18</f>
        <v>31.372549019607842</v>
      </c>
      <c r="L18" s="44"/>
    </row>
    <row r="19" spans="2:12">
      <c r="B19" s="17" t="s">
        <v>21</v>
      </c>
      <c r="C19" s="21">
        <v>0.05</v>
      </c>
      <c r="D19" s="10">
        <v>3500000</v>
      </c>
      <c r="E19" s="19">
        <v>1.4999999999999999E-2</v>
      </c>
      <c r="F19" s="19">
        <v>0.15</v>
      </c>
      <c r="G19" s="19">
        <v>0.85</v>
      </c>
      <c r="H19" s="56">
        <f t="shared" si="1"/>
        <v>1.9124999999999997E-3</v>
      </c>
      <c r="I19" s="10">
        <f t="shared" si="2"/>
        <v>6693.7499999999991</v>
      </c>
      <c r="J19" s="10">
        <f t="shared" si="3"/>
        <v>175000</v>
      </c>
      <c r="K19" s="23">
        <f>J19/I19</f>
        <v>26.143790849673206</v>
      </c>
      <c r="L19" s="44"/>
    </row>
    <row r="20" spans="2:12" ht="15">
      <c r="B20" s="17" t="s">
        <v>22</v>
      </c>
      <c r="C20" s="62">
        <f>C35/C31</f>
        <v>0.5</v>
      </c>
      <c r="D20" s="10">
        <v>60000</v>
      </c>
      <c r="E20" s="19">
        <v>0.25</v>
      </c>
      <c r="F20" s="19">
        <v>0.6</v>
      </c>
      <c r="G20" s="19">
        <v>0.85</v>
      </c>
      <c r="H20" s="56">
        <f t="shared" si="1"/>
        <v>0.1275</v>
      </c>
      <c r="I20" s="10">
        <f t="shared" si="2"/>
        <v>7650</v>
      </c>
      <c r="J20" s="10">
        <f t="shared" si="3"/>
        <v>30000</v>
      </c>
      <c r="K20" s="23">
        <f>J20/I20</f>
        <v>3.9215686274509802</v>
      </c>
      <c r="L20" s="44"/>
    </row>
    <row r="21" spans="2:12">
      <c r="B21" s="17" t="s">
        <v>24</v>
      </c>
      <c r="C21" s="14">
        <v>1</v>
      </c>
      <c r="D21" s="10">
        <v>50000</v>
      </c>
      <c r="E21" s="19">
        <v>0.5</v>
      </c>
      <c r="F21" s="19">
        <v>0.9</v>
      </c>
      <c r="G21" s="19">
        <v>0.85</v>
      </c>
      <c r="H21" s="56">
        <f t="shared" si="1"/>
        <v>0.38250000000000001</v>
      </c>
      <c r="I21" s="10">
        <f t="shared" si="2"/>
        <v>19125</v>
      </c>
      <c r="J21" s="10">
        <f t="shared" si="3"/>
        <v>50000</v>
      </c>
      <c r="K21" s="23">
        <f>J21/I21</f>
        <v>2.6143790849673203</v>
      </c>
      <c r="L21" s="44"/>
    </row>
    <row r="22" spans="2:12" ht="15">
      <c r="B22" s="22" t="s">
        <v>89</v>
      </c>
      <c r="C22" s="14">
        <f>SUM(C17:C21)</f>
        <v>2.15</v>
      </c>
      <c r="D22" s="10">
        <f>SUM(D17:D21)</f>
        <v>6860000</v>
      </c>
      <c r="E22" s="66">
        <f>SUMPRODUCT(D17:D21, E17:E21)/D22</f>
        <v>2.6239067055393587E-2</v>
      </c>
      <c r="F22" s="19">
        <f>SUMPRODUCT(F17:F21, D17:D21) / SUM(D17:D21)</f>
        <v>0.241399416909621</v>
      </c>
      <c r="G22" s="19">
        <f>AVERAGE(G17:G21)</f>
        <v>0.85</v>
      </c>
      <c r="H22" s="56">
        <f>SUMPRODUCT(H17:H21, D17:D21) / SUM(D17:D21)</f>
        <v>8.5960276967930026E-3</v>
      </c>
      <c r="I22" s="67">
        <f>SUM(I17:I21)</f>
        <v>58968.75</v>
      </c>
      <c r="J22" s="10">
        <f>SUM(J17:J21)</f>
        <v>1080000</v>
      </c>
      <c r="K22" s="23">
        <f>J22/I22</f>
        <v>18.314785373608903</v>
      </c>
      <c r="L22" s="43">
        <f>I22</f>
        <v>58968.75</v>
      </c>
    </row>
    <row r="23" spans="2:12" ht="15">
      <c r="B23" s="22" t="s">
        <v>86</v>
      </c>
      <c r="C23" s="14">
        <f>C22-C17</f>
        <v>1.65</v>
      </c>
      <c r="D23" s="10">
        <f>D22-D17</f>
        <v>5610000</v>
      </c>
      <c r="E23" s="66">
        <f>SUMPRODUCT(D18:D22, E18:E22)/D23</f>
        <v>5.7486631016042782E-2</v>
      </c>
      <c r="F23" s="19">
        <f>SUMPRODUCT(F18:F22, D18:D22) / SUM(D18:D22)</f>
        <v>0.20545308740978349</v>
      </c>
      <c r="G23" s="19">
        <f>AVERAGE(G18:G22)</f>
        <v>0.85</v>
      </c>
      <c r="H23" s="56">
        <f>SUMPRODUCT(H18:H22, D18:D22) / SUM(D18:D22)</f>
        <v>7.9240176423416193E-3</v>
      </c>
      <c r="I23" s="67">
        <f>I22-I17</f>
        <v>39843.75</v>
      </c>
      <c r="J23" s="10">
        <f>J22-J17</f>
        <v>455000</v>
      </c>
      <c r="K23" s="23">
        <f>J23/I23</f>
        <v>11.419607843137255</v>
      </c>
      <c r="L23" s="43">
        <f>I23</f>
        <v>39843.75</v>
      </c>
    </row>
    <row r="24" spans="2:12" ht="15">
      <c r="B24" s="22" t="s">
        <v>90</v>
      </c>
      <c r="C24" s="14">
        <f>C17+C20+C21</f>
        <v>2</v>
      </c>
      <c r="D24" s="10">
        <f>D17+D20+D21</f>
        <v>1360000</v>
      </c>
      <c r="E24" s="66">
        <f>(D17*E17+D20*E20+D21*E21)/D24</f>
        <v>5.6985294117647058E-2</v>
      </c>
      <c r="F24" s="66">
        <f>($D$17*F17+$D$20*F20+$D$21*F21)/$D$24</f>
        <v>0.61102941176470593</v>
      </c>
      <c r="G24" s="19">
        <f>AVERAGE(G19:G23)</f>
        <v>0.85</v>
      </c>
      <c r="H24" s="66">
        <f>($D$17*H17+$D$20*H20+$D$21*H21)/$D$24</f>
        <v>3.3750000000000002E-2</v>
      </c>
      <c r="I24" s="67">
        <f>I17+I20+I21</f>
        <v>45900</v>
      </c>
      <c r="J24" s="10">
        <f>J17+J20+J21</f>
        <v>705000</v>
      </c>
      <c r="K24" s="23">
        <f>J24/I24</f>
        <v>15.359477124183007</v>
      </c>
      <c r="L24" s="43">
        <f>I24</f>
        <v>45900</v>
      </c>
    </row>
    <row r="26" spans="2:12">
      <c r="B26" s="16" t="s">
        <v>91</v>
      </c>
    </row>
    <row r="27" spans="2:12">
      <c r="B27" s="5" t="s">
        <v>92</v>
      </c>
      <c r="C27" s="10">
        <v>10</v>
      </c>
    </row>
    <row r="28" spans="2:12">
      <c r="B28" s="5" t="s">
        <v>93</v>
      </c>
      <c r="C28" s="10">
        <v>25</v>
      </c>
    </row>
    <row r="29" spans="2:12">
      <c r="B29" s="5" t="s">
        <v>94</v>
      </c>
      <c r="C29" s="10">
        <f>C31 / (C27*C28*C30)</f>
        <v>20</v>
      </c>
    </row>
    <row r="30" spans="2:12">
      <c r="B30" s="5" t="s">
        <v>95</v>
      </c>
      <c r="C30" s="10">
        <v>12</v>
      </c>
    </row>
    <row r="31" spans="2:12">
      <c r="B31" s="5" t="s">
        <v>96</v>
      </c>
      <c r="C31" s="10">
        <v>60000</v>
      </c>
    </row>
    <row r="32" spans="2:12">
      <c r="C32" s="10"/>
    </row>
    <row r="33" spans="2:3">
      <c r="B33" s="5" t="s">
        <v>97</v>
      </c>
      <c r="C33" s="10">
        <v>3000</v>
      </c>
    </row>
    <row r="34" spans="2:3">
      <c r="B34" s="5" t="s">
        <v>92</v>
      </c>
      <c r="C34" s="10">
        <v>10</v>
      </c>
    </row>
    <row r="35" spans="2:3">
      <c r="B35" s="5" t="s">
        <v>98</v>
      </c>
      <c r="C35" s="10">
        <f>C33*C34</f>
        <v>30000</v>
      </c>
    </row>
    <row r="36" spans="2:3">
      <c r="C36" s="10"/>
    </row>
  </sheetData>
  <phoneticPr fontId="9" type="noConversion"/>
  <pageMargins left="0.3" right="0.3" top="0.5" bottom="0.5" header="0.1" footer="0.1"/>
  <pageSetup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K70"/>
  <sheetViews>
    <sheetView tabSelected="1" zoomScale="125" zoomScaleNormal="125" workbookViewId="0">
      <pane xSplit="2" ySplit="7" topLeftCell="C8" activePane="bottomRight" state="frozen"/>
      <selection pane="bottomRight" activeCell="C4" sqref="C4:D4"/>
      <selection pane="bottomLeft" activeCell="A10" sqref="A10"/>
      <selection pane="topRight" activeCell="C1" sqref="C1"/>
    </sheetView>
  </sheetViews>
  <sheetFormatPr defaultRowHeight="11.25"/>
  <cols>
    <col min="1" max="1" width="2.28515625" style="5" customWidth="1"/>
    <col min="2" max="2" width="31.5703125" style="5" customWidth="1"/>
    <col min="3" max="3" width="19.85546875" style="5" customWidth="1"/>
    <col min="4" max="4" width="18" style="5" customWidth="1"/>
    <col min="5" max="5" width="19.85546875" style="5" customWidth="1"/>
    <col min="6" max="6" width="20" style="5" customWidth="1"/>
    <col min="7" max="7" width="29.5703125" style="5" customWidth="1"/>
    <col min="8" max="11" width="12.7109375" style="5" customWidth="1"/>
    <col min="12" max="14" width="11.7109375" style="5" customWidth="1"/>
    <col min="15" max="256" width="11.42578125" style="5" customWidth="1"/>
    <col min="257" max="16384" width="9.140625" style="5"/>
  </cols>
  <sheetData>
    <row r="1" spans="1:31" ht="12.75">
      <c r="A1" s="4"/>
      <c r="B1" s="11" t="s">
        <v>99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31">
      <c r="B2" s="16" t="s">
        <v>100</v>
      </c>
    </row>
    <row r="3" spans="1:31" ht="14.25" customHeight="1">
      <c r="B3" s="48" t="s">
        <v>101</v>
      </c>
      <c r="C3" s="113" t="s">
        <v>102</v>
      </c>
      <c r="D3" s="113"/>
      <c r="AA3" s="92" cm="1">
        <f t="array" ref="AA3:AE31">IF(C4="All Customers", IF(C5="All Channels", Table1, IF(C5="No Direct Mail", Table2, Table_3)), IF(C5="All Channels", Table4, IF(C5="No Direct Mail", Table5, Table6)))</f>
        <v>0</v>
      </c>
      <c r="AB3" s="5" t="str">
        <v>Number of Customers</v>
      </c>
      <c r="AC3" s="5">
        <v>0</v>
      </c>
      <c r="AD3" s="5">
        <v>0</v>
      </c>
      <c r="AE3" s="5">
        <v>0</v>
      </c>
    </row>
    <row r="4" spans="1:31" ht="14.25" customHeight="1">
      <c r="B4" s="5" t="s">
        <v>103</v>
      </c>
      <c r="C4" s="111" t="s">
        <v>104</v>
      </c>
      <c r="D4" s="111"/>
      <c r="E4" s="54"/>
      <c r="AA4" s="5">
        <v>0</v>
      </c>
      <c r="AB4" s="5">
        <v>50000</v>
      </c>
      <c r="AC4" s="5">
        <v>100000</v>
      </c>
      <c r="AD4" s="5">
        <v>150000</v>
      </c>
      <c r="AE4" s="5">
        <v>200000</v>
      </c>
    </row>
    <row r="5" spans="1:31" ht="14.25" customHeight="1">
      <c r="B5" s="5" t="s">
        <v>105</v>
      </c>
      <c r="C5" s="112" t="s">
        <v>106</v>
      </c>
      <c r="D5" s="112"/>
      <c r="AA5" s="5" t="str">
        <v xml:space="preserve">Per Customer </v>
      </c>
      <c r="AB5" s="5">
        <v>0</v>
      </c>
      <c r="AC5" s="5">
        <v>0</v>
      </c>
      <c r="AD5" s="5">
        <v>0</v>
      </c>
      <c r="AE5" s="5">
        <v>0</v>
      </c>
    </row>
    <row r="6" spans="1:31" ht="14.25" customHeight="1">
      <c r="B6" s="88"/>
      <c r="C6" s="114" t="s">
        <v>107</v>
      </c>
      <c r="D6" s="114"/>
      <c r="E6" s="114"/>
      <c r="F6" s="115"/>
      <c r="G6"/>
      <c r="H6"/>
      <c r="I6"/>
      <c r="J6"/>
      <c r="K6"/>
      <c r="L6"/>
      <c r="M6"/>
      <c r="AA6" s="5" t="str">
        <v>Revenue</v>
      </c>
      <c r="AB6" s="5">
        <v>163.31451612903226</v>
      </c>
      <c r="AC6" s="5">
        <v>163.31451612903226</v>
      </c>
      <c r="AD6" s="5">
        <v>163.31451612903226</v>
      </c>
      <c r="AE6" s="5">
        <v>163.31451612903226</v>
      </c>
    </row>
    <row r="7" spans="1:31" ht="14.25" customHeight="1">
      <c r="B7" s="89"/>
      <c r="C7" s="91">
        <v>50000</v>
      </c>
      <c r="D7" s="91">
        <v>100000</v>
      </c>
      <c r="E7" s="91">
        <v>150000</v>
      </c>
      <c r="F7" s="91">
        <v>200000</v>
      </c>
      <c r="G7"/>
      <c r="H7"/>
      <c r="I7"/>
      <c r="J7"/>
      <c r="K7"/>
      <c r="L7"/>
      <c r="M7"/>
      <c r="AA7" s="5" t="str">
        <v>Acquisition Cost</v>
      </c>
      <c r="AB7" s="5">
        <v>18.309999999999999</v>
      </c>
      <c r="AC7" s="5">
        <v>18.309999999999999</v>
      </c>
      <c r="AD7" s="5">
        <v>18.309999999999999</v>
      </c>
      <c r="AE7" s="5">
        <v>18.309999999999999</v>
      </c>
    </row>
    <row r="8" spans="1:31" ht="14.25" customHeight="1">
      <c r="B8" s="89" t="s">
        <v>108</v>
      </c>
      <c r="C8" s="87"/>
      <c r="D8" s="87"/>
      <c r="E8" s="87"/>
      <c r="F8" s="87"/>
      <c r="G8"/>
      <c r="H8"/>
      <c r="I8"/>
      <c r="J8"/>
      <c r="K8"/>
      <c r="L8"/>
      <c r="M8"/>
      <c r="AA8" s="5" t="str">
        <v>Direct Cost</v>
      </c>
      <c r="AB8" s="5">
        <v>20</v>
      </c>
      <c r="AC8" s="5">
        <v>17.5</v>
      </c>
      <c r="AD8" s="5">
        <v>15</v>
      </c>
      <c r="AE8" s="5">
        <v>12.5</v>
      </c>
    </row>
    <row r="9" spans="1:31" ht="12.75">
      <c r="B9" s="87" t="s">
        <v>109</v>
      </c>
      <c r="C9" s="95">
        <f>AB6</f>
        <v>163.31451612903226</v>
      </c>
      <c r="D9" s="95">
        <f t="shared" ref="D9:F11" si="0">AC6</f>
        <v>163.31451612903226</v>
      </c>
      <c r="E9" s="95">
        <f t="shared" si="0"/>
        <v>163.31451612903226</v>
      </c>
      <c r="F9" s="95">
        <f t="shared" si="0"/>
        <v>163.31451612903226</v>
      </c>
      <c r="H9"/>
      <c r="I9"/>
      <c r="J9"/>
      <c r="K9"/>
      <c r="L9"/>
      <c r="M9"/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ht="12.75">
      <c r="B10" s="87" t="s">
        <v>110</v>
      </c>
      <c r="C10" s="95">
        <f t="shared" ref="C10:C20" si="1">AB7</f>
        <v>18.309999999999999</v>
      </c>
      <c r="D10" s="95">
        <f t="shared" si="0"/>
        <v>18.309999999999999</v>
      </c>
      <c r="E10" s="95">
        <f t="shared" si="0"/>
        <v>18.309999999999999</v>
      </c>
      <c r="F10" s="95">
        <f t="shared" si="0"/>
        <v>18.309999999999999</v>
      </c>
      <c r="G10"/>
      <c r="H10"/>
      <c r="I10"/>
      <c r="J10"/>
      <c r="K10"/>
      <c r="L10"/>
      <c r="M10"/>
      <c r="AA10" s="5" t="str">
        <v>Costs: New Customer</v>
      </c>
      <c r="AB10" s="5">
        <v>38.31</v>
      </c>
      <c r="AC10" s="5">
        <v>35.81</v>
      </c>
      <c r="AD10" s="5">
        <v>33.31</v>
      </c>
      <c r="AE10" s="5">
        <v>30.81</v>
      </c>
    </row>
    <row r="11" spans="1:31" ht="12.75">
      <c r="B11" s="87" t="s">
        <v>111</v>
      </c>
      <c r="C11" s="95">
        <f t="shared" si="1"/>
        <v>20</v>
      </c>
      <c r="D11" s="95">
        <f t="shared" si="0"/>
        <v>17.5</v>
      </c>
      <c r="E11" s="95">
        <f t="shared" si="0"/>
        <v>15</v>
      </c>
      <c r="F11" s="95">
        <f t="shared" si="0"/>
        <v>12.5</v>
      </c>
      <c r="G11"/>
      <c r="H11"/>
      <c r="I11"/>
      <c r="J11"/>
      <c r="K11"/>
      <c r="L11"/>
      <c r="M11"/>
      <c r="AA11" s="5" t="str">
        <v>Costs: Existing Customer</v>
      </c>
      <c r="AB11" s="5">
        <v>20</v>
      </c>
      <c r="AC11" s="5">
        <v>17.5</v>
      </c>
      <c r="AD11" s="5">
        <v>15</v>
      </c>
      <c r="AE11" s="5">
        <v>12.5</v>
      </c>
    </row>
    <row r="12" spans="1:31" ht="10.5" customHeight="1">
      <c r="B12" s="87"/>
      <c r="C12" s="95"/>
      <c r="D12" s="87"/>
      <c r="E12" s="87"/>
      <c r="F12" s="87"/>
      <c r="G12"/>
      <c r="H12"/>
      <c r="I12"/>
      <c r="J12"/>
      <c r="K12"/>
      <c r="L12"/>
      <c r="M12"/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ht="12.75">
      <c r="B13" s="87" t="s">
        <v>112</v>
      </c>
      <c r="C13" s="95">
        <f t="shared" si="1"/>
        <v>38.31</v>
      </c>
      <c r="D13" s="95">
        <f t="shared" ref="D13:D14" si="2">AC10</f>
        <v>35.81</v>
      </c>
      <c r="E13" s="95">
        <f t="shared" ref="E13:E14" si="3">AD10</f>
        <v>33.31</v>
      </c>
      <c r="F13" s="95">
        <f t="shared" ref="F13:F14" si="4">AE10</f>
        <v>30.81</v>
      </c>
      <c r="G13"/>
      <c r="H13"/>
      <c r="I13"/>
      <c r="J13"/>
      <c r="K13"/>
      <c r="L13"/>
      <c r="M13"/>
      <c r="AA13" s="5" t="str">
        <v>Contribution: New Customer</v>
      </c>
      <c r="AB13" s="5">
        <v>125.00451612903225</v>
      </c>
      <c r="AC13" s="5">
        <v>127.50451612903225</v>
      </c>
      <c r="AD13" s="5">
        <v>130.00451612903225</v>
      </c>
      <c r="AE13" s="5">
        <v>132.50451612903225</v>
      </c>
    </row>
    <row r="14" spans="1:31" ht="12.75">
      <c r="B14" s="87" t="s">
        <v>113</v>
      </c>
      <c r="C14" s="95">
        <f t="shared" si="1"/>
        <v>20</v>
      </c>
      <c r="D14" s="95">
        <f t="shared" si="2"/>
        <v>17.5</v>
      </c>
      <c r="E14" s="95">
        <f t="shared" si="3"/>
        <v>15</v>
      </c>
      <c r="F14" s="95">
        <f t="shared" si="4"/>
        <v>12.5</v>
      </c>
      <c r="G14"/>
      <c r="H14"/>
      <c r="I14"/>
      <c r="J14"/>
      <c r="K14"/>
      <c r="L14"/>
      <c r="M14"/>
      <c r="AA14" s="5" t="str">
        <v>Contribution: Existing Customer</v>
      </c>
      <c r="AB14" s="5">
        <v>143.31451612903226</v>
      </c>
      <c r="AC14" s="5">
        <v>145.81451612903226</v>
      </c>
      <c r="AD14" s="5">
        <v>148.31451612903226</v>
      </c>
      <c r="AE14" s="5">
        <v>150.81451612903226</v>
      </c>
    </row>
    <row r="15" spans="1:31" ht="12.75">
      <c r="B15" s="87"/>
      <c r="C15" s="95"/>
      <c r="D15" s="87"/>
      <c r="E15" s="87"/>
      <c r="F15" s="87"/>
      <c r="G15"/>
      <c r="H15"/>
      <c r="I15"/>
      <c r="J15"/>
      <c r="K15"/>
      <c r="L15"/>
      <c r="M15"/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ht="12.75">
      <c r="B16" s="87" t="s">
        <v>114</v>
      </c>
      <c r="C16" s="95">
        <f t="shared" si="1"/>
        <v>125.00451612903225</v>
      </c>
      <c r="D16" s="95">
        <f t="shared" ref="D16:D17" si="5">AC13</f>
        <v>127.50451612903225</v>
      </c>
      <c r="E16" s="95">
        <f>AD13</f>
        <v>130.00451612903225</v>
      </c>
      <c r="F16" s="95">
        <f t="shared" ref="F16:F17" si="6">AE13</f>
        <v>132.50451612903225</v>
      </c>
      <c r="G16"/>
      <c r="H16"/>
      <c r="I16"/>
      <c r="J16"/>
      <c r="K16"/>
      <c r="L16"/>
      <c r="M16"/>
      <c r="AA16" s="5" t="str">
        <v>New Customers</v>
      </c>
      <c r="AB16" s="5">
        <v>50000</v>
      </c>
      <c r="AC16" s="5">
        <v>50000</v>
      </c>
      <c r="AD16" s="5">
        <v>50000</v>
      </c>
      <c r="AE16" s="5">
        <v>50000</v>
      </c>
    </row>
    <row r="17" spans="2:31" ht="12.75">
      <c r="B17" s="87" t="s">
        <v>115</v>
      </c>
      <c r="C17" s="95">
        <f t="shared" si="1"/>
        <v>143.31451612903226</v>
      </c>
      <c r="D17" s="95">
        <f t="shared" si="5"/>
        <v>145.81451612903226</v>
      </c>
      <c r="E17" s="95">
        <f t="shared" ref="E16:E17" si="7">AD14</f>
        <v>148.31451612903226</v>
      </c>
      <c r="F17" s="95">
        <f t="shared" si="6"/>
        <v>150.81451612903226</v>
      </c>
      <c r="G17"/>
      <c r="H17"/>
      <c r="I17"/>
      <c r="J17"/>
      <c r="K17"/>
      <c r="L17"/>
      <c r="M17"/>
      <c r="AA17" s="5" t="str">
        <v>Existing Customers</v>
      </c>
      <c r="AB17" s="5">
        <v>0</v>
      </c>
      <c r="AC17" s="5">
        <v>50000</v>
      </c>
      <c r="AD17" s="5">
        <v>100000</v>
      </c>
      <c r="AE17" s="5">
        <v>150000</v>
      </c>
    </row>
    <row r="18" spans="2:31" ht="11.25" customHeight="1">
      <c r="B18" s="87"/>
      <c r="C18" s="95"/>
      <c r="D18" s="87"/>
      <c r="E18" s="87"/>
      <c r="F18" s="87"/>
      <c r="G18"/>
      <c r="H18"/>
      <c r="I18"/>
      <c r="J18"/>
      <c r="K18"/>
      <c r="L18"/>
      <c r="M18"/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2:31" ht="12.75">
      <c r="B19" s="87" t="s">
        <v>116</v>
      </c>
      <c r="C19" s="96">
        <f t="shared" si="1"/>
        <v>50000</v>
      </c>
      <c r="D19" s="96">
        <f t="shared" ref="D19" si="8">AC16</f>
        <v>50000</v>
      </c>
      <c r="E19" s="96">
        <f t="shared" ref="E19" si="9">AD16</f>
        <v>50000</v>
      </c>
      <c r="F19" s="96">
        <f t="shared" ref="F19" si="10">AE16</f>
        <v>50000</v>
      </c>
      <c r="G19"/>
      <c r="H19"/>
      <c r="I19"/>
      <c r="J19"/>
      <c r="K19"/>
      <c r="L19"/>
      <c r="M19"/>
      <c r="AA19" s="5" t="str">
        <v>Credit Card Profitability</v>
      </c>
      <c r="AB19" s="5">
        <v>0</v>
      </c>
      <c r="AC19" s="5">
        <v>0</v>
      </c>
      <c r="AD19" s="5">
        <v>0</v>
      </c>
      <c r="AE19" s="5">
        <v>0</v>
      </c>
    </row>
    <row r="20" spans="2:31" ht="12.75">
      <c r="B20" s="87" t="s">
        <v>117</v>
      </c>
      <c r="C20" s="96">
        <f>AB17</f>
        <v>0</v>
      </c>
      <c r="D20" s="96">
        <f t="shared" ref="D20" si="11">AC17</f>
        <v>50000</v>
      </c>
      <c r="E20" s="96">
        <f t="shared" ref="E20" si="12">AD17</f>
        <v>100000</v>
      </c>
      <c r="F20" s="96">
        <f t="shared" ref="F20" si="13">AE17</f>
        <v>150000</v>
      </c>
      <c r="G20"/>
      <c r="H20"/>
      <c r="I20"/>
      <c r="J20"/>
      <c r="K20"/>
      <c r="L20"/>
      <c r="M20"/>
      <c r="AA20" s="5" t="str">
        <v>New Customer</v>
      </c>
      <c r="AB20" s="5">
        <v>6250225.8064516131</v>
      </c>
      <c r="AC20" s="5">
        <v>6375225.8064516131</v>
      </c>
      <c r="AD20" s="5">
        <v>6500225.8064516131</v>
      </c>
      <c r="AE20" s="5">
        <v>6625225.8064516131</v>
      </c>
    </row>
    <row r="21" spans="2:31" ht="12.75" customHeight="1">
      <c r="B21" s="87"/>
      <c r="C21" s="96"/>
      <c r="D21" s="87"/>
      <c r="E21" s="87"/>
      <c r="F21" s="87"/>
      <c r="G21"/>
      <c r="H21"/>
      <c r="I21"/>
      <c r="J21"/>
      <c r="K21"/>
      <c r="L21"/>
      <c r="M21"/>
      <c r="AA21" s="5" t="str">
        <v>Existing Customer</v>
      </c>
      <c r="AB21" s="5">
        <v>0</v>
      </c>
      <c r="AC21" s="5">
        <v>7290725.8064516131</v>
      </c>
      <c r="AD21" s="5">
        <v>14831451.612903226</v>
      </c>
      <c r="AE21" s="5">
        <v>22622177.419354837</v>
      </c>
    </row>
    <row r="22" spans="2:31" ht="12.75">
      <c r="B22" s="89" t="s">
        <v>118</v>
      </c>
      <c r="C22" s="96"/>
      <c r="D22" s="87"/>
      <c r="E22" s="87"/>
      <c r="F22" s="87"/>
      <c r="G22"/>
      <c r="H22"/>
      <c r="I22"/>
      <c r="J22"/>
      <c r="K22"/>
      <c r="L22"/>
      <c r="M22"/>
      <c r="AA22" s="5" t="str">
        <v>Total Contribution</v>
      </c>
      <c r="AB22" s="5">
        <v>6250225.8064516131</v>
      </c>
      <c r="AC22" s="5">
        <v>13665951.612903226</v>
      </c>
      <c r="AD22" s="5">
        <v>21331677.419354841</v>
      </c>
      <c r="AE22" s="5">
        <v>29247403.225806452</v>
      </c>
    </row>
    <row r="23" spans="2:31" ht="12.75">
      <c r="B23" s="87" t="s">
        <v>119</v>
      </c>
      <c r="C23" s="95">
        <f t="shared" ref="C21:C29" si="14">AB20</f>
        <v>6250225.8064516131</v>
      </c>
      <c r="D23" s="95">
        <f t="shared" ref="D23" si="15">AC20</f>
        <v>6375225.8064516131</v>
      </c>
      <c r="E23" s="95">
        <f t="shared" ref="E23" si="16">AD20</f>
        <v>6500225.8064516131</v>
      </c>
      <c r="F23" s="95">
        <f t="shared" ref="F23" si="17">AE20</f>
        <v>6625225.8064516131</v>
      </c>
      <c r="G23"/>
      <c r="H23"/>
      <c r="I23"/>
      <c r="J23"/>
      <c r="K23"/>
      <c r="L23"/>
      <c r="M23"/>
      <c r="AA23" s="5" t="str">
        <v>Fixed Cost Infrastructure</v>
      </c>
      <c r="AB23" s="5">
        <v>5000000</v>
      </c>
      <c r="AC23" s="5">
        <v>5750000</v>
      </c>
      <c r="AD23" s="5">
        <v>6500000</v>
      </c>
      <c r="AE23" s="5">
        <v>7250000</v>
      </c>
    </row>
    <row r="24" spans="2:31" ht="12.75">
      <c r="B24" s="90" t="s">
        <v>120</v>
      </c>
      <c r="C24" s="95">
        <f t="shared" ref="C24:C34" si="18">AB21</f>
        <v>0</v>
      </c>
      <c r="D24" s="95">
        <f t="shared" ref="D24:D29" si="19">AC21</f>
        <v>7290725.8064516131</v>
      </c>
      <c r="E24" s="95">
        <f t="shared" ref="E24:E29" si="20">AD21</f>
        <v>14831451.612903226</v>
      </c>
      <c r="F24" s="95">
        <f t="shared" ref="F24:F29" si="21">AE21</f>
        <v>22622177.419354837</v>
      </c>
      <c r="G24"/>
      <c r="H24"/>
      <c r="I24"/>
      <c r="J24"/>
      <c r="K24"/>
      <c r="L24"/>
      <c r="M24"/>
      <c r="AA24" s="5" t="str">
        <v>Advertising Expense</v>
      </c>
      <c r="AB24" s="5">
        <v>2000000</v>
      </c>
      <c r="AC24" s="5">
        <v>2000000</v>
      </c>
      <c r="AD24" s="5">
        <v>2000000</v>
      </c>
      <c r="AE24" s="5">
        <v>2000000</v>
      </c>
    </row>
    <row r="25" spans="2:31" ht="12.75">
      <c r="B25" s="87" t="s">
        <v>121</v>
      </c>
      <c r="C25" s="95">
        <f t="shared" si="18"/>
        <v>6250225.8064516131</v>
      </c>
      <c r="D25" s="95">
        <f t="shared" si="19"/>
        <v>13665951.612903226</v>
      </c>
      <c r="E25" s="95">
        <f t="shared" si="20"/>
        <v>21331677.419354841</v>
      </c>
      <c r="F25" s="95">
        <f t="shared" si="21"/>
        <v>29247403.225806452</v>
      </c>
      <c r="G25"/>
      <c r="H25"/>
      <c r="I25"/>
      <c r="J25"/>
      <c r="K25"/>
      <c r="L25"/>
      <c r="M25"/>
      <c r="AA25" s="5" t="str">
        <v>Profit (Loss)</v>
      </c>
      <c r="AB25" s="5">
        <v>-749774.19354838692</v>
      </c>
      <c r="AC25" s="5">
        <v>5915951.6129032262</v>
      </c>
      <c r="AD25" s="5">
        <v>12831677.419354841</v>
      </c>
      <c r="AE25" s="5">
        <v>19997403.225806452</v>
      </c>
    </row>
    <row r="26" spans="2:31" ht="12.75">
      <c r="B26" s="87" t="s">
        <v>122</v>
      </c>
      <c r="C26" s="95">
        <f t="shared" si="18"/>
        <v>5000000</v>
      </c>
      <c r="D26" s="95">
        <f t="shared" si="19"/>
        <v>5750000</v>
      </c>
      <c r="E26" s="95">
        <f t="shared" si="20"/>
        <v>6500000</v>
      </c>
      <c r="F26" s="95">
        <f t="shared" si="21"/>
        <v>7250000</v>
      </c>
      <c r="G26"/>
      <c r="H26"/>
      <c r="I26"/>
      <c r="J26"/>
      <c r="K26"/>
      <c r="L26"/>
      <c r="M26"/>
      <c r="AA26" s="5" t="str">
        <v>Cumulative Profit (Loss)</v>
      </c>
      <c r="AB26" s="5">
        <v>-749774.19354838692</v>
      </c>
      <c r="AC26" s="5">
        <v>5166177.4193548393</v>
      </c>
      <c r="AD26" s="5">
        <v>17997854.838709682</v>
      </c>
      <c r="AE26" s="5">
        <v>37995258.064516135</v>
      </c>
    </row>
    <row r="27" spans="2:31" ht="12.75">
      <c r="B27" s="90" t="s">
        <v>123</v>
      </c>
      <c r="C27" s="95">
        <f t="shared" si="18"/>
        <v>2000000</v>
      </c>
      <c r="D27" s="95">
        <f t="shared" si="19"/>
        <v>2000000</v>
      </c>
      <c r="E27" s="95">
        <f t="shared" si="20"/>
        <v>2000000</v>
      </c>
      <c r="F27" s="95">
        <f t="shared" si="21"/>
        <v>2000000</v>
      </c>
      <c r="G27"/>
      <c r="H27"/>
      <c r="I27"/>
      <c r="J27" s="75"/>
      <c r="K27"/>
      <c r="L27"/>
      <c r="M27"/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2:31" ht="12.75">
      <c r="B28" s="87" t="s">
        <v>124</v>
      </c>
      <c r="C28" s="95">
        <f t="shared" si="18"/>
        <v>-749774.19354838692</v>
      </c>
      <c r="D28" s="95">
        <f t="shared" si="19"/>
        <v>5915951.6129032262</v>
      </c>
      <c r="E28" s="95">
        <f t="shared" si="20"/>
        <v>12831677.419354841</v>
      </c>
      <c r="F28" s="95">
        <f t="shared" si="21"/>
        <v>19997403.225806452</v>
      </c>
      <c r="G28"/>
      <c r="H28"/>
      <c r="I28"/>
      <c r="J28"/>
      <c r="K28"/>
      <c r="L28"/>
      <c r="M28"/>
      <c r="AA28" s="5" t="str">
        <v>Breakeven (customers)</v>
      </c>
      <c r="AB28" s="5">
        <v>55997.976847288097</v>
      </c>
      <c r="AC28" s="5">
        <v>53602.022951748702</v>
      </c>
      <c r="AD28" s="5">
        <v>51298.217927913167</v>
      </c>
      <c r="AE28" s="5">
        <v>49081.345979686637</v>
      </c>
    </row>
    <row r="29" spans="2:31" ht="12.75">
      <c r="B29" s="87" t="s">
        <v>125</v>
      </c>
      <c r="C29" s="95">
        <f t="shared" si="18"/>
        <v>-749774.19354838692</v>
      </c>
      <c r="D29" s="95">
        <f t="shared" si="19"/>
        <v>5166177.4193548393</v>
      </c>
      <c r="E29" s="95">
        <f t="shared" si="20"/>
        <v>17997854.838709682</v>
      </c>
      <c r="F29" s="95">
        <f t="shared" si="21"/>
        <v>37995258.064516135</v>
      </c>
      <c r="G29"/>
      <c r="H29"/>
      <c r="I29"/>
      <c r="J29"/>
      <c r="K29"/>
      <c r="L29"/>
      <c r="M29"/>
      <c r="AA29" s="5" t="str">
        <v>5M Profit (customers)</v>
      </c>
      <c r="AB29" s="5">
        <v>95996.53173820817</v>
      </c>
      <c r="AC29" s="5">
        <v>92816.320231541453</v>
      </c>
      <c r="AD29" s="5">
        <v>89758.42030301677</v>
      </c>
      <c r="AE29" s="5">
        <v>86815.908891723724</v>
      </c>
    </row>
    <row r="30" spans="2:31" ht="12.75">
      <c r="B30" s="87"/>
      <c r="C30" s="95"/>
      <c r="D30" s="87"/>
      <c r="E30" s="87"/>
      <c r="F30" s="87"/>
      <c r="G30"/>
      <c r="H30"/>
      <c r="I30"/>
      <c r="J30"/>
      <c r="K30"/>
      <c r="L30"/>
      <c r="M30"/>
      <c r="AA30" s="5" t="str">
        <v xml:space="preserve">Time required breakeven (months) </v>
      </c>
      <c r="AB30" s="5">
        <v>10.907883843917066</v>
      </c>
      <c r="AC30" s="5">
        <v>0</v>
      </c>
      <c r="AD30" s="5">
        <v>0</v>
      </c>
      <c r="AE30" s="5">
        <v>0</v>
      </c>
    </row>
    <row r="31" spans="2:31" ht="12.75">
      <c r="B31" s="105" t="s">
        <v>126</v>
      </c>
      <c r="C31" s="98">
        <f>AB28</f>
        <v>55997.976847288097</v>
      </c>
      <c r="D31" s="99">
        <f>AC28</f>
        <v>53602.022951748702</v>
      </c>
      <c r="E31" s="98">
        <f>AD28</f>
        <v>51298.217927913167</v>
      </c>
      <c r="F31" s="101">
        <f>AE28</f>
        <v>49081.345979686637</v>
      </c>
      <c r="G31" t="str">
        <f>'Economics SubTables'!F27</f>
        <v>the only value in the right range is the second one</v>
      </c>
      <c r="I31"/>
      <c r="J31"/>
      <c r="K31"/>
      <c r="L31"/>
      <c r="M31"/>
      <c r="AA31" s="5" t="str">
        <v xml:space="preserve">Time required profit (months) </v>
      </c>
      <c r="AB31" s="5">
        <v>18.265624481377021</v>
      </c>
      <c r="AC31" s="5">
        <v>0</v>
      </c>
      <c r="AD31" s="5">
        <v>0</v>
      </c>
      <c r="AE31" s="5">
        <v>0</v>
      </c>
    </row>
    <row r="32" spans="2:31" ht="12.75">
      <c r="B32" s="73" t="s">
        <v>127</v>
      </c>
      <c r="C32" s="100">
        <f t="shared" si="18"/>
        <v>95996.53173820817</v>
      </c>
      <c r="D32" s="102">
        <f>AC29</f>
        <v>92816.320231541453</v>
      </c>
      <c r="E32" s="103">
        <f>AD29</f>
        <v>89758.42030301677</v>
      </c>
      <c r="F32" s="104">
        <f>AE29</f>
        <v>86815.908891723724</v>
      </c>
      <c r="G32" t="str">
        <f>'Economics SubTables'!F28</f>
        <v>the only value in the right range is the third one</v>
      </c>
      <c r="I32"/>
      <c r="J32"/>
      <c r="K32"/>
      <c r="L32"/>
      <c r="M32"/>
    </row>
    <row r="33" spans="2:37" ht="12.75">
      <c r="B33" s="93" t="s">
        <v>128</v>
      </c>
      <c r="C33" s="106">
        <f t="shared" si="18"/>
        <v>10.907883843917066</v>
      </c>
      <c r="D33" s="97"/>
      <c r="E33" s="97"/>
      <c r="F33" s="97"/>
      <c r="G33"/>
      <c r="H33"/>
      <c r="I33"/>
      <c r="J33"/>
      <c r="K33"/>
      <c r="L33"/>
      <c r="M33"/>
    </row>
    <row r="34" spans="2:37" ht="12.75">
      <c r="B34" s="94" t="s">
        <v>129</v>
      </c>
      <c r="C34" s="107">
        <f t="shared" si="18"/>
        <v>18.265624481377021</v>
      </c>
      <c r="D34" s="97"/>
      <c r="E34" s="97"/>
      <c r="F34" s="97"/>
      <c r="G34"/>
      <c r="H34"/>
      <c r="I34"/>
      <c r="J34"/>
      <c r="K34"/>
      <c r="L34"/>
      <c r="M34"/>
    </row>
    <row r="35" spans="2:37" ht="11.25" customHeight="1"/>
    <row r="41" spans="2:37" ht="15">
      <c r="AA41" s="5" t="s">
        <v>130</v>
      </c>
      <c r="AG41" s="92" t="s">
        <v>131</v>
      </c>
    </row>
    <row r="42" spans="2:37">
      <c r="AA42" s="5" cm="1">
        <f t="array" ref="AA42:AE70">IF(C5="All Channels", Table1, IF(C5="No Direct Mail", Table2, Table_3))</f>
        <v>0</v>
      </c>
      <c r="AB42" s="5" t="str">
        <v>Number of Customers</v>
      </c>
      <c r="AC42" s="5">
        <v>0</v>
      </c>
      <c r="AD42" s="5">
        <v>0</v>
      </c>
      <c r="AE42" s="5">
        <v>0</v>
      </c>
      <c r="AG42" s="5" cm="1">
        <f t="array" ref="AG42:AK70">IF(C5="All Channels", Table4, IF(C5="No Direct Mail", Table5, Table6))</f>
        <v>0</v>
      </c>
      <c r="AH42" s="5" t="str">
        <v>Number of Customers</v>
      </c>
      <c r="AI42" s="5">
        <v>0</v>
      </c>
      <c r="AJ42" s="5">
        <v>0</v>
      </c>
      <c r="AK42" s="5">
        <v>0</v>
      </c>
    </row>
    <row r="43" spans="2:37">
      <c r="AA43" s="5">
        <v>0</v>
      </c>
      <c r="AB43" s="5">
        <v>50000</v>
      </c>
      <c r="AC43" s="5">
        <v>100000</v>
      </c>
      <c r="AD43" s="5">
        <v>150000</v>
      </c>
      <c r="AE43" s="5">
        <v>200000</v>
      </c>
      <c r="AG43" s="5">
        <v>0</v>
      </c>
      <c r="AH43" s="5">
        <v>50000</v>
      </c>
      <c r="AI43" s="5">
        <v>100000</v>
      </c>
      <c r="AJ43" s="5">
        <v>150000</v>
      </c>
      <c r="AK43" s="5">
        <v>200000</v>
      </c>
    </row>
    <row r="44" spans="2:37">
      <c r="C44" s="44" t="s">
        <v>132</v>
      </c>
      <c r="D44" s="44" t="s">
        <v>106</v>
      </c>
      <c r="AA44" s="5" t="str">
        <v xml:space="preserve">Per Customer </v>
      </c>
      <c r="AB44" s="5">
        <v>0</v>
      </c>
      <c r="AC44" s="5">
        <v>0</v>
      </c>
      <c r="AD44" s="5">
        <v>0</v>
      </c>
      <c r="AE44" s="5">
        <v>0</v>
      </c>
      <c r="AG44" s="5" t="str">
        <v xml:space="preserve">Per Customer </v>
      </c>
      <c r="AH44" s="5">
        <v>0</v>
      </c>
      <c r="AI44" s="5">
        <v>0</v>
      </c>
      <c r="AJ44" s="5">
        <v>0</v>
      </c>
      <c r="AK44" s="5">
        <v>0</v>
      </c>
    </row>
    <row r="45" spans="2:37" ht="15" customHeight="1">
      <c r="C45" s="44" t="s">
        <v>104</v>
      </c>
      <c r="D45" s="44" t="s">
        <v>86</v>
      </c>
      <c r="AA45" s="5" t="str">
        <v>Revenue</v>
      </c>
      <c r="AB45" s="5">
        <v>122.77529284164859</v>
      </c>
      <c r="AC45" s="5">
        <v>122.77529284164859</v>
      </c>
      <c r="AD45" s="5">
        <v>122.77529284164859</v>
      </c>
      <c r="AE45" s="5">
        <v>122.77529284164859</v>
      </c>
      <c r="AG45" s="5" t="str">
        <v>Revenue</v>
      </c>
      <c r="AH45" s="5">
        <v>163.31451612903226</v>
      </c>
      <c r="AI45" s="5">
        <v>163.31451612903226</v>
      </c>
      <c r="AJ45" s="5">
        <v>163.31451612903226</v>
      </c>
      <c r="AK45" s="5">
        <v>163.31451612903226</v>
      </c>
    </row>
    <row r="46" spans="2:37">
      <c r="C46" s="44"/>
      <c r="D46" s="44" t="s">
        <v>133</v>
      </c>
      <c r="AA46" s="5" t="str">
        <v>Acquisition Cost</v>
      </c>
      <c r="AB46" s="5">
        <v>18.702865761689292</v>
      </c>
      <c r="AC46" s="5">
        <v>18.702865761689292</v>
      </c>
      <c r="AD46" s="5">
        <v>18.702865761689292</v>
      </c>
      <c r="AE46" s="5">
        <v>18.702865761689292</v>
      </c>
      <c r="AG46" s="5" t="str">
        <v>Acquisition Cost</v>
      </c>
      <c r="AH46" s="5">
        <v>18.309999999999999</v>
      </c>
      <c r="AI46" s="5">
        <v>18.309999999999999</v>
      </c>
      <c r="AJ46" s="5">
        <v>18.309999999999999</v>
      </c>
      <c r="AK46" s="5">
        <v>18.309999999999999</v>
      </c>
    </row>
    <row r="47" spans="2:37">
      <c r="AA47" s="5" t="str">
        <v>Direct Cost</v>
      </c>
      <c r="AB47" s="5">
        <v>20</v>
      </c>
      <c r="AC47" s="5">
        <v>17.5</v>
      </c>
      <c r="AD47" s="5">
        <v>15</v>
      </c>
      <c r="AE47" s="5">
        <v>12.5</v>
      </c>
      <c r="AG47" s="5" t="str">
        <v>Direct Cost</v>
      </c>
      <c r="AH47" s="5">
        <v>20</v>
      </c>
      <c r="AI47" s="5">
        <v>17.5</v>
      </c>
      <c r="AJ47" s="5">
        <v>15</v>
      </c>
      <c r="AK47" s="5">
        <v>12.5</v>
      </c>
    </row>
    <row r="48" spans="2:37"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</row>
    <row r="49" spans="27:37">
      <c r="AA49" s="5" t="str">
        <v>Costs: New Customer</v>
      </c>
      <c r="AB49" s="5">
        <v>38.702865761689296</v>
      </c>
      <c r="AC49" s="5">
        <v>36.202865761689296</v>
      </c>
      <c r="AD49" s="5">
        <v>33.702865761689296</v>
      </c>
      <c r="AE49" s="5">
        <v>31.202865761689292</v>
      </c>
      <c r="AG49" s="5" t="str">
        <v>Costs: New Customer</v>
      </c>
      <c r="AH49" s="5">
        <v>38.31</v>
      </c>
      <c r="AI49" s="5">
        <v>35.81</v>
      </c>
      <c r="AJ49" s="5">
        <v>33.31</v>
      </c>
      <c r="AK49" s="5">
        <v>30.81</v>
      </c>
    </row>
    <row r="50" spans="27:37">
      <c r="AA50" s="5" t="str">
        <v>Costs: Existing Customer</v>
      </c>
      <c r="AB50" s="5">
        <v>20</v>
      </c>
      <c r="AC50" s="5">
        <v>17.5</v>
      </c>
      <c r="AD50" s="5">
        <v>15</v>
      </c>
      <c r="AE50" s="5">
        <v>12.5</v>
      </c>
      <c r="AG50" s="5" t="str">
        <v>Costs: Existing Customer</v>
      </c>
      <c r="AH50" s="5">
        <v>20</v>
      </c>
      <c r="AI50" s="5">
        <v>17.5</v>
      </c>
      <c r="AJ50" s="5">
        <v>15</v>
      </c>
      <c r="AK50" s="5">
        <v>12.5</v>
      </c>
    </row>
    <row r="51" spans="27:37"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</row>
    <row r="52" spans="27:37">
      <c r="AA52" s="5" t="str">
        <v>Contribution: New Customer</v>
      </c>
      <c r="AB52" s="5">
        <v>84.072427079959297</v>
      </c>
      <c r="AC52" s="5">
        <v>86.572427079959297</v>
      </c>
      <c r="AD52" s="5">
        <v>89.072427079959297</v>
      </c>
      <c r="AE52" s="5">
        <v>91.572427079959297</v>
      </c>
      <c r="AG52" s="5" t="str">
        <v>Contribution: New Customer</v>
      </c>
      <c r="AH52" s="5">
        <v>125.00451612903225</v>
      </c>
      <c r="AI52" s="5">
        <v>127.50451612903225</v>
      </c>
      <c r="AJ52" s="5">
        <v>130.00451612903225</v>
      </c>
      <c r="AK52" s="5">
        <v>132.50451612903225</v>
      </c>
    </row>
    <row r="53" spans="27:37">
      <c r="AA53" s="5" t="str">
        <v>Contribution: Existing Customer</v>
      </c>
      <c r="AB53" s="5">
        <v>102.77529284164859</v>
      </c>
      <c r="AC53" s="5">
        <v>105.27529284164859</v>
      </c>
      <c r="AD53" s="5">
        <v>107.77529284164859</v>
      </c>
      <c r="AE53" s="5">
        <v>110.27529284164859</v>
      </c>
      <c r="AG53" s="5" t="str">
        <v>Contribution: Existing Customer</v>
      </c>
      <c r="AH53" s="5">
        <v>143.31451612903226</v>
      </c>
      <c r="AI53" s="5">
        <v>145.81451612903226</v>
      </c>
      <c r="AJ53" s="5">
        <v>148.31451612903226</v>
      </c>
      <c r="AK53" s="5">
        <v>150.81451612903226</v>
      </c>
    </row>
    <row r="54" spans="27:37"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</row>
    <row r="55" spans="27:37" ht="14.25" customHeight="1">
      <c r="AA55" s="5" t="str">
        <v>New Customers</v>
      </c>
      <c r="AB55" s="5">
        <v>50000</v>
      </c>
      <c r="AC55" s="5">
        <v>50000</v>
      </c>
      <c r="AD55" s="5">
        <v>50000</v>
      </c>
      <c r="AE55" s="5">
        <v>50000</v>
      </c>
      <c r="AG55" s="5" t="str">
        <v>New Customers</v>
      </c>
      <c r="AH55" s="5">
        <v>50000</v>
      </c>
      <c r="AI55" s="5">
        <v>50000</v>
      </c>
      <c r="AJ55" s="5">
        <v>50000</v>
      </c>
      <c r="AK55" s="5">
        <v>50000</v>
      </c>
    </row>
    <row r="56" spans="27:37">
      <c r="AA56" s="5" t="str">
        <v>Existing Customers</v>
      </c>
      <c r="AB56" s="5">
        <v>0</v>
      </c>
      <c r="AC56" s="5">
        <v>50000</v>
      </c>
      <c r="AD56" s="5">
        <v>100000</v>
      </c>
      <c r="AE56" s="5">
        <v>150000</v>
      </c>
      <c r="AG56" s="5" t="str">
        <v>Existing Customers</v>
      </c>
      <c r="AH56" s="5">
        <v>0</v>
      </c>
      <c r="AI56" s="5">
        <v>50000</v>
      </c>
      <c r="AJ56" s="5">
        <v>100000</v>
      </c>
      <c r="AK56" s="5">
        <v>150000</v>
      </c>
    </row>
    <row r="57" spans="27:37"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</row>
    <row r="58" spans="27:37">
      <c r="AA58" s="5" t="str">
        <v>Credit Card Profitability</v>
      </c>
      <c r="AB58" s="5">
        <v>0</v>
      </c>
      <c r="AC58" s="5">
        <v>0</v>
      </c>
      <c r="AD58" s="5">
        <v>0</v>
      </c>
      <c r="AE58" s="5">
        <v>0</v>
      </c>
      <c r="AG58" s="5" t="str">
        <v>Credit Card Profitability</v>
      </c>
      <c r="AH58" s="5">
        <v>0</v>
      </c>
      <c r="AI58" s="5">
        <v>0</v>
      </c>
      <c r="AJ58" s="5">
        <v>0</v>
      </c>
      <c r="AK58" s="5">
        <v>0</v>
      </c>
    </row>
    <row r="59" spans="27:37">
      <c r="AA59" s="5" t="str">
        <v>New Customer</v>
      </c>
      <c r="AB59" s="5">
        <v>4203621.3539979644</v>
      </c>
      <c r="AC59" s="5">
        <v>4328621.3539979644</v>
      </c>
      <c r="AD59" s="5">
        <v>4453621.3539979644</v>
      </c>
      <c r="AE59" s="5">
        <v>4578621.3539979644</v>
      </c>
      <c r="AG59" s="5" t="str">
        <v>New Customer</v>
      </c>
      <c r="AH59" s="5">
        <v>6250225.8064516131</v>
      </c>
      <c r="AI59" s="5">
        <v>6375225.8064516131</v>
      </c>
      <c r="AJ59" s="5">
        <v>6500225.8064516131</v>
      </c>
      <c r="AK59" s="5">
        <v>6625225.8064516131</v>
      </c>
    </row>
    <row r="60" spans="27:37">
      <c r="AA60" s="5" t="str">
        <v>Existing Customer</v>
      </c>
      <c r="AB60" s="5">
        <v>0</v>
      </c>
      <c r="AC60" s="5">
        <v>5263764.6420824295</v>
      </c>
      <c r="AD60" s="5">
        <v>10777529.284164859</v>
      </c>
      <c r="AE60" s="5">
        <v>16541293.926247289</v>
      </c>
      <c r="AG60" s="5" t="str">
        <v>Existing Customer</v>
      </c>
      <c r="AH60" s="5">
        <v>0</v>
      </c>
      <c r="AI60" s="5">
        <v>7290725.8064516131</v>
      </c>
      <c r="AJ60" s="5">
        <v>14831451.612903226</v>
      </c>
      <c r="AK60" s="5">
        <v>22622177.419354837</v>
      </c>
    </row>
    <row r="61" spans="27:37">
      <c r="AA61" s="5" t="str">
        <v>Total Contribution</v>
      </c>
      <c r="AB61" s="5">
        <v>4203621.3539979644</v>
      </c>
      <c r="AC61" s="5">
        <v>9592385.9960803948</v>
      </c>
      <c r="AD61" s="5">
        <v>15231150.638162823</v>
      </c>
      <c r="AE61" s="5">
        <v>21119915.280245252</v>
      </c>
      <c r="AG61" s="5" t="str">
        <v>Total Contribution</v>
      </c>
      <c r="AH61" s="5">
        <v>6250225.8064516131</v>
      </c>
      <c r="AI61" s="5">
        <v>13665951.612903226</v>
      </c>
      <c r="AJ61" s="5">
        <v>21331677.419354841</v>
      </c>
      <c r="AK61" s="5">
        <v>29247403.225806452</v>
      </c>
    </row>
    <row r="62" spans="27:37">
      <c r="AA62" s="5" t="str">
        <v>Fixed Cost Infrastructure</v>
      </c>
      <c r="AB62" s="5">
        <v>5000000</v>
      </c>
      <c r="AC62" s="5">
        <v>5750000</v>
      </c>
      <c r="AD62" s="5">
        <v>6500000</v>
      </c>
      <c r="AE62" s="5">
        <v>7250000</v>
      </c>
      <c r="AG62" s="5" t="str">
        <v>Fixed Cost Infrastructure</v>
      </c>
      <c r="AH62" s="5">
        <v>5000000</v>
      </c>
      <c r="AI62" s="5">
        <v>5750000</v>
      </c>
      <c r="AJ62" s="5">
        <v>6500000</v>
      </c>
      <c r="AK62" s="5">
        <v>7250000</v>
      </c>
    </row>
    <row r="63" spans="27:37">
      <c r="AA63" s="5" t="str">
        <v>Advertising Expense</v>
      </c>
      <c r="AB63" s="5">
        <v>2000000</v>
      </c>
      <c r="AC63" s="5">
        <v>2000000</v>
      </c>
      <c r="AD63" s="5">
        <v>2000000</v>
      </c>
      <c r="AE63" s="5">
        <v>2000000</v>
      </c>
      <c r="AG63" s="5" t="str">
        <v>Advertising Expense</v>
      </c>
      <c r="AH63" s="5">
        <v>2000000</v>
      </c>
      <c r="AI63" s="5">
        <v>2000000</v>
      </c>
      <c r="AJ63" s="5">
        <v>2000000</v>
      </c>
      <c r="AK63" s="5">
        <v>2000000</v>
      </c>
    </row>
    <row r="64" spans="27:37">
      <c r="AA64" s="5" t="str">
        <v>Profit (Loss)</v>
      </c>
      <c r="AB64" s="5">
        <v>-2796378.6460020356</v>
      </c>
      <c r="AC64" s="5">
        <v>1842385.9960803948</v>
      </c>
      <c r="AD64" s="5">
        <v>6731150.6381628234</v>
      </c>
      <c r="AE64" s="5">
        <v>11869915.280245252</v>
      </c>
      <c r="AG64" s="5" t="str">
        <v>Profit (Loss)</v>
      </c>
      <c r="AH64" s="5">
        <v>-749774.19354838692</v>
      </c>
      <c r="AI64" s="5">
        <v>5915951.6129032262</v>
      </c>
      <c r="AJ64" s="5">
        <v>12831677.419354841</v>
      </c>
      <c r="AK64" s="5">
        <v>19997403.225806452</v>
      </c>
    </row>
    <row r="65" spans="27:37">
      <c r="AA65" s="5" t="str">
        <v>Cumulative Profit (Loss)</v>
      </c>
      <c r="AB65" s="5">
        <v>-2796378.6460020356</v>
      </c>
      <c r="AC65" s="5">
        <v>-953992.64992164075</v>
      </c>
      <c r="AD65" s="5">
        <v>5777157.9882411826</v>
      </c>
      <c r="AE65" s="5">
        <v>17647073.268486433</v>
      </c>
      <c r="AG65" s="5" t="str">
        <v>Cumulative Profit (Loss)</v>
      </c>
      <c r="AH65" s="5">
        <v>-749774.19354838692</v>
      </c>
      <c r="AI65" s="5">
        <v>5166177.4193548393</v>
      </c>
      <c r="AJ65" s="5">
        <v>17997854.838709682</v>
      </c>
      <c r="AK65" s="5">
        <v>37995258.064516135</v>
      </c>
    </row>
    <row r="66" spans="27:37"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</row>
    <row r="67" spans="27:37">
      <c r="AA67" s="5" t="str">
        <v>Breakeven (customers)</v>
      </c>
      <c r="AB67" s="5">
        <v>83261.542971067858</v>
      </c>
      <c r="AC67" s="5">
        <v>78718.559035213999</v>
      </c>
      <c r="AD67" s="5">
        <v>74430.59138693563</v>
      </c>
      <c r="AE67" s="5">
        <v>70376.753584562408</v>
      </c>
      <c r="AG67" s="5" t="str">
        <v>Breakeven (customers)</v>
      </c>
      <c r="AH67" s="5">
        <v>55997.976847288097</v>
      </c>
      <c r="AI67" s="5">
        <v>53602.022951748702</v>
      </c>
      <c r="AJ67" s="5">
        <v>51298.217927913167</v>
      </c>
      <c r="AK67" s="5">
        <v>49081.345979686637</v>
      </c>
    </row>
    <row r="68" spans="27:37">
      <c r="AA68" s="5" t="str">
        <v>5M Profit (customers)</v>
      </c>
      <c r="AB68" s="5">
        <v>142734.07366468775</v>
      </c>
      <c r="AC68" s="5">
        <v>136473.66846956016</v>
      </c>
      <c r="AD68" s="5">
        <v>130564.68544851945</v>
      </c>
      <c r="AE68" s="5">
        <v>124978.34228804949</v>
      </c>
      <c r="AG68" s="5" t="str">
        <v>5M Profit (customers)</v>
      </c>
      <c r="AH68" s="5">
        <v>95996.53173820817</v>
      </c>
      <c r="AI68" s="5">
        <v>92816.320231541453</v>
      </c>
      <c r="AJ68" s="5">
        <v>89758.42030301677</v>
      </c>
      <c r="AK68" s="5">
        <v>86815.908891723724</v>
      </c>
    </row>
    <row r="69" spans="27:37">
      <c r="AA69" s="5" t="str">
        <v xml:space="preserve">Time required breakeven (months) </v>
      </c>
      <c r="AB69" s="5">
        <v>10.361965812944664</v>
      </c>
      <c r="AC69" s="5">
        <v>0</v>
      </c>
      <c r="AD69" s="5">
        <v>0</v>
      </c>
      <c r="AE69" s="5">
        <v>0</v>
      </c>
      <c r="AG69" s="5" t="str">
        <v xml:space="preserve">Time required breakeven (months) </v>
      </c>
      <c r="AH69" s="5">
        <v>10.907883843917066</v>
      </c>
      <c r="AI69" s="5">
        <v>0</v>
      </c>
      <c r="AJ69" s="5">
        <v>0</v>
      </c>
      <c r="AK69" s="5">
        <v>0</v>
      </c>
    </row>
    <row r="70" spans="27:37">
      <c r="AA70" s="5" t="str">
        <v xml:space="preserve">Time required profit (months) </v>
      </c>
      <c r="AB70" s="5">
        <v>17.186630746000091</v>
      </c>
      <c r="AC70" s="5">
        <v>0</v>
      </c>
      <c r="AD70" s="5">
        <v>0</v>
      </c>
      <c r="AE70" s="5">
        <v>0</v>
      </c>
      <c r="AG70" s="5" t="str">
        <v xml:space="preserve">Time required profit (months) </v>
      </c>
      <c r="AH70" s="5">
        <v>18.265624481377021</v>
      </c>
      <c r="AI70" s="5">
        <v>0</v>
      </c>
      <c r="AJ70" s="5">
        <v>0</v>
      </c>
      <c r="AK70" s="5">
        <v>0</v>
      </c>
    </row>
  </sheetData>
  <mergeCells count="4">
    <mergeCell ref="C4:D4"/>
    <mergeCell ref="C5:D5"/>
    <mergeCell ref="C3:D3"/>
    <mergeCell ref="C6:F6"/>
  </mergeCells>
  <phoneticPr fontId="9" type="noConversion"/>
  <dataValidations count="2">
    <dataValidation type="list" allowBlank="1" showInputMessage="1" showErrorMessage="1" sqref="C4" xr:uid="{00000000-0002-0000-0300-000000000000}">
      <formula1>$C$44:$C$45</formula1>
    </dataValidation>
    <dataValidation type="list" allowBlank="1" showInputMessage="1" showErrorMessage="1" sqref="C5" xr:uid="{00000000-0002-0000-0300-000001000000}">
      <formula1>$D$44:$D$46</formula1>
    </dataValidation>
  </dataValidations>
  <printOptions gridLines="1"/>
  <pageMargins left="0.3" right="0.3" top="0.5" bottom="0.5" header="0.1" footer="0.1"/>
  <pageSetup scale="74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1E161-0B94-429D-B9C1-48649F436FE7}">
  <dimension ref="A1:R193"/>
  <sheetViews>
    <sheetView topLeftCell="A165" workbookViewId="0">
      <selection activeCell="A190" sqref="A190"/>
    </sheetView>
  </sheetViews>
  <sheetFormatPr defaultRowHeight="12.75"/>
  <cols>
    <col min="1" max="1" width="31.140625" customWidth="1"/>
    <col min="2" max="2" width="20.28515625" customWidth="1"/>
    <col min="3" max="3" width="16.85546875" customWidth="1"/>
    <col min="4" max="4" width="15.5703125" customWidth="1"/>
    <col min="5" max="5" width="24.7109375" customWidth="1"/>
    <col min="6" max="6" width="23.5703125" customWidth="1"/>
    <col min="11" max="11" width="29.5703125" customWidth="1"/>
    <col min="12" max="12" width="12.85546875" customWidth="1"/>
    <col min="14" max="14" width="15.7109375" customWidth="1"/>
    <col min="15" max="15" width="16.42578125" customWidth="1"/>
    <col min="16" max="16" width="12.28515625" customWidth="1"/>
    <col min="17" max="17" width="15.140625" customWidth="1"/>
    <col min="18" max="18" width="15.28515625" customWidth="1"/>
    <col min="19" max="19" width="14.42578125" customWidth="1"/>
  </cols>
  <sheetData>
    <row r="1" spans="1:12">
      <c r="A1" s="68" t="s">
        <v>134</v>
      </c>
    </row>
    <row r="2" spans="1:12">
      <c r="A2" s="16"/>
      <c r="B2" s="108" t="s">
        <v>107</v>
      </c>
      <c r="C2" s="109"/>
      <c r="D2" s="109"/>
      <c r="E2" s="109"/>
    </row>
    <row r="3" spans="1:12">
      <c r="A3" s="6"/>
      <c r="B3" s="32">
        <v>50000</v>
      </c>
      <c r="C3" s="33">
        <v>100000</v>
      </c>
      <c r="D3" s="33">
        <f>$C3+50000</f>
        <v>150000</v>
      </c>
      <c r="E3" s="32">
        <v>200000</v>
      </c>
      <c r="K3" t="s">
        <v>135</v>
      </c>
      <c r="L3">
        <f>50000/'Customer Acquisition (TN)'!I11 * 12</f>
        <v>6.5816536404771693</v>
      </c>
    </row>
    <row r="4" spans="1:12">
      <c r="A4" s="6" t="s">
        <v>108</v>
      </c>
      <c r="B4" s="5"/>
      <c r="C4" s="5"/>
      <c r="D4" s="5"/>
      <c r="E4" s="5"/>
    </row>
    <row r="5" spans="1:12">
      <c r="A5" s="5" t="s">
        <v>109</v>
      </c>
      <c r="B5" s="23">
        <f>'Target Segments &amp; Revenue (TN)'!$F9</f>
        <v>122.77529284164859</v>
      </c>
      <c r="C5" s="23">
        <f>'Target Segments &amp; Revenue (TN)'!$F9</f>
        <v>122.77529284164859</v>
      </c>
      <c r="D5" s="23">
        <f>'Target Segments &amp; Revenue (TN)'!$F9</f>
        <v>122.77529284164859</v>
      </c>
      <c r="E5" s="23">
        <f>'Target Segments &amp; Revenue (TN)'!$F9</f>
        <v>122.77529284164859</v>
      </c>
      <c r="K5" t="s">
        <v>136</v>
      </c>
      <c r="L5">
        <v>5</v>
      </c>
    </row>
    <row r="6" spans="1:12">
      <c r="A6" s="5" t="s">
        <v>110</v>
      </c>
      <c r="B6" s="23">
        <f>'Customer Acquisition (TN)'!$K11</f>
        <v>18.702865761689292</v>
      </c>
      <c r="C6" s="23">
        <f>'Customer Acquisition (TN)'!$K11</f>
        <v>18.702865761689292</v>
      </c>
      <c r="D6" s="23">
        <f>'Customer Acquisition (TN)'!$K11</f>
        <v>18.702865761689292</v>
      </c>
      <c r="E6" s="23">
        <f>'Customer Acquisition (TN)'!$K11</f>
        <v>18.702865761689292</v>
      </c>
      <c r="K6" t="s">
        <v>137</v>
      </c>
      <c r="L6">
        <f>'Customer Acquisition (TN)'!I11</f>
        <v>91162.5</v>
      </c>
    </row>
    <row r="7" spans="1:12">
      <c r="A7" s="5" t="s">
        <v>111</v>
      </c>
      <c r="B7" s="70">
        <v>20</v>
      </c>
      <c r="C7" s="70">
        <v>17.5</v>
      </c>
      <c r="D7" s="70">
        <v>15</v>
      </c>
      <c r="E7" s="70">
        <v>12.5</v>
      </c>
      <c r="K7" t="s">
        <v>138</v>
      </c>
      <c r="L7">
        <f>L6*L5</f>
        <v>455812.5</v>
      </c>
    </row>
    <row r="8" spans="1:12">
      <c r="A8" s="5"/>
      <c r="B8" s="5"/>
      <c r="C8" s="23"/>
      <c r="D8" s="5"/>
      <c r="E8" s="5"/>
      <c r="K8" t="s">
        <v>139</v>
      </c>
    </row>
    <row r="9" spans="1:12">
      <c r="A9" s="5" t="s">
        <v>112</v>
      </c>
      <c r="B9" s="23">
        <f>SUM(B6:B7)</f>
        <v>38.702865761689296</v>
      </c>
      <c r="C9" s="23">
        <f>SUM(C6:C7)</f>
        <v>36.202865761689296</v>
      </c>
      <c r="D9" s="23">
        <f>SUM(D6:D7)</f>
        <v>33.702865761689296</v>
      </c>
      <c r="E9" s="23">
        <f>SUM(E6:E7)</f>
        <v>31.202865761689292</v>
      </c>
      <c r="K9" t="s">
        <v>140</v>
      </c>
    </row>
    <row r="10" spans="1:12">
      <c r="A10" s="5" t="s">
        <v>113</v>
      </c>
      <c r="B10" s="23">
        <f>B7</f>
        <v>20</v>
      </c>
      <c r="C10" s="23">
        <f t="shared" ref="C10:E10" si="0">C7</f>
        <v>17.5</v>
      </c>
      <c r="D10" s="23">
        <f>D7</f>
        <v>15</v>
      </c>
      <c r="E10" s="23">
        <f t="shared" si="0"/>
        <v>12.5</v>
      </c>
      <c r="K10" t="s">
        <v>141</v>
      </c>
    </row>
    <row r="11" spans="1:12">
      <c r="A11" s="5"/>
      <c r="B11" s="23"/>
      <c r="C11" s="23"/>
      <c r="D11" s="23"/>
      <c r="E11" s="23"/>
      <c r="K11" t="s">
        <v>142</v>
      </c>
    </row>
    <row r="12" spans="1:12">
      <c r="A12" s="5" t="s">
        <v>114</v>
      </c>
      <c r="B12" s="59">
        <f>($B$5-B9)</f>
        <v>84.072427079959297</v>
      </c>
      <c r="C12" s="59">
        <f>($C$5-C9)</f>
        <v>86.572427079959297</v>
      </c>
      <c r="D12" s="59">
        <f>($D$5-D9)</f>
        <v>89.072427079959297</v>
      </c>
      <c r="E12" s="59">
        <f>($E$5-E9)</f>
        <v>91.572427079959297</v>
      </c>
    </row>
    <row r="13" spans="1:12">
      <c r="A13" s="5" t="s">
        <v>115</v>
      </c>
      <c r="B13" s="59">
        <f>($B$5-B10)</f>
        <v>102.77529284164859</v>
      </c>
      <c r="C13" s="59">
        <f>($C$5-C10)</f>
        <v>105.27529284164859</v>
      </c>
      <c r="D13" s="59">
        <f>($D$5-D10)</f>
        <v>107.77529284164859</v>
      </c>
      <c r="E13" s="59">
        <f>($E$5-E10)</f>
        <v>110.27529284164859</v>
      </c>
    </row>
    <row r="14" spans="1:12">
      <c r="A14" s="5"/>
      <c r="C14" s="5"/>
      <c r="D14" s="5"/>
      <c r="E14" s="5"/>
    </row>
    <row r="15" spans="1:12">
      <c r="A15" s="5" t="s">
        <v>116</v>
      </c>
      <c r="B15" s="13">
        <v>50000</v>
      </c>
      <c r="C15" s="13">
        <v>50000</v>
      </c>
      <c r="D15" s="13">
        <v>50000</v>
      </c>
      <c r="E15" s="13">
        <v>50000</v>
      </c>
    </row>
    <row r="16" spans="1:12">
      <c r="A16" s="5" t="s">
        <v>117</v>
      </c>
      <c r="B16" s="13">
        <v>0</v>
      </c>
      <c r="C16" s="13">
        <f>B16+50000</f>
        <v>50000</v>
      </c>
      <c r="D16" s="13">
        <f t="shared" ref="D16:E16" si="1">C16+50000</f>
        <v>100000</v>
      </c>
      <c r="E16" s="13">
        <f t="shared" si="1"/>
        <v>150000</v>
      </c>
    </row>
    <row r="17" spans="1:18">
      <c r="A17" s="5"/>
      <c r="B17" s="5"/>
      <c r="C17" s="5"/>
      <c r="D17" s="5"/>
      <c r="E17" s="5"/>
    </row>
    <row r="18" spans="1:18">
      <c r="A18" s="6" t="s">
        <v>118</v>
      </c>
      <c r="B18" s="5"/>
      <c r="C18" s="5"/>
      <c r="D18" s="5"/>
      <c r="E18" s="5"/>
    </row>
    <row r="19" spans="1:18">
      <c r="A19" s="5" t="s">
        <v>119</v>
      </c>
      <c r="B19" s="59">
        <f>B15*B12</f>
        <v>4203621.3539979644</v>
      </c>
      <c r="C19" s="59">
        <f>C15*C12</f>
        <v>4328621.3539979644</v>
      </c>
      <c r="D19" s="59">
        <f t="shared" ref="C19:E19" si="2">D15*D12</f>
        <v>4453621.3539979644</v>
      </c>
      <c r="E19" s="59">
        <f t="shared" si="2"/>
        <v>4578621.3539979644</v>
      </c>
    </row>
    <row r="20" spans="1:18">
      <c r="A20" s="34" t="s">
        <v>120</v>
      </c>
      <c r="B20" s="71">
        <f>B16*B13</f>
        <v>0</v>
      </c>
      <c r="C20" s="71">
        <f>C16*C13</f>
        <v>5263764.6420824295</v>
      </c>
      <c r="D20" s="71">
        <f t="shared" ref="D20:E20" si="3">D16*D13</f>
        <v>10777529.284164859</v>
      </c>
      <c r="E20" s="71">
        <f t="shared" si="3"/>
        <v>16541293.926247289</v>
      </c>
      <c r="N20" t="s">
        <v>137</v>
      </c>
      <c r="O20">
        <f>'Customer Acquisition (TN)'!I11</f>
        <v>91162.5</v>
      </c>
    </row>
    <row r="21" spans="1:18">
      <c r="A21" s="5" t="s">
        <v>121</v>
      </c>
      <c r="B21" s="70">
        <f>B19+B20</f>
        <v>4203621.3539979644</v>
      </c>
      <c r="C21" s="70">
        <f t="shared" ref="C21:E21" si="4">C19+C20</f>
        <v>9592385.9960803948</v>
      </c>
      <c r="D21" s="70">
        <f t="shared" si="4"/>
        <v>15231150.638162823</v>
      </c>
      <c r="E21" s="70">
        <f t="shared" si="4"/>
        <v>21119915.280245252</v>
      </c>
    </row>
    <row r="22" spans="1:18">
      <c r="A22" s="5" t="s">
        <v>122</v>
      </c>
      <c r="B22" s="13">
        <f>5000000</f>
        <v>5000000</v>
      </c>
      <c r="C22" s="13">
        <f>B22+750000</f>
        <v>5750000</v>
      </c>
      <c r="D22" s="13">
        <f>C22+750000</f>
        <v>6500000</v>
      </c>
      <c r="E22" s="13">
        <f>D22+750000</f>
        <v>7250000</v>
      </c>
    </row>
    <row r="23" spans="1:18">
      <c r="A23" s="34" t="s">
        <v>123</v>
      </c>
      <c r="B23" s="36">
        <f>2000000</f>
        <v>2000000</v>
      </c>
      <c r="C23" s="36">
        <f>2000000</f>
        <v>2000000</v>
      </c>
      <c r="D23" s="36">
        <f>2000000</f>
        <v>2000000</v>
      </c>
      <c r="E23" s="36">
        <f>2000000</f>
        <v>2000000</v>
      </c>
      <c r="I23" s="75"/>
    </row>
    <row r="24" spans="1:18">
      <c r="A24" s="5" t="s">
        <v>124</v>
      </c>
      <c r="B24" s="13">
        <f>B21-SUM(B22,B23)</f>
        <v>-2796378.6460020356</v>
      </c>
      <c r="C24" s="13">
        <f>C21-SUM(C22,C23)</f>
        <v>1842385.9960803948</v>
      </c>
      <c r="D24" s="13">
        <f>D21-SUM(D22,D23)</f>
        <v>6731150.6381628234</v>
      </c>
      <c r="E24" s="13">
        <f>E21-SUM(E22,E23)</f>
        <v>11869915.280245252</v>
      </c>
      <c r="N24" t="s">
        <v>143</v>
      </c>
      <c r="O24">
        <v>50000</v>
      </c>
      <c r="P24">
        <v>100000</v>
      </c>
      <c r="Q24">
        <v>150000</v>
      </c>
      <c r="R24">
        <v>200000</v>
      </c>
    </row>
    <row r="25" spans="1:18">
      <c r="A25" s="5" t="s">
        <v>125</v>
      </c>
      <c r="B25" s="13">
        <f>B24</f>
        <v>-2796378.6460020356</v>
      </c>
      <c r="C25" s="13">
        <f>B25+C24</f>
        <v>-953992.64992164075</v>
      </c>
      <c r="D25" s="13">
        <f>C25+D24</f>
        <v>5777157.9882411826</v>
      </c>
      <c r="E25" s="13">
        <f>D25+E24</f>
        <v>17647073.268486433</v>
      </c>
    </row>
    <row r="26" spans="1:18">
      <c r="A26" s="5"/>
      <c r="B26" s="13"/>
      <c r="C26" s="13"/>
      <c r="E26" s="13"/>
      <c r="N26" t="s">
        <v>144</v>
      </c>
      <c r="O26">
        <f>O24/'Customer Acquisition (TN)'!I11 * 12</f>
        <v>6.5816536404771693</v>
      </c>
      <c r="P26">
        <f>P24/'Customer Acquisition (TN)'!I11 * 12</f>
        <v>13.163307280954339</v>
      </c>
      <c r="Q26">
        <f>Q24/'Customer Acquisition (TN)'!I11 * 12</f>
        <v>19.74496092143151</v>
      </c>
      <c r="R26">
        <f>R24/'Customer Acquisition (TN)'!I11 * 12</f>
        <v>26.326614561908677</v>
      </c>
    </row>
    <row r="27" spans="1:18" ht="15">
      <c r="A27" s="45" t="s">
        <v>126</v>
      </c>
      <c r="B27" s="80">
        <f>(B22+B23-B20)/B12+B16</f>
        <v>83261.542971067858</v>
      </c>
      <c r="C27" s="81">
        <f>(C22+C23-C20)/C12+C16</f>
        <v>78718.559035213999</v>
      </c>
      <c r="D27" s="80">
        <f>(D22+D23-D20)/D12+D16</f>
        <v>74430.59138693563</v>
      </c>
      <c r="E27" s="80">
        <f>(E22+E23-E20)/E12+E16</f>
        <v>70376.753584562408</v>
      </c>
      <c r="F27" t="s">
        <v>145</v>
      </c>
      <c r="N27" t="s">
        <v>146</v>
      </c>
      <c r="O27" s="13">
        <f>B25</f>
        <v>-2796378.6460020356</v>
      </c>
      <c r="P27" s="13">
        <f>C25</f>
        <v>-953992.64992164075</v>
      </c>
      <c r="Q27" s="13">
        <f>D25</f>
        <v>5777157.9882411826</v>
      </c>
      <c r="R27" s="13">
        <f>E25</f>
        <v>17647073.268486433</v>
      </c>
    </row>
    <row r="28" spans="1:18">
      <c r="A28" s="73" t="s">
        <v>127</v>
      </c>
      <c r="B28" s="79">
        <f>(B22+B23-B20 + 5000000)/B12+B16</f>
        <v>142734.07366468775</v>
      </c>
      <c r="C28" s="77">
        <f>(C22+C23-C20 + 5000000)/C12+C16</f>
        <v>136473.66846956016</v>
      </c>
      <c r="D28" s="78">
        <f>(D22+D23-D20 + 5000000)/D12+D16</f>
        <v>130564.68544851945</v>
      </c>
      <c r="E28" s="77">
        <f>(E22+E23-E20 + 5000000)/E12+E16</f>
        <v>124978.34228804949</v>
      </c>
      <c r="F28" t="s">
        <v>147</v>
      </c>
    </row>
    <row r="29" spans="1:18">
      <c r="A29" s="46" t="s">
        <v>128</v>
      </c>
      <c r="B29" s="82">
        <f>C27/50000 * L3</f>
        <v>10.361965812944664</v>
      </c>
      <c r="C29" s="76"/>
      <c r="D29" s="76"/>
      <c r="E29" s="76"/>
    </row>
    <row r="30" spans="1:18">
      <c r="A30" s="46" t="s">
        <v>129</v>
      </c>
      <c r="B30" s="83">
        <f>D28/50000 * L3</f>
        <v>17.186630746000091</v>
      </c>
      <c r="C30" s="76"/>
      <c r="D30" s="76"/>
      <c r="E30" s="76"/>
    </row>
    <row r="31" spans="1:18">
      <c r="A31" s="69"/>
      <c r="B31" s="69"/>
      <c r="C31" s="69"/>
      <c r="D31" s="69"/>
      <c r="E31" s="69"/>
    </row>
    <row r="32" spans="1:18">
      <c r="A32" s="69"/>
      <c r="B32" s="69"/>
      <c r="C32" s="69"/>
      <c r="D32" s="69"/>
      <c r="E32" s="69"/>
    </row>
    <row r="33" spans="1:12">
      <c r="A33" s="68" t="s">
        <v>148</v>
      </c>
    </row>
    <row r="34" spans="1:12">
      <c r="A34" s="16"/>
      <c r="B34" s="108" t="s">
        <v>107</v>
      </c>
      <c r="C34" s="109"/>
      <c r="D34" s="109"/>
      <c r="E34" s="109"/>
    </row>
    <row r="35" spans="1:12">
      <c r="A35" s="6"/>
      <c r="B35" s="32">
        <v>50000</v>
      </c>
      <c r="C35" s="33">
        <v>100000</v>
      </c>
      <c r="D35" s="33">
        <f>$C35+50000</f>
        <v>150000</v>
      </c>
      <c r="E35" s="32">
        <v>200000</v>
      </c>
      <c r="K35" t="s">
        <v>135</v>
      </c>
      <c r="L35">
        <f>50000/'Customer Acquisition (TN)'!I12 * 12</f>
        <v>11.339475549255845</v>
      </c>
    </row>
    <row r="36" spans="1:12">
      <c r="A36" s="6" t="s">
        <v>108</v>
      </c>
      <c r="B36" s="5"/>
      <c r="C36" s="5"/>
      <c r="D36" s="5"/>
      <c r="E36" s="5"/>
    </row>
    <row r="37" spans="1:12">
      <c r="A37" s="5" t="s">
        <v>109</v>
      </c>
      <c r="B37" s="23">
        <f>'Target Segments &amp; Revenue (TN)'!$F9</f>
        <v>122.77529284164859</v>
      </c>
      <c r="C37" s="23">
        <f>'Target Segments &amp; Revenue (TN)'!$F9</f>
        <v>122.77529284164859</v>
      </c>
      <c r="D37" s="23">
        <f>'Target Segments &amp; Revenue (TN)'!$F9</f>
        <v>122.77529284164859</v>
      </c>
      <c r="E37" s="23">
        <f>'Target Segments &amp; Revenue (TN)'!$F9</f>
        <v>122.77529284164859</v>
      </c>
    </row>
    <row r="38" spans="1:12">
      <c r="A38" s="5" t="s">
        <v>110</v>
      </c>
      <c r="B38" s="23">
        <f>'Customer Acquisition (TN)'!$K12</f>
        <v>8.5991022915190154</v>
      </c>
      <c r="C38" s="23">
        <f>'Customer Acquisition (TN)'!$K12</f>
        <v>8.5991022915190154</v>
      </c>
      <c r="D38" s="23">
        <f>'Customer Acquisition (TN)'!$K12</f>
        <v>8.5991022915190154</v>
      </c>
      <c r="E38" s="23">
        <f>'Customer Acquisition (TN)'!$K12</f>
        <v>8.5991022915190154</v>
      </c>
    </row>
    <row r="39" spans="1:12">
      <c r="A39" s="5" t="s">
        <v>111</v>
      </c>
      <c r="B39" s="70">
        <v>20</v>
      </c>
      <c r="C39" s="70">
        <v>17.5</v>
      </c>
      <c r="D39" s="70">
        <v>15</v>
      </c>
      <c r="E39" s="70">
        <v>12.5</v>
      </c>
    </row>
    <row r="40" spans="1:12">
      <c r="A40" s="5"/>
      <c r="B40" s="5"/>
      <c r="C40" s="23"/>
      <c r="D40" s="5"/>
      <c r="E40" s="5"/>
    </row>
    <row r="41" spans="1:12">
      <c r="A41" s="5" t="s">
        <v>112</v>
      </c>
      <c r="B41" s="23">
        <f>SUM(B38:B39)</f>
        <v>28.599102291519017</v>
      </c>
      <c r="C41" s="23">
        <f t="shared" ref="C41:E41" si="5">SUM(C38:C39)</f>
        <v>26.099102291519017</v>
      </c>
      <c r="D41" s="23">
        <f t="shared" si="5"/>
        <v>23.599102291519017</v>
      </c>
      <c r="E41" s="23">
        <f t="shared" si="5"/>
        <v>21.099102291519017</v>
      </c>
    </row>
    <row r="42" spans="1:12">
      <c r="A42" s="5" t="s">
        <v>113</v>
      </c>
      <c r="B42" s="23">
        <f>SUM(B39:B40)</f>
        <v>20</v>
      </c>
      <c r="C42" s="23">
        <f t="shared" ref="C42:E42" si="6">SUM(C39:C40)</f>
        <v>17.5</v>
      </c>
      <c r="D42" s="23">
        <f t="shared" si="6"/>
        <v>15</v>
      </c>
      <c r="E42" s="23">
        <f t="shared" si="6"/>
        <v>12.5</v>
      </c>
    </row>
    <row r="43" spans="1:12">
      <c r="A43" s="5"/>
      <c r="B43" s="23"/>
      <c r="C43" s="23"/>
      <c r="D43" s="23"/>
      <c r="E43" s="23"/>
    </row>
    <row r="44" spans="1:12" ht="15">
      <c r="A44" s="5" t="s">
        <v>114</v>
      </c>
      <c r="B44" s="74">
        <f>$B$37-B41</f>
        <v>94.176190550129576</v>
      </c>
      <c r="C44" s="74">
        <f>$C$37-C41</f>
        <v>96.676190550129576</v>
      </c>
      <c r="D44" s="74">
        <f>$D$37-D41</f>
        <v>99.176190550129576</v>
      </c>
      <c r="E44" s="74">
        <f>$E$37-E41</f>
        <v>101.67619055012958</v>
      </c>
    </row>
    <row r="45" spans="1:12" ht="15">
      <c r="A45" s="5" t="s">
        <v>115</v>
      </c>
      <c r="B45" s="74">
        <f>$B$37-B42</f>
        <v>102.77529284164859</v>
      </c>
      <c r="C45" s="74">
        <f>$C$37-C42</f>
        <v>105.27529284164859</v>
      </c>
      <c r="D45" s="74">
        <f>$D$37-D42</f>
        <v>107.77529284164859</v>
      </c>
      <c r="E45" s="74">
        <f>$E$37-E42</f>
        <v>110.27529284164859</v>
      </c>
    </row>
    <row r="46" spans="1:12" ht="15">
      <c r="A46" s="5"/>
      <c r="B46" s="74"/>
      <c r="C46" s="5"/>
      <c r="D46" s="5"/>
      <c r="E46" s="5"/>
    </row>
    <row r="47" spans="1:12">
      <c r="A47" s="5" t="s">
        <v>116</v>
      </c>
      <c r="B47" s="13">
        <v>50000</v>
      </c>
      <c r="C47" s="13">
        <v>50000</v>
      </c>
      <c r="D47" s="13">
        <v>50000</v>
      </c>
      <c r="E47" s="13">
        <v>50000</v>
      </c>
    </row>
    <row r="48" spans="1:12">
      <c r="A48" s="5" t="s">
        <v>117</v>
      </c>
      <c r="B48" s="13">
        <v>0</v>
      </c>
      <c r="C48" s="13">
        <f>B48+50000</f>
        <v>50000</v>
      </c>
      <c r="D48" s="13">
        <f t="shared" ref="D48" si="7">C48+50000</f>
        <v>100000</v>
      </c>
      <c r="E48" s="13">
        <f t="shared" ref="E48" si="8">D48+50000</f>
        <v>150000</v>
      </c>
    </row>
    <row r="49" spans="1:18">
      <c r="A49" s="5"/>
      <c r="B49" s="5"/>
      <c r="C49" s="5"/>
      <c r="D49" s="5"/>
      <c r="E49" s="5"/>
    </row>
    <row r="50" spans="1:18">
      <c r="A50" s="6" t="s">
        <v>118</v>
      </c>
      <c r="B50" s="5"/>
      <c r="C50" s="5"/>
      <c r="D50" s="5"/>
      <c r="E50" s="5"/>
    </row>
    <row r="51" spans="1:18">
      <c r="A51" s="5" t="s">
        <v>119</v>
      </c>
      <c r="B51" s="10">
        <f>B47*B44</f>
        <v>4708809.5275064791</v>
      </c>
      <c r="C51" s="10">
        <f t="shared" ref="C51:E51" si="9">C47*C44</f>
        <v>4833809.5275064791</v>
      </c>
      <c r="D51" s="10">
        <f t="shared" si="9"/>
        <v>4958809.5275064791</v>
      </c>
      <c r="E51" s="10">
        <f t="shared" si="9"/>
        <v>5083809.5275064791</v>
      </c>
    </row>
    <row r="52" spans="1:18">
      <c r="A52" s="34" t="s">
        <v>120</v>
      </c>
      <c r="B52" s="35">
        <f>B48*B45</f>
        <v>0</v>
      </c>
      <c r="C52" s="35">
        <f t="shared" ref="C52:E52" si="10">C48*C45</f>
        <v>5263764.6420824295</v>
      </c>
      <c r="D52" s="35">
        <f t="shared" si="10"/>
        <v>10777529.284164859</v>
      </c>
      <c r="E52" s="35">
        <f t="shared" si="10"/>
        <v>16541293.926247289</v>
      </c>
    </row>
    <row r="53" spans="1:18">
      <c r="A53" s="5" t="s">
        <v>121</v>
      </c>
      <c r="B53" s="13">
        <f>B51+B52</f>
        <v>4708809.5275064791</v>
      </c>
      <c r="C53" s="13">
        <f t="shared" ref="C53:E53" si="11">C51+C52</f>
        <v>10097574.169588909</v>
      </c>
      <c r="D53" s="13">
        <f t="shared" si="11"/>
        <v>15736338.811671339</v>
      </c>
      <c r="E53" s="13">
        <f t="shared" si="11"/>
        <v>21625103.453753769</v>
      </c>
    </row>
    <row r="54" spans="1:18">
      <c r="A54" s="5" t="s">
        <v>122</v>
      </c>
      <c r="B54" s="13">
        <v>5000000</v>
      </c>
      <c r="C54" s="13">
        <v>5750000</v>
      </c>
      <c r="D54" s="13">
        <v>6500000</v>
      </c>
      <c r="E54" s="13">
        <v>7250000</v>
      </c>
    </row>
    <row r="55" spans="1:18" ht="15">
      <c r="A55" s="34" t="s">
        <v>123</v>
      </c>
      <c r="B55" s="84">
        <f>2000000</f>
        <v>2000000</v>
      </c>
      <c r="C55" s="84">
        <f t="shared" ref="C55:E55" si="12">2000000</f>
        <v>2000000</v>
      </c>
      <c r="D55" s="84">
        <f t="shared" si="12"/>
        <v>2000000</v>
      </c>
      <c r="E55" s="84">
        <f t="shared" si="12"/>
        <v>2000000</v>
      </c>
    </row>
    <row r="56" spans="1:18">
      <c r="A56" s="5" t="s">
        <v>124</v>
      </c>
      <c r="B56" s="13">
        <f>B53-(B54+B55)</f>
        <v>-2291190.4724935209</v>
      </c>
      <c r="C56" s="13">
        <f t="shared" ref="C56:E56" si="13">C53-(C54+C55)</f>
        <v>2347574.1695889086</v>
      </c>
      <c r="D56" s="13">
        <f t="shared" si="13"/>
        <v>7236338.811671339</v>
      </c>
      <c r="E56" s="13">
        <f t="shared" si="13"/>
        <v>12375103.453753769</v>
      </c>
      <c r="N56" t="s">
        <v>143</v>
      </c>
      <c r="O56">
        <v>50000</v>
      </c>
      <c r="P56">
        <v>100000</v>
      </c>
      <c r="Q56">
        <v>150000</v>
      </c>
      <c r="R56">
        <v>200000</v>
      </c>
    </row>
    <row r="57" spans="1:18">
      <c r="A57" s="5" t="s">
        <v>125</v>
      </c>
      <c r="B57" s="13">
        <f>B56</f>
        <v>-2291190.4724935209</v>
      </c>
      <c r="C57" s="13">
        <f>B57+C56</f>
        <v>56383.697095387615</v>
      </c>
      <c r="D57" s="13">
        <f t="shared" ref="D57:E57" si="14">C57+D56</f>
        <v>7292722.5087667266</v>
      </c>
      <c r="E57" s="13">
        <f t="shared" si="14"/>
        <v>19667825.962520495</v>
      </c>
    </row>
    <row r="58" spans="1:18">
      <c r="A58" s="5"/>
      <c r="B58" s="13"/>
      <c r="C58" s="13"/>
      <c r="D58" s="13"/>
      <c r="E58" s="13"/>
      <c r="N58" t="s">
        <v>144</v>
      </c>
      <c r="O58">
        <f>O56/'Customer Acquisition (TN)'!I12 * 12</f>
        <v>11.339475549255845</v>
      </c>
      <c r="P58">
        <f>P56/'Customer Acquisition (TN)'!I12 * 12</f>
        <v>22.678951098511689</v>
      </c>
      <c r="Q58">
        <f>Q56/'Customer Acquisition (TN)'!I12 * 12</f>
        <v>34.018426647767534</v>
      </c>
      <c r="R58">
        <f>R56/'Customer Acquisition (TN)'!I12 * 12</f>
        <v>45.357902197023378</v>
      </c>
    </row>
    <row r="59" spans="1:18" ht="15">
      <c r="A59" s="45" t="s">
        <v>126</v>
      </c>
      <c r="B59" s="80">
        <f>(B54+B55-B52)/B44+B48</f>
        <v>74328.765679621865</v>
      </c>
      <c r="C59" s="81">
        <f>(C54+C55-C52)/C44+C48</f>
        <v>75717.142388108274</v>
      </c>
      <c r="D59" s="80">
        <f>(D54+D55-D52)/D44+D48</f>
        <v>77035.523631917895</v>
      </c>
      <c r="E59" s="80">
        <f>(E54+E55-E52)/E44+E48</f>
        <v>78289.072527235854</v>
      </c>
      <c r="F59" t="s">
        <v>145</v>
      </c>
      <c r="N59" t="s">
        <v>146</v>
      </c>
      <c r="O59" s="13">
        <f>B57</f>
        <v>-2291190.4724935209</v>
      </c>
      <c r="P59" s="13">
        <f>C57</f>
        <v>56383.697095387615</v>
      </c>
      <c r="Q59" s="13">
        <f>D57</f>
        <v>7292722.5087667266</v>
      </c>
      <c r="R59" s="13">
        <f>E57</f>
        <v>19667825.962520495</v>
      </c>
    </row>
    <row r="60" spans="1:18">
      <c r="A60" s="73" t="s">
        <v>127</v>
      </c>
      <c r="B60" s="79">
        <f>(B54+B55-B52 + 5000000)/B44+B48</f>
        <v>127420.74116506605</v>
      </c>
      <c r="C60" s="77">
        <f>(C54+C55-C52 + 5000000)/C44+C48</f>
        <v>127436.18480742398</v>
      </c>
      <c r="D60" s="78">
        <f>(D54+D55-D52 + 5000000)/D44+D48</f>
        <v>127450.8498535144</v>
      </c>
      <c r="E60" s="77">
        <f>(E54+E55-E52 + 5000000)/E44+E48</f>
        <v>127464.79373538676</v>
      </c>
      <c r="F60" t="s">
        <v>147</v>
      </c>
    </row>
    <row r="61" spans="1:18">
      <c r="A61" s="46" t="s">
        <v>128</v>
      </c>
      <c r="B61" s="82">
        <f>C59/50000 * L35</f>
        <v>17.17185369538954</v>
      </c>
      <c r="C61" s="76"/>
      <c r="D61" s="76"/>
      <c r="E61" s="76"/>
    </row>
    <row r="62" spans="1:18">
      <c r="A62" s="46" t="s">
        <v>129</v>
      </c>
      <c r="B62" s="83">
        <f>D60/50000 * L35</f>
        <v>28.904515912916089</v>
      </c>
      <c r="C62" s="76"/>
      <c r="D62" s="76"/>
      <c r="E62" s="76"/>
    </row>
    <row r="63" spans="1:18">
      <c r="A63" s="46"/>
      <c r="B63" s="47"/>
      <c r="C63" s="47"/>
      <c r="D63" s="47"/>
      <c r="E63" s="47"/>
    </row>
    <row r="64" spans="1:18">
      <c r="A64" s="69"/>
      <c r="B64" s="69"/>
      <c r="C64" s="69"/>
      <c r="D64" s="69"/>
      <c r="E64" s="69"/>
    </row>
    <row r="65" spans="1:12">
      <c r="A65" s="69"/>
      <c r="B65" s="69"/>
      <c r="C65" s="69"/>
      <c r="D65" s="69"/>
      <c r="E65" s="69"/>
    </row>
    <row r="66" spans="1:12">
      <c r="A66" s="68" t="s">
        <v>149</v>
      </c>
      <c r="B66" s="68"/>
      <c r="C66" s="68"/>
      <c r="D66" s="68"/>
      <c r="E66" s="68"/>
    </row>
    <row r="67" spans="1:12">
      <c r="A67" s="16"/>
      <c r="B67" s="116" t="s">
        <v>107</v>
      </c>
      <c r="C67" s="116"/>
      <c r="D67" s="116"/>
      <c r="E67" s="108"/>
    </row>
    <row r="68" spans="1:12">
      <c r="A68" s="6"/>
      <c r="B68" s="85">
        <v>50000</v>
      </c>
      <c r="C68" s="86">
        <v>100000</v>
      </c>
      <c r="D68" s="86">
        <f>$C68+50000</f>
        <v>150000</v>
      </c>
      <c r="E68" s="85">
        <v>200000</v>
      </c>
      <c r="K68" t="s">
        <v>135</v>
      </c>
      <c r="L68">
        <f>50000/'Customer Acquisition (TN)'!I13 * 12</f>
        <v>8.4790673025967145</v>
      </c>
    </row>
    <row r="69" spans="1:12">
      <c r="A69" s="6" t="s">
        <v>108</v>
      </c>
      <c r="B69" s="5"/>
      <c r="C69" s="5"/>
      <c r="D69" s="5"/>
      <c r="E69" s="5"/>
    </row>
    <row r="70" spans="1:12">
      <c r="A70" s="5" t="s">
        <v>109</v>
      </c>
      <c r="B70" s="23">
        <f>'Target Segments &amp; Revenue (TN)'!$F9</f>
        <v>122.77529284164859</v>
      </c>
      <c r="C70" s="23">
        <f>'Target Segments &amp; Revenue (TN)'!$F9</f>
        <v>122.77529284164859</v>
      </c>
      <c r="D70" s="23">
        <f>'Target Segments &amp; Revenue (TN)'!$F9</f>
        <v>122.77529284164859</v>
      </c>
      <c r="E70" s="23">
        <f>'Target Segments &amp; Revenue (TN)'!$F9</f>
        <v>122.77529284164859</v>
      </c>
    </row>
    <row r="71" spans="1:12">
      <c r="A71" s="5" t="s">
        <v>110</v>
      </c>
      <c r="B71" s="23">
        <v>20.84</v>
      </c>
      <c r="C71" s="23">
        <v>20.84</v>
      </c>
      <c r="D71" s="23">
        <v>20.84</v>
      </c>
      <c r="E71" s="23">
        <v>20.84</v>
      </c>
    </row>
    <row r="72" spans="1:12">
      <c r="A72" s="5" t="s">
        <v>111</v>
      </c>
      <c r="B72" s="70">
        <v>20</v>
      </c>
      <c r="C72" s="70">
        <v>17.5</v>
      </c>
      <c r="D72" s="70">
        <v>15</v>
      </c>
      <c r="E72" s="70">
        <v>12.5</v>
      </c>
    </row>
    <row r="73" spans="1:12">
      <c r="A73" s="5"/>
      <c r="B73" s="5"/>
      <c r="C73" s="23"/>
      <c r="D73" s="5"/>
      <c r="E73" s="5"/>
    </row>
    <row r="74" spans="1:12">
      <c r="A74" s="5" t="s">
        <v>112</v>
      </c>
      <c r="B74" s="23">
        <f>B71+B72</f>
        <v>40.840000000000003</v>
      </c>
      <c r="C74" s="23">
        <f t="shared" ref="C74:E74" si="15">C71+C72</f>
        <v>38.340000000000003</v>
      </c>
      <c r="D74" s="23">
        <f t="shared" si="15"/>
        <v>35.840000000000003</v>
      </c>
      <c r="E74" s="23">
        <f t="shared" si="15"/>
        <v>33.340000000000003</v>
      </c>
    </row>
    <row r="75" spans="1:12">
      <c r="A75" s="5" t="s">
        <v>113</v>
      </c>
      <c r="B75" s="23">
        <f>B72</f>
        <v>20</v>
      </c>
      <c r="C75" s="23">
        <f t="shared" ref="C75:E75" si="16">C72</f>
        <v>17.5</v>
      </c>
      <c r="D75" s="23">
        <f t="shared" si="16"/>
        <v>15</v>
      </c>
      <c r="E75" s="23">
        <f t="shared" si="16"/>
        <v>12.5</v>
      </c>
    </row>
    <row r="76" spans="1:12">
      <c r="A76" s="5"/>
      <c r="B76" s="23"/>
      <c r="C76" s="23"/>
      <c r="D76" s="23"/>
      <c r="E76" s="23"/>
    </row>
    <row r="77" spans="1:12">
      <c r="A77" s="5" t="s">
        <v>114</v>
      </c>
      <c r="B77" s="23">
        <f>B70-B74</f>
        <v>81.93529284164859</v>
      </c>
      <c r="C77" s="23">
        <f t="shared" ref="C77:E77" si="17">C70-C74</f>
        <v>84.43529284164859</v>
      </c>
      <c r="D77" s="23">
        <f t="shared" si="17"/>
        <v>86.93529284164859</v>
      </c>
      <c r="E77" s="23">
        <f t="shared" si="17"/>
        <v>89.43529284164859</v>
      </c>
    </row>
    <row r="78" spans="1:12" ht="15">
      <c r="A78" s="5" t="s">
        <v>115</v>
      </c>
      <c r="B78" s="74">
        <f>$B$70-B75</f>
        <v>102.77529284164859</v>
      </c>
      <c r="C78" s="74">
        <f>$B$70-C75</f>
        <v>105.27529284164859</v>
      </c>
      <c r="D78" s="74">
        <f>$B$70-D75</f>
        <v>107.77529284164859</v>
      </c>
      <c r="E78" s="74">
        <f>$B$70-E75</f>
        <v>110.27529284164859</v>
      </c>
    </row>
    <row r="79" spans="1:12">
      <c r="A79" s="5"/>
      <c r="B79" s="5"/>
      <c r="C79" s="5"/>
      <c r="D79" s="5"/>
      <c r="E79" s="5"/>
    </row>
    <row r="80" spans="1:12">
      <c r="A80" s="5" t="s">
        <v>116</v>
      </c>
      <c r="B80" s="13">
        <v>50000</v>
      </c>
      <c r="C80" s="13">
        <v>50000</v>
      </c>
      <c r="D80" s="13">
        <v>50000</v>
      </c>
      <c r="E80" s="13">
        <v>50000</v>
      </c>
    </row>
    <row r="81" spans="1:18">
      <c r="A81" s="5" t="s">
        <v>117</v>
      </c>
      <c r="B81" s="13">
        <v>0</v>
      </c>
      <c r="C81" s="13">
        <f>B81+50000</f>
        <v>50000</v>
      </c>
      <c r="D81" s="13">
        <f t="shared" ref="D81" si="18">C81+50000</f>
        <v>100000</v>
      </c>
      <c r="E81" s="13">
        <f t="shared" ref="E81" si="19">D81+50000</f>
        <v>150000</v>
      </c>
    </row>
    <row r="82" spans="1:18">
      <c r="A82" s="5"/>
      <c r="B82" s="5"/>
      <c r="C82" s="5"/>
      <c r="D82" s="5"/>
      <c r="E82" s="5"/>
    </row>
    <row r="83" spans="1:18">
      <c r="A83" s="6" t="s">
        <v>118</v>
      </c>
      <c r="B83" s="5"/>
      <c r="C83" s="5"/>
      <c r="D83" s="5"/>
      <c r="E83" s="5"/>
    </row>
    <row r="84" spans="1:18">
      <c r="A84" s="5" t="s">
        <v>119</v>
      </c>
      <c r="B84" s="10">
        <f>B80*B77</f>
        <v>4096764.6420824295</v>
      </c>
      <c r="C84" s="10">
        <f t="shared" ref="C84:E84" si="20">C80*C77</f>
        <v>4221764.6420824295</v>
      </c>
      <c r="D84" s="10">
        <f t="shared" si="20"/>
        <v>4346764.6420824295</v>
      </c>
      <c r="E84" s="10">
        <f t="shared" si="20"/>
        <v>4471764.6420824295</v>
      </c>
    </row>
    <row r="85" spans="1:18">
      <c r="A85" s="34" t="s">
        <v>120</v>
      </c>
      <c r="B85" s="35">
        <f>B81*B78</f>
        <v>0</v>
      </c>
      <c r="C85" s="35">
        <f t="shared" ref="C85:E85" si="21">C81*C78</f>
        <v>5263764.6420824295</v>
      </c>
      <c r="D85" s="35">
        <f t="shared" si="21"/>
        <v>10777529.284164859</v>
      </c>
      <c r="E85" s="35">
        <f t="shared" si="21"/>
        <v>16541293.926247289</v>
      </c>
    </row>
    <row r="86" spans="1:18">
      <c r="A86" s="5" t="s">
        <v>121</v>
      </c>
      <c r="B86" s="13">
        <f>B84+B85</f>
        <v>4096764.6420824295</v>
      </c>
      <c r="C86" s="13">
        <f t="shared" ref="C86:E86" si="22">C84+C85</f>
        <v>9485529.284164859</v>
      </c>
      <c r="D86" s="13">
        <f t="shared" si="22"/>
        <v>15124293.926247288</v>
      </c>
      <c r="E86" s="13">
        <f t="shared" si="22"/>
        <v>21013058.568329718</v>
      </c>
    </row>
    <row r="87" spans="1:18">
      <c r="A87" s="5" t="s">
        <v>122</v>
      </c>
      <c r="B87" s="13">
        <v>5000000</v>
      </c>
      <c r="C87" s="13">
        <v>5750000</v>
      </c>
      <c r="D87" s="13">
        <v>6500000</v>
      </c>
      <c r="E87" s="13">
        <v>7250000</v>
      </c>
    </row>
    <row r="88" spans="1:18">
      <c r="A88" s="34" t="s">
        <v>123</v>
      </c>
      <c r="B88" s="36">
        <v>2000000</v>
      </c>
      <c r="C88" s="36">
        <v>2000000</v>
      </c>
      <c r="D88" s="36">
        <v>2000000</v>
      </c>
      <c r="E88" s="36">
        <v>2000000</v>
      </c>
    </row>
    <row r="89" spans="1:18">
      <c r="A89" s="5" t="s">
        <v>124</v>
      </c>
      <c r="B89" s="13">
        <f>B86-(B87+B88)</f>
        <v>-2903235.3579175705</v>
      </c>
      <c r="C89" s="13">
        <f t="shared" ref="C89:E89" si="23">C86-(C87+C88)</f>
        <v>1735529.284164859</v>
      </c>
      <c r="D89" s="13">
        <f t="shared" si="23"/>
        <v>6624293.9262472875</v>
      </c>
      <c r="E89" s="13">
        <f t="shared" si="23"/>
        <v>11763058.568329718</v>
      </c>
      <c r="N89" t="s">
        <v>143</v>
      </c>
      <c r="O89">
        <v>50000</v>
      </c>
      <c r="P89">
        <v>100000</v>
      </c>
      <c r="Q89">
        <v>150000</v>
      </c>
      <c r="R89">
        <v>200000</v>
      </c>
    </row>
    <row r="90" spans="1:18">
      <c r="A90" s="5" t="s">
        <v>125</v>
      </c>
      <c r="B90" s="13">
        <f>B89</f>
        <v>-2903235.3579175705</v>
      </c>
      <c r="C90" s="13">
        <f>C89+B90</f>
        <v>-1167706.0737527115</v>
      </c>
      <c r="D90" s="13">
        <f t="shared" ref="D90:E90" si="24">D89+C90</f>
        <v>5456587.852494576</v>
      </c>
      <c r="E90" s="13">
        <f t="shared" si="24"/>
        <v>17219646.420824293</v>
      </c>
    </row>
    <row r="91" spans="1:18">
      <c r="A91" s="5"/>
      <c r="B91" s="13"/>
      <c r="C91" s="13"/>
      <c r="D91" s="13"/>
      <c r="E91" s="13"/>
      <c r="N91" t="s">
        <v>144</v>
      </c>
      <c r="O91">
        <f>O89/'Customer Acquisition (TN)'!I13 * 12</f>
        <v>8.4790673025967145</v>
      </c>
      <c r="P91">
        <f>P89/'Customer Acquisition (TN)'!I13 * 12</f>
        <v>16.958134605193429</v>
      </c>
      <c r="Q91">
        <f>Q89/'Customer Acquisition (TN)'!I13 * 12</f>
        <v>25.437201907790143</v>
      </c>
      <c r="R91">
        <f>R89/'Customer Acquisition (TN)'!I13 * 12</f>
        <v>33.916269210386858</v>
      </c>
    </row>
    <row r="92" spans="1:18" ht="15">
      <c r="A92" s="45" t="s">
        <v>126</v>
      </c>
      <c r="B92" s="80">
        <f>(B87+B88-B85)/B77+B81</f>
        <v>85433.270050410138</v>
      </c>
      <c r="C92" s="81">
        <f>(C87+C88-C85)/C77+C81</f>
        <v>79445.451946028057</v>
      </c>
      <c r="D92" s="80">
        <f>(D87+D88-D85)/D77+D81</f>
        <v>73802.0174578195</v>
      </c>
      <c r="E92" s="80">
        <f>(E87+E88-E85)/E77+E81</f>
        <v>68474.086743842476</v>
      </c>
      <c r="F92" t="s">
        <v>145</v>
      </c>
      <c r="N92" t="s">
        <v>146</v>
      </c>
      <c r="O92" s="13">
        <f>B90</f>
        <v>-2903235.3579175705</v>
      </c>
      <c r="P92" s="13">
        <f>C90</f>
        <v>-1167706.0737527115</v>
      </c>
      <c r="Q92" s="13">
        <f>D90</f>
        <v>5456587.852494576</v>
      </c>
      <c r="R92" s="13">
        <f>E90</f>
        <v>17219646.420824293</v>
      </c>
    </row>
    <row r="93" spans="1:18">
      <c r="A93" s="73" t="s">
        <v>127</v>
      </c>
      <c r="B93" s="79">
        <f>(B87+B88-B85 + 5000000)/B77+B81</f>
        <v>146457.03437213166</v>
      </c>
      <c r="C93" s="77">
        <f>(C87+C88-C85 + 5000000)/C77+C81</f>
        <v>138662.39585332386</v>
      </c>
      <c r="D93" s="78">
        <f>(D87+D88-D85 + 5000000)/D77+D81</f>
        <v>131316.05849415017</v>
      </c>
      <c r="E93" s="77">
        <f>(E87+E88-E85 + 5000000)/E77+E81</f>
        <v>124380.42797820113</v>
      </c>
      <c r="F93" t="s">
        <v>147</v>
      </c>
    </row>
    <row r="94" spans="1:18">
      <c r="A94" s="46" t="s">
        <v>128</v>
      </c>
      <c r="B94" s="82">
        <f>C92/50000 * L68</f>
        <v>13.472466678711701</v>
      </c>
      <c r="C94" s="76"/>
      <c r="D94" s="76"/>
      <c r="E94" s="76"/>
    </row>
    <row r="95" spans="1:18">
      <c r="A95" s="46" t="s">
        <v>129</v>
      </c>
      <c r="B95" s="83">
        <f>D93/50000 * L68</f>
        <v>22.268753957672526</v>
      </c>
      <c r="C95" s="76"/>
      <c r="D95" s="76"/>
      <c r="E95" s="76"/>
    </row>
    <row r="96" spans="1:18">
      <c r="A96" s="46"/>
      <c r="B96" s="47"/>
      <c r="C96" s="47"/>
      <c r="D96" s="47"/>
      <c r="E96" s="47"/>
    </row>
    <row r="97" spans="1:12">
      <c r="A97" s="69"/>
      <c r="B97" s="69"/>
      <c r="C97" s="69"/>
      <c r="D97" s="69"/>
      <c r="E97" s="69"/>
    </row>
    <row r="98" spans="1:12">
      <c r="A98" s="68" t="s">
        <v>150</v>
      </c>
    </row>
    <row r="99" spans="1:12">
      <c r="A99" s="16"/>
      <c r="B99" s="108" t="s">
        <v>107</v>
      </c>
      <c r="C99" s="109"/>
      <c r="D99" s="109"/>
      <c r="E99" s="109"/>
    </row>
    <row r="100" spans="1:12">
      <c r="A100" s="6"/>
      <c r="B100" s="32">
        <v>50000</v>
      </c>
      <c r="C100" s="33">
        <v>100000</v>
      </c>
      <c r="D100" s="33">
        <f>$C100+50000</f>
        <v>150000</v>
      </c>
      <c r="E100" s="32">
        <v>200000</v>
      </c>
      <c r="K100" t="s">
        <v>135</v>
      </c>
      <c r="L100">
        <f>50000/'Customer Acquisition (TN)'!I22 * 12</f>
        <v>10.174880763116057</v>
      </c>
    </row>
    <row r="101" spans="1:12">
      <c r="A101" s="6" t="s">
        <v>108</v>
      </c>
      <c r="B101" s="5"/>
      <c r="C101" s="5"/>
      <c r="D101" s="5"/>
      <c r="E101" s="5"/>
    </row>
    <row r="102" spans="1:12">
      <c r="A102" s="5" t="s">
        <v>109</v>
      </c>
      <c r="B102" s="23">
        <f>'Target Segments &amp; Revenue (TN)'!$F10</f>
        <v>163.31451612903226</v>
      </c>
      <c r="C102" s="23">
        <f>'Target Segments &amp; Revenue (TN)'!$F10</f>
        <v>163.31451612903226</v>
      </c>
      <c r="D102" s="23">
        <f>'Target Segments &amp; Revenue (TN)'!$F10</f>
        <v>163.31451612903226</v>
      </c>
      <c r="E102" s="23">
        <f>'Target Segments &amp; Revenue (TN)'!$F10</f>
        <v>163.31451612903226</v>
      </c>
    </row>
    <row r="103" spans="1:12">
      <c r="A103" s="5" t="s">
        <v>110</v>
      </c>
      <c r="B103" s="23">
        <v>18.309999999999999</v>
      </c>
      <c r="C103" s="23">
        <v>18.309999999999999</v>
      </c>
      <c r="D103" s="23">
        <v>18.309999999999999</v>
      </c>
      <c r="E103" s="23">
        <v>18.309999999999999</v>
      </c>
    </row>
    <row r="104" spans="1:12">
      <c r="A104" s="5" t="s">
        <v>111</v>
      </c>
      <c r="B104" s="5">
        <v>20</v>
      </c>
      <c r="C104" s="5">
        <v>17.5</v>
      </c>
      <c r="D104" s="5">
        <v>15</v>
      </c>
      <c r="E104" s="5">
        <v>12.5</v>
      </c>
    </row>
    <row r="105" spans="1:12">
      <c r="A105" s="5"/>
      <c r="B105" s="5"/>
      <c r="C105" s="23"/>
      <c r="D105" s="5"/>
      <c r="E105" s="5"/>
    </row>
    <row r="106" spans="1:12">
      <c r="A106" s="5" t="s">
        <v>112</v>
      </c>
      <c r="B106" s="23">
        <f>B104+B103</f>
        <v>38.31</v>
      </c>
      <c r="C106" s="23">
        <f t="shared" ref="C106:E106" si="25">C104+C103</f>
        <v>35.81</v>
      </c>
      <c r="D106" s="23">
        <f>D104+D103</f>
        <v>33.31</v>
      </c>
      <c r="E106" s="23">
        <f t="shared" si="25"/>
        <v>30.81</v>
      </c>
    </row>
    <row r="107" spans="1:12">
      <c r="A107" s="5" t="s">
        <v>113</v>
      </c>
      <c r="B107" s="23">
        <f>B104</f>
        <v>20</v>
      </c>
      <c r="C107" s="23">
        <f t="shared" ref="C107:E107" si="26">C104</f>
        <v>17.5</v>
      </c>
      <c r="D107" s="23">
        <f t="shared" si="26"/>
        <v>15</v>
      </c>
      <c r="E107" s="23">
        <f t="shared" si="26"/>
        <v>12.5</v>
      </c>
    </row>
    <row r="108" spans="1:12">
      <c r="A108" s="5"/>
      <c r="B108" s="23"/>
      <c r="C108" s="23"/>
      <c r="D108" s="23"/>
      <c r="E108" s="23"/>
    </row>
    <row r="109" spans="1:12">
      <c r="A109" s="5" t="s">
        <v>114</v>
      </c>
      <c r="B109" s="23">
        <f>B102-B106</f>
        <v>125.00451612903225</v>
      </c>
      <c r="C109" s="23">
        <f t="shared" ref="C109:E109" si="27">C102-C106</f>
        <v>127.50451612903225</v>
      </c>
      <c r="D109" s="23">
        <f>D102-D106</f>
        <v>130.00451612903225</v>
      </c>
      <c r="E109" s="23">
        <f t="shared" si="27"/>
        <v>132.50451612903225</v>
      </c>
    </row>
    <row r="110" spans="1:12" ht="15">
      <c r="A110" s="5" t="s">
        <v>115</v>
      </c>
      <c r="B110" s="74">
        <f>B102-B107</f>
        <v>143.31451612903226</v>
      </c>
      <c r="C110" s="74">
        <f t="shared" ref="C110:E110" si="28">C102-C107</f>
        <v>145.81451612903226</v>
      </c>
      <c r="D110" s="74">
        <f t="shared" si="28"/>
        <v>148.31451612903226</v>
      </c>
      <c r="E110" s="74">
        <f t="shared" si="28"/>
        <v>150.81451612903226</v>
      </c>
    </row>
    <row r="111" spans="1:12">
      <c r="A111" s="5"/>
      <c r="B111" s="5"/>
      <c r="C111" s="5"/>
      <c r="D111" s="5"/>
      <c r="E111" s="5"/>
    </row>
    <row r="112" spans="1:12">
      <c r="A112" s="5" t="s">
        <v>116</v>
      </c>
      <c r="B112" s="13">
        <v>50000</v>
      </c>
      <c r="C112" s="13">
        <v>50000</v>
      </c>
      <c r="D112" s="13">
        <v>50000</v>
      </c>
      <c r="E112" s="13">
        <v>50000</v>
      </c>
    </row>
    <row r="113" spans="1:18">
      <c r="A113" s="5" t="s">
        <v>117</v>
      </c>
      <c r="B113" s="13">
        <v>0</v>
      </c>
      <c r="C113" s="13">
        <f>B113+50000</f>
        <v>50000</v>
      </c>
      <c r="D113" s="13">
        <f t="shared" ref="D113" si="29">C113+50000</f>
        <v>100000</v>
      </c>
      <c r="E113" s="13">
        <f t="shared" ref="E113" si="30">D113+50000</f>
        <v>150000</v>
      </c>
    </row>
    <row r="114" spans="1:18">
      <c r="A114" s="5"/>
      <c r="B114" s="5"/>
      <c r="C114" s="5"/>
      <c r="D114" s="5"/>
      <c r="E114" s="5"/>
    </row>
    <row r="115" spans="1:18">
      <c r="A115" s="6" t="s">
        <v>118</v>
      </c>
      <c r="B115" s="5"/>
      <c r="C115" s="5"/>
      <c r="D115" s="5"/>
      <c r="E115" s="5"/>
    </row>
    <row r="116" spans="1:18">
      <c r="A116" s="5" t="s">
        <v>119</v>
      </c>
      <c r="B116" s="10">
        <f>B112*B109</f>
        <v>6250225.8064516131</v>
      </c>
      <c r="C116" s="10">
        <f t="shared" ref="C116:E116" si="31">C112*C109</f>
        <v>6375225.8064516131</v>
      </c>
      <c r="D116" s="10">
        <f t="shared" si="31"/>
        <v>6500225.8064516131</v>
      </c>
      <c r="E116" s="10">
        <f t="shared" si="31"/>
        <v>6625225.8064516131</v>
      </c>
    </row>
    <row r="117" spans="1:18">
      <c r="A117" s="34" t="s">
        <v>120</v>
      </c>
      <c r="B117" s="10">
        <f>B113*B110</f>
        <v>0</v>
      </c>
      <c r="C117" s="10">
        <f t="shared" ref="C117:E117" si="32">C113*C110</f>
        <v>7290725.8064516131</v>
      </c>
      <c r="D117" s="10">
        <f t="shared" si="32"/>
        <v>14831451.612903226</v>
      </c>
      <c r="E117" s="10">
        <f t="shared" si="32"/>
        <v>22622177.419354837</v>
      </c>
    </row>
    <row r="118" spans="1:18">
      <c r="A118" s="5" t="s">
        <v>121</v>
      </c>
      <c r="B118" s="13">
        <f>B116+B117</f>
        <v>6250225.8064516131</v>
      </c>
      <c r="C118" s="13">
        <f t="shared" ref="C118:E118" si="33">C116+C117</f>
        <v>13665951.612903226</v>
      </c>
      <c r="D118" s="13">
        <f t="shared" si="33"/>
        <v>21331677.419354841</v>
      </c>
      <c r="E118" s="13">
        <f t="shared" si="33"/>
        <v>29247403.225806452</v>
      </c>
    </row>
    <row r="119" spans="1:18">
      <c r="A119" s="5" t="s">
        <v>122</v>
      </c>
      <c r="B119" s="13">
        <v>5000000</v>
      </c>
      <c r="C119" s="13">
        <v>5750000</v>
      </c>
      <c r="D119" s="13">
        <v>6500000</v>
      </c>
      <c r="E119" s="13">
        <v>7250000</v>
      </c>
    </row>
    <row r="120" spans="1:18">
      <c r="A120" s="34" t="s">
        <v>123</v>
      </c>
      <c r="B120" s="36">
        <v>2000000</v>
      </c>
      <c r="C120" s="36">
        <v>2000000</v>
      </c>
      <c r="D120" s="36">
        <v>2000000</v>
      </c>
      <c r="E120" s="36">
        <v>2000000</v>
      </c>
    </row>
    <row r="121" spans="1:18">
      <c r="A121" s="5" t="s">
        <v>124</v>
      </c>
      <c r="B121" s="13">
        <f>B118-(B119+B120)</f>
        <v>-749774.19354838692</v>
      </c>
      <c r="C121" s="13">
        <f t="shared" ref="C121:E121" si="34">C118-(C119+C120)</f>
        <v>5915951.6129032262</v>
      </c>
      <c r="D121" s="13">
        <f t="shared" si="34"/>
        <v>12831677.419354841</v>
      </c>
      <c r="E121" s="13">
        <f t="shared" si="34"/>
        <v>19997403.225806452</v>
      </c>
      <c r="N121" t="s">
        <v>143</v>
      </c>
      <c r="O121">
        <v>50000</v>
      </c>
      <c r="P121">
        <v>100000</v>
      </c>
      <c r="Q121">
        <v>150000</v>
      </c>
      <c r="R121">
        <v>200000</v>
      </c>
    </row>
    <row r="122" spans="1:18">
      <c r="A122" s="5" t="s">
        <v>125</v>
      </c>
      <c r="B122" s="13">
        <f>B121</f>
        <v>-749774.19354838692</v>
      </c>
      <c r="C122" s="13">
        <f>C121+B122</f>
        <v>5166177.4193548393</v>
      </c>
      <c r="D122" s="13">
        <f t="shared" ref="D122:E122" si="35">D121+C122</f>
        <v>17997854.838709682</v>
      </c>
      <c r="E122" s="13">
        <f t="shared" si="35"/>
        <v>37995258.064516135</v>
      </c>
    </row>
    <row r="123" spans="1:18">
      <c r="A123" s="5"/>
      <c r="B123" s="13"/>
      <c r="C123" s="13"/>
      <c r="D123" s="13"/>
      <c r="E123" s="13"/>
      <c r="N123" t="s">
        <v>144</v>
      </c>
      <c r="O123">
        <f>O121/'Customer Acquisition (TN)'!I22 * 12</f>
        <v>10.174880763116057</v>
      </c>
      <c r="P123">
        <f>P121/'Customer Acquisition (TN)'!I22 * 12</f>
        <v>20.349761526232115</v>
      </c>
      <c r="Q123">
        <f>Q121/'Customer Acquisition (TN)'!I22 * 12</f>
        <v>30.524642289348172</v>
      </c>
      <c r="R123">
        <f>R121/'Customer Acquisition (TN)'!I22 * 12</f>
        <v>40.69952305246423</v>
      </c>
    </row>
    <row r="124" spans="1:18" ht="15">
      <c r="A124" s="45" t="s">
        <v>126</v>
      </c>
      <c r="B124" s="80">
        <f>(B119+B120-B117)/B109+B113</f>
        <v>55997.976847288097</v>
      </c>
      <c r="C124" s="81">
        <f>(C119+C120-C117)/C109+C113</f>
        <v>53602.022951748702</v>
      </c>
      <c r="D124" s="80">
        <f>(D119+D120-D117)/D109+D113</f>
        <v>51298.217927913167</v>
      </c>
      <c r="E124" s="80">
        <f>(E119+E120-E117)/E109+E113</f>
        <v>49081.345979686637</v>
      </c>
      <c r="F124" t="s">
        <v>145</v>
      </c>
      <c r="N124" t="s">
        <v>146</v>
      </c>
      <c r="O124" s="13">
        <f>B122</f>
        <v>-749774.19354838692</v>
      </c>
      <c r="P124" s="13">
        <f>C122</f>
        <v>5166177.4193548393</v>
      </c>
      <c r="Q124" s="13">
        <f>D122</f>
        <v>17997854.838709682</v>
      </c>
      <c r="R124" s="13">
        <f>E122</f>
        <v>37995258.064516135</v>
      </c>
    </row>
    <row r="125" spans="1:18">
      <c r="A125" s="73" t="s">
        <v>127</v>
      </c>
      <c r="B125" s="79">
        <f>(B119+B120-B117 + 5000000)/B109+B113</f>
        <v>95996.53173820817</v>
      </c>
      <c r="C125" s="78">
        <f>(C119+C120-C117 + 5000000)/C109+C113</f>
        <v>92816.320231541453</v>
      </c>
      <c r="D125" s="77">
        <f>(D119+D120-D117 + 5000000)/D109+D113</f>
        <v>89758.42030301677</v>
      </c>
      <c r="E125" s="77">
        <f>(E119+E120-E117 + 5000000)/E109+E113</f>
        <v>86815.908891723724</v>
      </c>
      <c r="F125" t="s">
        <v>145</v>
      </c>
    </row>
    <row r="126" spans="1:18">
      <c r="A126" s="46" t="s">
        <v>128</v>
      </c>
      <c r="B126" s="82">
        <f>C124/50000 * L100</f>
        <v>10.907883843917066</v>
      </c>
      <c r="C126" s="76"/>
      <c r="D126" s="76"/>
      <c r="E126" s="76"/>
    </row>
    <row r="127" spans="1:18">
      <c r="A127" s="46" t="s">
        <v>129</v>
      </c>
      <c r="B127" s="83">
        <f>D125/50000 * L100</f>
        <v>18.265624481377021</v>
      </c>
      <c r="C127" s="76"/>
      <c r="D127" s="76"/>
      <c r="E127" s="76"/>
    </row>
    <row r="128" spans="1:18">
      <c r="A128" s="46"/>
      <c r="B128" s="47"/>
      <c r="C128" s="47"/>
      <c r="D128" s="47"/>
      <c r="E128" s="47"/>
    </row>
    <row r="129" spans="1:12">
      <c r="A129" s="69"/>
      <c r="B129" s="69"/>
      <c r="C129" s="69"/>
      <c r="D129" s="69"/>
      <c r="E129" s="69"/>
    </row>
    <row r="130" spans="1:12">
      <c r="A130" s="68" t="s">
        <v>151</v>
      </c>
      <c r="B130" s="68"/>
      <c r="C130" s="68"/>
      <c r="D130" s="68"/>
      <c r="E130" s="68"/>
    </row>
    <row r="131" spans="1:12">
      <c r="A131" s="16"/>
      <c r="B131" s="108" t="s">
        <v>107</v>
      </c>
      <c r="C131" s="109"/>
      <c r="D131" s="109"/>
      <c r="E131" s="109"/>
    </row>
    <row r="132" spans="1:12">
      <c r="A132" s="6"/>
      <c r="B132" s="32">
        <v>50000</v>
      </c>
      <c r="C132" s="33">
        <v>100000</v>
      </c>
      <c r="D132" s="33">
        <f>$C132+50000</f>
        <v>150000</v>
      </c>
      <c r="E132" s="32">
        <v>200000</v>
      </c>
      <c r="K132" t="s">
        <v>135</v>
      </c>
      <c r="L132">
        <f>50000/'Customer Acquisition (TN)'!I23 * 12</f>
        <v>15.058823529411764</v>
      </c>
    </row>
    <row r="133" spans="1:12">
      <c r="A133" s="6" t="s">
        <v>108</v>
      </c>
      <c r="B133" s="5"/>
      <c r="C133" s="5"/>
      <c r="D133" s="5"/>
      <c r="E133" s="5"/>
    </row>
    <row r="134" spans="1:12">
      <c r="A134" s="5" t="s">
        <v>109</v>
      </c>
      <c r="B134" s="23">
        <f>'Target Segments &amp; Revenue (TN)'!$F$10</f>
        <v>163.31451612903226</v>
      </c>
      <c r="C134" s="23">
        <f>'Target Segments &amp; Revenue (TN)'!$F$10</f>
        <v>163.31451612903226</v>
      </c>
      <c r="D134" s="23">
        <f>'Target Segments &amp; Revenue (TN)'!$F$10</f>
        <v>163.31451612903226</v>
      </c>
      <c r="E134" s="23">
        <f>'Target Segments &amp; Revenue (TN)'!$F$10</f>
        <v>163.31451612903226</v>
      </c>
    </row>
    <row r="135" spans="1:12">
      <c r="A135" s="5" t="s">
        <v>110</v>
      </c>
      <c r="B135" s="23">
        <v>11.42</v>
      </c>
      <c r="C135" s="23">
        <v>11.42</v>
      </c>
      <c r="D135" s="23">
        <v>11.42</v>
      </c>
      <c r="E135" s="23">
        <v>11.42</v>
      </c>
    </row>
    <row r="136" spans="1:12">
      <c r="A136" s="5" t="s">
        <v>111</v>
      </c>
      <c r="B136" s="70">
        <v>20</v>
      </c>
      <c r="C136" s="70">
        <v>17.5</v>
      </c>
      <c r="D136" s="70">
        <v>15</v>
      </c>
      <c r="E136" s="70">
        <v>12.5</v>
      </c>
    </row>
    <row r="137" spans="1:12">
      <c r="A137" s="5"/>
      <c r="B137" s="5"/>
      <c r="C137" s="23"/>
      <c r="D137" s="5"/>
      <c r="E137" s="5"/>
    </row>
    <row r="138" spans="1:12">
      <c r="A138" s="5" t="s">
        <v>112</v>
      </c>
      <c r="B138" s="23">
        <f>B135+B136</f>
        <v>31.42</v>
      </c>
      <c r="C138" s="23">
        <f t="shared" ref="C138:E138" si="36">C135+C136</f>
        <v>28.92</v>
      </c>
      <c r="D138" s="23">
        <f t="shared" si="36"/>
        <v>26.42</v>
      </c>
      <c r="E138" s="23">
        <f t="shared" si="36"/>
        <v>23.92</v>
      </c>
    </row>
    <row r="139" spans="1:12">
      <c r="A139" s="5" t="s">
        <v>113</v>
      </c>
      <c r="B139" s="23">
        <f>B136</f>
        <v>20</v>
      </c>
      <c r="C139" s="23">
        <f t="shared" ref="C139:E139" si="37">C136</f>
        <v>17.5</v>
      </c>
      <c r="D139" s="23">
        <f t="shared" si="37"/>
        <v>15</v>
      </c>
      <c r="E139" s="23">
        <f t="shared" si="37"/>
        <v>12.5</v>
      </c>
    </row>
    <row r="140" spans="1:12">
      <c r="A140" s="5"/>
      <c r="B140" s="23"/>
      <c r="C140" s="23"/>
      <c r="D140" s="23"/>
      <c r="E140" s="23"/>
    </row>
    <row r="141" spans="1:12">
      <c r="A141" s="5" t="s">
        <v>114</v>
      </c>
      <c r="B141" s="23">
        <f>B134-B138</f>
        <v>131.89451612903224</v>
      </c>
      <c r="C141" s="23">
        <f>C134-C138</f>
        <v>134.39451612903224</v>
      </c>
      <c r="D141" s="23">
        <f t="shared" ref="C141:E141" si="38">D134-D138</f>
        <v>136.89451612903224</v>
      </c>
      <c r="E141" s="23">
        <f t="shared" si="38"/>
        <v>139.39451612903224</v>
      </c>
    </row>
    <row r="142" spans="1:12">
      <c r="A142" s="5" t="s">
        <v>115</v>
      </c>
      <c r="B142" s="23">
        <f>B134-B139</f>
        <v>143.31451612903226</v>
      </c>
      <c r="C142" s="23">
        <f t="shared" ref="C142:E142" si="39">C134-C139</f>
        <v>145.81451612903226</v>
      </c>
      <c r="D142" s="23">
        <f t="shared" si="39"/>
        <v>148.31451612903226</v>
      </c>
      <c r="E142" s="23">
        <f t="shared" si="39"/>
        <v>150.81451612903226</v>
      </c>
    </row>
    <row r="143" spans="1:12">
      <c r="A143" s="5"/>
      <c r="B143" s="5"/>
      <c r="C143" s="5"/>
      <c r="D143" s="5"/>
      <c r="E143" s="5"/>
    </row>
    <row r="144" spans="1:12">
      <c r="A144" s="5" t="s">
        <v>116</v>
      </c>
      <c r="B144" s="13">
        <v>50000</v>
      </c>
      <c r="C144" s="13">
        <v>50000</v>
      </c>
      <c r="D144" s="13">
        <v>50000</v>
      </c>
      <c r="E144" s="13">
        <v>50000</v>
      </c>
    </row>
    <row r="145" spans="1:18">
      <c r="A145" s="5" t="s">
        <v>117</v>
      </c>
      <c r="B145" s="13">
        <v>0</v>
      </c>
      <c r="C145" s="13">
        <f>B145+50000</f>
        <v>50000</v>
      </c>
      <c r="D145" s="13">
        <f t="shared" ref="D145" si="40">C145+50000</f>
        <v>100000</v>
      </c>
      <c r="E145" s="13">
        <f t="shared" ref="E145" si="41">D145+50000</f>
        <v>150000</v>
      </c>
    </row>
    <row r="146" spans="1:18">
      <c r="A146" s="5"/>
      <c r="B146" s="5"/>
      <c r="C146" s="5"/>
      <c r="D146" s="5"/>
      <c r="E146" s="5"/>
    </row>
    <row r="147" spans="1:18">
      <c r="A147" s="6" t="s">
        <v>118</v>
      </c>
      <c r="B147" s="5"/>
      <c r="C147" s="5"/>
      <c r="D147" s="5"/>
      <c r="E147" s="5"/>
    </row>
    <row r="148" spans="1:18">
      <c r="A148" s="5" t="s">
        <v>119</v>
      </c>
      <c r="B148" s="10">
        <f>B144*B141</f>
        <v>6594725.8064516122</v>
      </c>
      <c r="C148" s="10">
        <f t="shared" ref="C148:E148" si="42">C144*C141</f>
        <v>6719725.8064516122</v>
      </c>
      <c r="D148" s="10">
        <f t="shared" si="42"/>
        <v>6844725.8064516122</v>
      </c>
      <c r="E148" s="10">
        <f t="shared" si="42"/>
        <v>6969725.8064516122</v>
      </c>
    </row>
    <row r="149" spans="1:18">
      <c r="A149" s="34" t="s">
        <v>120</v>
      </c>
      <c r="B149" s="35">
        <f>B145*B142</f>
        <v>0</v>
      </c>
      <c r="C149" s="35">
        <f t="shared" ref="C149:E149" si="43">C145*C142</f>
        <v>7290725.8064516131</v>
      </c>
      <c r="D149" s="35">
        <f t="shared" si="43"/>
        <v>14831451.612903226</v>
      </c>
      <c r="E149" s="35">
        <f t="shared" si="43"/>
        <v>22622177.419354837</v>
      </c>
    </row>
    <row r="150" spans="1:18">
      <c r="A150" s="5" t="s">
        <v>121</v>
      </c>
      <c r="B150" s="13">
        <f>B148+B149</f>
        <v>6594725.8064516122</v>
      </c>
      <c r="C150" s="13">
        <f t="shared" ref="C150:E150" si="44">C148+C149</f>
        <v>14010451.612903226</v>
      </c>
      <c r="D150" s="13">
        <f t="shared" si="44"/>
        <v>21676177.419354837</v>
      </c>
      <c r="E150" s="13">
        <f t="shared" si="44"/>
        <v>29591903.225806449</v>
      </c>
    </row>
    <row r="151" spans="1:18">
      <c r="A151" s="5" t="s">
        <v>122</v>
      </c>
      <c r="B151" s="13">
        <v>5000000</v>
      </c>
      <c r="C151" s="13">
        <v>5750000</v>
      </c>
      <c r="D151" s="13">
        <v>6500000</v>
      </c>
      <c r="E151" s="13">
        <v>7250000</v>
      </c>
    </row>
    <row r="152" spans="1:18">
      <c r="A152" s="34" t="s">
        <v>123</v>
      </c>
      <c r="B152" s="36">
        <v>2000000</v>
      </c>
      <c r="C152" s="36">
        <v>2000000</v>
      </c>
      <c r="D152" s="36">
        <v>2000000</v>
      </c>
      <c r="E152" s="36">
        <v>2000000</v>
      </c>
    </row>
    <row r="153" spans="1:18">
      <c r="A153" s="5" t="s">
        <v>124</v>
      </c>
      <c r="B153" s="13">
        <f>B150-(B151+B152)</f>
        <v>-405274.19354838785</v>
      </c>
      <c r="C153" s="13">
        <f t="shared" ref="C153:E153" si="45">C150-(C151+C152)</f>
        <v>6260451.6129032262</v>
      </c>
      <c r="D153" s="13">
        <f t="shared" si="45"/>
        <v>13176177.419354837</v>
      </c>
      <c r="E153" s="13">
        <f t="shared" si="45"/>
        <v>20341903.225806449</v>
      </c>
      <c r="N153" t="s">
        <v>143</v>
      </c>
      <c r="O153">
        <v>50000</v>
      </c>
      <c r="P153">
        <v>100000</v>
      </c>
      <c r="Q153">
        <v>150000</v>
      </c>
      <c r="R153">
        <v>200000</v>
      </c>
    </row>
    <row r="154" spans="1:18">
      <c r="A154" s="5" t="s">
        <v>125</v>
      </c>
      <c r="B154" s="13">
        <f>B153</f>
        <v>-405274.19354838785</v>
      </c>
      <c r="C154" s="13">
        <f>C153+B154</f>
        <v>5855177.4193548383</v>
      </c>
      <c r="D154" s="13">
        <f t="shared" ref="D154:E154" si="46">D153+C154</f>
        <v>19031354.838709675</v>
      </c>
      <c r="E154" s="13">
        <f t="shared" si="46"/>
        <v>39373258.064516127</v>
      </c>
    </row>
    <row r="155" spans="1:18">
      <c r="A155" s="5"/>
      <c r="B155" s="13"/>
      <c r="C155" s="13"/>
      <c r="D155" s="13"/>
      <c r="E155" s="13"/>
      <c r="N155" t="s">
        <v>144</v>
      </c>
      <c r="O155">
        <f>O153/'Customer Acquisition (TN)'!I23 * 12</f>
        <v>15.058823529411764</v>
      </c>
      <c r="P155">
        <f>P153/'Customer Acquisition (TN)'!I23 * 12</f>
        <v>30.117647058823529</v>
      </c>
      <c r="Q155">
        <f>Q153/'Customer Acquisition (TN)'!I23 * 12</f>
        <v>45.17647058823529</v>
      </c>
      <c r="R155">
        <f>R153/'Customer Acquisition (TN)'!I23 * 12</f>
        <v>60.235294117647058</v>
      </c>
    </row>
    <row r="156" spans="1:18" ht="15">
      <c r="A156" s="45" t="s">
        <v>126</v>
      </c>
      <c r="B156" s="80">
        <f>(B151+B152-B149)/B141+B145</f>
        <v>53072.714510373647</v>
      </c>
      <c r="C156" s="81">
        <f>(C151+C152-C149)/C141+C145</f>
        <v>53417.358139132979</v>
      </c>
      <c r="D156" s="80">
        <f>(D151+D152-D149)/D141+D145</f>
        <v>53749.413841125606</v>
      </c>
      <c r="E156" s="80">
        <f>(E151+E152-E149)/E141+E145</f>
        <v>54069.558898739473</v>
      </c>
      <c r="F156" t="s">
        <v>145</v>
      </c>
      <c r="N156" t="s">
        <v>146</v>
      </c>
      <c r="O156" s="13">
        <f>B154</f>
        <v>-405274.19354838785</v>
      </c>
      <c r="P156" s="13">
        <f>C154</f>
        <v>5855177.4193548383</v>
      </c>
      <c r="Q156" s="13">
        <f>D154</f>
        <v>19031354.838709675</v>
      </c>
      <c r="R156" s="13">
        <f>E154</f>
        <v>39373258.064516127</v>
      </c>
    </row>
    <row r="157" spans="1:18">
      <c r="A157" s="73" t="s">
        <v>127</v>
      </c>
      <c r="B157" s="79">
        <f>(B151+B152-B149 + 5000000)/B141+B145</f>
        <v>90981.796303497671</v>
      </c>
      <c r="C157" s="78">
        <f>(C151+C152-C149 + 5000000)/C141+C145</f>
        <v>90621.257107744896</v>
      </c>
      <c r="D157" s="77">
        <f>(D151+D152-D149 + 5000000)/D141+D145</f>
        <v>90273.88641595954</v>
      </c>
      <c r="E157" s="77">
        <f>(E151+E152-E149 + 5000000)/E141+E145</f>
        <v>89938.975708305283</v>
      </c>
      <c r="F157" t="s">
        <v>145</v>
      </c>
    </row>
    <row r="158" spans="1:18">
      <c r="A158" s="46" t="s">
        <v>128</v>
      </c>
      <c r="B158" s="82">
        <f>C156/50000 * L132</f>
        <v>16.088051392491813</v>
      </c>
      <c r="C158" s="76"/>
      <c r="D158" s="76"/>
      <c r="E158" s="76"/>
    </row>
    <row r="159" spans="1:18">
      <c r="A159" s="46" t="s">
        <v>129</v>
      </c>
      <c r="B159" s="83">
        <f>D157/50000 * L132</f>
        <v>27.18837049704193</v>
      </c>
      <c r="C159" s="76"/>
      <c r="D159" s="76"/>
      <c r="E159" s="76"/>
    </row>
    <row r="160" spans="1:18">
      <c r="A160" s="46"/>
      <c r="B160" s="47"/>
      <c r="C160" s="47"/>
      <c r="D160" s="47"/>
      <c r="E160" s="47"/>
    </row>
    <row r="161" spans="1:12">
      <c r="A161" s="69"/>
      <c r="B161" s="69"/>
      <c r="C161" s="69"/>
      <c r="D161" s="69"/>
      <c r="E161" s="69"/>
    </row>
    <row r="162" spans="1:12">
      <c r="A162" s="68" t="s">
        <v>152</v>
      </c>
      <c r="B162" s="68"/>
      <c r="C162" s="68"/>
      <c r="D162" s="68"/>
      <c r="E162" s="68"/>
    </row>
    <row r="163" spans="1:12">
      <c r="A163" s="16"/>
      <c r="B163" s="108" t="s">
        <v>107</v>
      </c>
      <c r="C163" s="109"/>
      <c r="D163" s="109"/>
      <c r="E163" s="109"/>
    </row>
    <row r="164" spans="1:12">
      <c r="A164" s="6"/>
      <c r="B164" s="32">
        <v>50000</v>
      </c>
      <c r="C164" s="33">
        <v>100000</v>
      </c>
      <c r="D164" s="33">
        <f>$C164+50000</f>
        <v>150000</v>
      </c>
      <c r="E164" s="32">
        <v>200000</v>
      </c>
      <c r="K164" t="s">
        <v>135</v>
      </c>
      <c r="L164">
        <f>50000/'Customer Acquisition (TN)'!I24 * 12</f>
        <v>13.071895424836601</v>
      </c>
    </row>
    <row r="165" spans="1:12">
      <c r="A165" s="6" t="s">
        <v>108</v>
      </c>
      <c r="B165" s="5"/>
      <c r="C165" s="5"/>
      <c r="D165" s="5"/>
      <c r="E165" s="5"/>
    </row>
    <row r="166" spans="1:12">
      <c r="A166" s="5" t="s">
        <v>109</v>
      </c>
      <c r="B166" s="23">
        <f>'Target Segments &amp; Revenue (TN)'!$F$10</f>
        <v>163.31451612903226</v>
      </c>
      <c r="C166" s="23">
        <f>'Target Segments &amp; Revenue (TN)'!$F$10</f>
        <v>163.31451612903226</v>
      </c>
      <c r="D166" s="23">
        <f>'Target Segments &amp; Revenue (TN)'!$F$10</f>
        <v>163.31451612903226</v>
      </c>
      <c r="E166" s="23">
        <f>'Target Segments &amp; Revenue (TN)'!$F$10</f>
        <v>163.31451612903226</v>
      </c>
    </row>
    <row r="167" spans="1:12">
      <c r="A167" s="5" t="s">
        <v>110</v>
      </c>
      <c r="B167" s="23">
        <v>15.36</v>
      </c>
      <c r="C167" s="23">
        <v>15.36</v>
      </c>
      <c r="D167" s="23">
        <v>15.36</v>
      </c>
      <c r="E167" s="23">
        <v>15.36</v>
      </c>
    </row>
    <row r="168" spans="1:12">
      <c r="A168" s="5" t="s">
        <v>111</v>
      </c>
      <c r="B168" s="5">
        <v>20</v>
      </c>
      <c r="C168" s="5">
        <v>17.5</v>
      </c>
      <c r="D168" s="5">
        <v>15</v>
      </c>
      <c r="E168" s="5">
        <v>12.5</v>
      </c>
    </row>
    <row r="169" spans="1:12">
      <c r="A169" s="5"/>
      <c r="B169" s="5"/>
      <c r="C169" s="23"/>
      <c r="D169" s="5"/>
      <c r="E169" s="5"/>
    </row>
    <row r="170" spans="1:12">
      <c r="A170" s="5" t="s">
        <v>112</v>
      </c>
      <c r="B170" s="23">
        <f>B167+B168</f>
        <v>35.36</v>
      </c>
      <c r="C170" s="23">
        <f t="shared" ref="C170:E170" si="47">C167+C168</f>
        <v>32.86</v>
      </c>
      <c r="D170" s="23">
        <f t="shared" si="47"/>
        <v>30.36</v>
      </c>
      <c r="E170" s="23">
        <f t="shared" si="47"/>
        <v>27.86</v>
      </c>
    </row>
    <row r="171" spans="1:12">
      <c r="A171" s="5" t="s">
        <v>113</v>
      </c>
      <c r="B171" s="23">
        <f>B168</f>
        <v>20</v>
      </c>
      <c r="C171" s="23">
        <f t="shared" ref="C171:E171" si="48">C168</f>
        <v>17.5</v>
      </c>
      <c r="D171" s="23">
        <f t="shared" si="48"/>
        <v>15</v>
      </c>
      <c r="E171" s="23">
        <f t="shared" si="48"/>
        <v>12.5</v>
      </c>
    </row>
    <row r="172" spans="1:12">
      <c r="A172" s="5"/>
      <c r="B172" s="23"/>
      <c r="C172" s="23"/>
      <c r="D172" s="23"/>
      <c r="E172" s="23"/>
    </row>
    <row r="173" spans="1:12">
      <c r="A173" s="5" t="s">
        <v>114</v>
      </c>
      <c r="B173" s="23">
        <f>B166-B170</f>
        <v>127.95451612903226</v>
      </c>
      <c r="C173" s="23">
        <f t="shared" ref="C173:E173" si="49">C166-C170</f>
        <v>130.45451612903224</v>
      </c>
      <c r="D173" s="23">
        <f t="shared" si="49"/>
        <v>132.95451612903224</v>
      </c>
      <c r="E173" s="23">
        <f t="shared" si="49"/>
        <v>135.45451612903224</v>
      </c>
    </row>
    <row r="174" spans="1:12">
      <c r="A174" s="5" t="s">
        <v>115</v>
      </c>
      <c r="B174" s="70">
        <f>B166-B171</f>
        <v>143.31451612903226</v>
      </c>
      <c r="C174" s="70">
        <f t="shared" ref="C174:E174" si="50">C166-C171</f>
        <v>145.81451612903226</v>
      </c>
      <c r="D174" s="70">
        <f t="shared" si="50"/>
        <v>148.31451612903226</v>
      </c>
      <c r="E174" s="70">
        <f t="shared" si="50"/>
        <v>150.81451612903226</v>
      </c>
    </row>
    <row r="175" spans="1:12">
      <c r="A175" s="5"/>
      <c r="B175" s="5"/>
      <c r="C175" s="5"/>
      <c r="D175" s="5"/>
      <c r="E175" s="5"/>
    </row>
    <row r="176" spans="1:12">
      <c r="A176" s="5" t="s">
        <v>116</v>
      </c>
      <c r="B176" s="13">
        <v>50000</v>
      </c>
      <c r="C176" s="13">
        <v>50000</v>
      </c>
      <c r="D176" s="13">
        <v>50000</v>
      </c>
      <c r="E176" s="13">
        <v>50000</v>
      </c>
    </row>
    <row r="177" spans="1:18">
      <c r="A177" s="5" t="s">
        <v>117</v>
      </c>
      <c r="B177" s="13">
        <v>0</v>
      </c>
      <c r="C177" s="13">
        <f>B177+50000</f>
        <v>50000</v>
      </c>
      <c r="D177" s="13">
        <f t="shared" ref="D177" si="51">C177+50000</f>
        <v>100000</v>
      </c>
      <c r="E177" s="13">
        <f t="shared" ref="E177" si="52">D177+50000</f>
        <v>150000</v>
      </c>
    </row>
    <row r="178" spans="1:18">
      <c r="A178" s="5"/>
      <c r="B178" s="5"/>
      <c r="C178" s="5"/>
      <c r="D178" s="5"/>
      <c r="E178" s="5"/>
    </row>
    <row r="179" spans="1:18">
      <c r="A179" s="6" t="s">
        <v>118</v>
      </c>
      <c r="B179" s="5"/>
      <c r="C179" s="5"/>
      <c r="D179" s="5"/>
      <c r="E179" s="5"/>
    </row>
    <row r="180" spans="1:18">
      <c r="A180" s="5" t="s">
        <v>119</v>
      </c>
      <c r="B180" s="10">
        <f>B176*B173</f>
        <v>6397725.8064516131</v>
      </c>
      <c r="C180" s="10">
        <f t="shared" ref="C180:E180" si="53">C176*C173</f>
        <v>6522725.8064516122</v>
      </c>
      <c r="D180" s="10">
        <f t="shared" si="53"/>
        <v>6647725.8064516122</v>
      </c>
      <c r="E180" s="10">
        <f t="shared" si="53"/>
        <v>6772725.8064516122</v>
      </c>
    </row>
    <row r="181" spans="1:18">
      <c r="A181" s="34" t="s">
        <v>120</v>
      </c>
      <c r="B181" s="35">
        <f>B177*B174</f>
        <v>0</v>
      </c>
      <c r="C181" s="35">
        <f t="shared" ref="C181:E181" si="54">C177*C174</f>
        <v>7290725.8064516131</v>
      </c>
      <c r="D181" s="35">
        <f t="shared" si="54"/>
        <v>14831451.612903226</v>
      </c>
      <c r="E181" s="35">
        <f t="shared" si="54"/>
        <v>22622177.419354837</v>
      </c>
    </row>
    <row r="182" spans="1:18">
      <c r="A182" s="5" t="s">
        <v>121</v>
      </c>
      <c r="B182" s="13">
        <f>B180+B181</f>
        <v>6397725.8064516131</v>
      </c>
      <c r="C182" s="13">
        <f t="shared" ref="C182" si="55">C180+C181</f>
        <v>13813451.612903226</v>
      </c>
      <c r="D182" s="13">
        <f t="shared" ref="D182" si="56">D180+D181</f>
        <v>21479177.419354837</v>
      </c>
      <c r="E182" s="13">
        <f t="shared" ref="E182" si="57">E180+E181</f>
        <v>29394903.225806449</v>
      </c>
    </row>
    <row r="183" spans="1:18">
      <c r="A183" s="5" t="s">
        <v>122</v>
      </c>
      <c r="B183" s="13">
        <v>5000000</v>
      </c>
      <c r="C183" s="13">
        <v>5750000</v>
      </c>
      <c r="D183" s="13">
        <v>6500000</v>
      </c>
      <c r="E183" s="13">
        <v>7250000</v>
      </c>
    </row>
    <row r="184" spans="1:18">
      <c r="A184" s="34" t="s">
        <v>123</v>
      </c>
      <c r="B184" s="36">
        <v>2000000</v>
      </c>
      <c r="C184" s="36">
        <v>2000000</v>
      </c>
      <c r="D184" s="36">
        <v>2000000</v>
      </c>
      <c r="E184" s="36">
        <v>2000000</v>
      </c>
    </row>
    <row r="185" spans="1:18">
      <c r="A185" s="5" t="s">
        <v>124</v>
      </c>
      <c r="B185" s="13">
        <f>B182-(B183+B184)</f>
        <v>-602274.19354838692</v>
      </c>
      <c r="C185" s="13">
        <f t="shared" ref="C185" si="58">C182-(C183+C184)</f>
        <v>6063451.6129032262</v>
      </c>
      <c r="D185" s="13">
        <f t="shared" ref="D185" si="59">D182-(D183+D184)</f>
        <v>12979177.419354837</v>
      </c>
      <c r="E185" s="13">
        <f t="shared" ref="E185" si="60">E182-(E183+E184)</f>
        <v>20144903.225806449</v>
      </c>
      <c r="N185" t="s">
        <v>143</v>
      </c>
      <c r="O185">
        <v>50000</v>
      </c>
      <c r="P185">
        <v>100000</v>
      </c>
      <c r="Q185">
        <v>150000</v>
      </c>
      <c r="R185">
        <v>200000</v>
      </c>
    </row>
    <row r="186" spans="1:18">
      <c r="A186" s="5" t="s">
        <v>125</v>
      </c>
      <c r="B186" s="13">
        <f>B185</f>
        <v>-602274.19354838692</v>
      </c>
      <c r="C186" s="13">
        <f>C185+B186</f>
        <v>5461177.4193548393</v>
      </c>
      <c r="D186" s="13">
        <f t="shared" ref="D186" si="61">D185+C186</f>
        <v>18440354.838709675</v>
      </c>
      <c r="E186" s="13">
        <f t="shared" ref="E186" si="62">E185+D186</f>
        <v>38585258.064516127</v>
      </c>
    </row>
    <row r="187" spans="1:18">
      <c r="A187" s="5"/>
      <c r="B187" s="13"/>
      <c r="C187" s="13"/>
      <c r="D187" s="13"/>
      <c r="E187" s="13"/>
      <c r="N187" t="s">
        <v>144</v>
      </c>
      <c r="O187">
        <f>O185/'Customer Acquisition (TN)'!I24 * 12</f>
        <v>13.071895424836601</v>
      </c>
      <c r="P187">
        <f>P185/'Customer Acquisition (TN)'!I24 * 12</f>
        <v>26.143790849673202</v>
      </c>
      <c r="Q187">
        <f>Q185/'Customer Acquisition (TN)'!I24 * 12</f>
        <v>39.215686274509807</v>
      </c>
      <c r="R187">
        <f>R185/'Customer Acquisition (TN)'!I24 * 12</f>
        <v>52.287581699346404</v>
      </c>
    </row>
    <row r="188" spans="1:18" ht="15">
      <c r="A188" s="45" t="s">
        <v>126</v>
      </c>
      <c r="B188" s="80">
        <f>(B183+B184-B181)/B173+B177</f>
        <v>54706.939713960855</v>
      </c>
      <c r="C188" s="81">
        <f>(C183+C184-C181)/C173+C177</f>
        <v>53520.569522438913</v>
      </c>
      <c r="D188" s="80">
        <f>(D183+D184-D181)/D173+D177</f>
        <v>52378.814971891908</v>
      </c>
      <c r="E188" s="80">
        <f>(E183+E184-E181)/E173+E177</f>
        <v>51279.205732670642</v>
      </c>
      <c r="F188" t="s">
        <v>145</v>
      </c>
      <c r="N188" t="s">
        <v>146</v>
      </c>
      <c r="O188" s="13">
        <f>B186</f>
        <v>-602274.19354838692</v>
      </c>
      <c r="P188" s="13">
        <f>C186</f>
        <v>5461177.4193548393</v>
      </c>
      <c r="Q188" s="13">
        <f>D186</f>
        <v>18440354.838709675</v>
      </c>
      <c r="R188" s="13">
        <f>E186</f>
        <v>38585258.064516127</v>
      </c>
    </row>
    <row r="189" spans="1:18">
      <c r="A189" s="73" t="s">
        <v>127</v>
      </c>
      <c r="B189" s="79">
        <f>(B183+B184-B181 + 5000000)/B173+B177</f>
        <v>93783.325223932901</v>
      </c>
      <c r="C189" s="78">
        <f>(C183+C184-C181 + 5000000)/C173+C177</f>
        <v>91848.104270676471</v>
      </c>
      <c r="D189" s="77">
        <f>(D183+D184-D181 + 5000000)/D173+D177</f>
        <v>89985.660873594898</v>
      </c>
      <c r="E189" s="77">
        <f>(E183+E184-E181 + 5000000)/E173+E177</f>
        <v>88191.965402027592</v>
      </c>
      <c r="F189" t="s">
        <v>145</v>
      </c>
    </row>
    <row r="190" spans="1:18">
      <c r="A190" s="46" t="s">
        <v>128</v>
      </c>
      <c r="B190" s="82">
        <f>C188/50000 * L164</f>
        <v>13.992305757500368</v>
      </c>
      <c r="C190" s="76"/>
      <c r="D190" s="76"/>
      <c r="E190" s="76"/>
    </row>
    <row r="191" spans="1:18">
      <c r="A191" s="46" t="s">
        <v>129</v>
      </c>
      <c r="B191" s="83">
        <f>D189/50000 * L164</f>
        <v>23.52566297348886</v>
      </c>
      <c r="C191" s="76"/>
      <c r="D191" s="76"/>
      <c r="E191" s="76"/>
    </row>
    <row r="192" spans="1:18">
      <c r="A192" s="46"/>
      <c r="B192" s="47"/>
      <c r="C192" s="47"/>
      <c r="D192" s="47"/>
      <c r="E192" s="47"/>
    </row>
    <row r="193" spans="1:5">
      <c r="A193" s="69"/>
      <c r="B193" s="69"/>
      <c r="C193" s="69"/>
      <c r="D193" s="69"/>
      <c r="E193" s="69"/>
    </row>
  </sheetData>
  <mergeCells count="6">
    <mergeCell ref="B2:E2"/>
    <mergeCell ref="B163:E163"/>
    <mergeCell ref="B34:E34"/>
    <mergeCell ref="B67:E67"/>
    <mergeCell ref="B99:E99"/>
    <mergeCell ref="B131:E1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> </Manager>
  <Company> 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</dc:title>
  <dc:subject> </dc:subject>
  <dc:creator> </dc:creator>
  <cp:keywords> </cp:keywords>
  <dc:description> </dc:description>
  <cp:lastModifiedBy/>
  <cp:revision/>
  <dcterms:created xsi:type="dcterms:W3CDTF">2010-05-04T15:33:14Z</dcterms:created>
  <dcterms:modified xsi:type="dcterms:W3CDTF">2023-04-16T22:28:15Z</dcterms:modified>
  <cp:category> </cp:category>
  <cp:contentStatus/>
</cp:coreProperties>
</file>