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mecalor-my.sharepoint.com/personal/guilherme_gomes_mecalor_com/Documents/Área de Trabalho/"/>
    </mc:Choice>
  </mc:AlternateContent>
  <xr:revisionPtr revIDLastSave="392" documentId="8_{343ADBB1-9448-406D-8B49-2E8782134D7B}" xr6:coauthVersionLast="47" xr6:coauthVersionMax="47" xr10:uidLastSave="{FBA95337-1FC4-4539-BF9B-58204B9F7E8F}"/>
  <bookViews>
    <workbookView xWindow="28680" yWindow="-120" windowWidth="29040" windowHeight="15720" xr2:uid="{83AC33BA-ABA6-4C76-B6B8-5D5CCE49B0D4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D17" i="1"/>
  <c r="Q8" i="1"/>
  <c r="C12" i="1"/>
  <c r="K9" i="1"/>
  <c r="L9" i="1"/>
  <c r="M9" i="1"/>
  <c r="N9" i="1"/>
  <c r="O9" i="1"/>
  <c r="P9" i="1"/>
  <c r="Q9" i="1"/>
  <c r="R9" i="1"/>
  <c r="S9" i="1"/>
  <c r="T9" i="1"/>
  <c r="J9" i="1"/>
  <c r="D10" i="1"/>
  <c r="C8" i="1"/>
  <c r="C9" i="1" s="1"/>
  <c r="C11" i="1" s="1"/>
  <c r="R5" i="1"/>
  <c r="R7" i="1" s="1"/>
  <c r="S5" i="1"/>
  <c r="S7" i="1" s="1"/>
  <c r="T5" i="1"/>
  <c r="T7" i="1" s="1"/>
  <c r="K5" i="1"/>
  <c r="K7" i="1" s="1"/>
  <c r="L5" i="1"/>
  <c r="L7" i="1" s="1"/>
  <c r="M5" i="1"/>
  <c r="M7" i="1" s="1"/>
  <c r="N5" i="1"/>
  <c r="N7" i="1" s="1"/>
  <c r="O5" i="1"/>
  <c r="O7" i="1" s="1"/>
  <c r="P5" i="1"/>
  <c r="P7" i="1" s="1"/>
  <c r="Q5" i="1"/>
  <c r="Q7" i="1" s="1"/>
  <c r="J5" i="1"/>
  <c r="J7" i="1" s="1"/>
  <c r="C18" i="1" l="1"/>
  <c r="C19" i="1"/>
  <c r="C13" i="1"/>
  <c r="C10" i="1"/>
  <c r="C5" i="1"/>
  <c r="C14" i="1" l="1"/>
  <c r="C15" i="1" s="1"/>
  <c r="C16" i="1" s="1"/>
  <c r="D11" i="1"/>
  <c r="D13" i="1" s="1"/>
  <c r="D14" i="1" s="1"/>
  <c r="D15" i="1"/>
  <c r="D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tc={7A9B0CE1-6359-4BF4-9372-410C5AC94F95}</author>
    <author>tc={43C264A7-8E02-4ECE-8BE5-4DDABDC3EC5A}</author>
  </authors>
  <commentList>
    <comment ref="C18" authorId="0" shapeId="0" xr:uid="{7A9B0CE1-6359-4BF4-9372-410C5AC94F95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Litros de água consumidos a mais pela torre em relaçao ao DC</t>
      </text>
    </comment>
    <comment ref="C19" authorId="1" shapeId="0" xr:uid="{43C264A7-8E02-4ECE-8BE5-4DDABDC3EC5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O DC pode consumir até  X% menos água</t>
      </text>
    </comment>
  </commentList>
</comments>
</file>

<file path=xl/sharedStrings.xml><?xml version="1.0" encoding="utf-8"?>
<sst xmlns="http://schemas.openxmlformats.org/spreadsheetml/2006/main" count="73" uniqueCount="53">
  <si>
    <t>Parâmetro</t>
  </si>
  <si>
    <t>Unidade</t>
  </si>
  <si>
    <t>Valor</t>
  </si>
  <si>
    <t>Local</t>
  </si>
  <si>
    <t>-</t>
  </si>
  <si>
    <t>São Paulo</t>
  </si>
  <si>
    <t>Rio de Janeiro</t>
  </si>
  <si>
    <t>Manaus</t>
  </si>
  <si>
    <t>Brasília</t>
  </si>
  <si>
    <t>Recife</t>
  </si>
  <si>
    <t>Fortaleza</t>
  </si>
  <si>
    <t>Florianópolis</t>
  </si>
  <si>
    <t>Belo Horizonte</t>
  </si>
  <si>
    <t>Porto Alegre</t>
  </si>
  <si>
    <t>Salvador</t>
  </si>
  <si>
    <t>Campinas</t>
  </si>
  <si>
    <t>Capacidade</t>
  </si>
  <si>
    <t>kW</t>
  </si>
  <si>
    <t>Tin</t>
  </si>
  <si>
    <t>°C</t>
  </si>
  <si>
    <t>Delta T</t>
  </si>
  <si>
    <t>Tout</t>
  </si>
  <si>
    <t>Vazão</t>
  </si>
  <si>
    <t>m³/h</t>
  </si>
  <si>
    <t>Water flow</t>
  </si>
  <si>
    <t>Water Consumpion / Year (Temp. Diff)</t>
  </si>
  <si>
    <t>m³/year</t>
  </si>
  <si>
    <t>Equipamento</t>
  </si>
  <si>
    <t>Drycooler</t>
  </si>
  <si>
    <t>Torre</t>
  </si>
  <si>
    <t>Makeup water x water flow (Temp. Diff)</t>
  </si>
  <si>
    <t>%</t>
  </si>
  <si>
    <t>Capacidade módulo</t>
  </si>
  <si>
    <t>Water Consumpion / Year (Fan logic)</t>
  </si>
  <si>
    <t>Módulos</t>
  </si>
  <si>
    <t>Makeup water x water flow (Fan logic)</t>
  </si>
  <si>
    <t>Capacidade Total</t>
  </si>
  <si>
    <t>Vazão de água nominal</t>
  </si>
  <si>
    <t>% vazão evaporada</t>
  </si>
  <si>
    <t>Consumo água</t>
  </si>
  <si>
    <t>l/h</t>
  </si>
  <si>
    <t>l/dia</t>
  </si>
  <si>
    <t>l/mês</t>
  </si>
  <si>
    <t>l/ano</t>
  </si>
  <si>
    <t>Diferença</t>
  </si>
  <si>
    <t>Legenda</t>
  </si>
  <si>
    <t>FIXO</t>
  </si>
  <si>
    <t>CÁLCULO</t>
  </si>
  <si>
    <t>INPUT</t>
  </si>
  <si>
    <t>OCULTAR</t>
  </si>
  <si>
    <t>* Cálculo considerando Delta T de 6° com água entrando a 41°C e saindo a 35°C</t>
  </si>
  <si>
    <t xml:space="preserve">* Condição ambiente de design considerando dados do ASHRAE HANDBOOK FUNDAMENTALS 2023 - Evaporation - 1% para a estação do local solicitado </t>
  </si>
  <si>
    <t>* Cálculo de consumo de água realizado considerando operação 24h / 7 dias por semana (8760 h/ano)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</si>
</sst>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0.0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0" fontId="2" fillId="4" borderId="1" xfId="0" applyFont="1" applyFill="1" applyBorder="1"/>
    <xf numFmtId="0" fontId="2" fillId="4" borderId="1" xfId="0" applyFont="1" applyFill="1" applyBorder="1" applyAlignment="1">
      <alignment horizontal="center"/>
    </xf>
    <xf numFmtId="0" fontId="0" fillId="5" borderId="1" xfId="0" applyFill="1" applyBorder="1"/>
    <xf numFmtId="0" fontId="0" fillId="7" borderId="1" xfId="0" applyFill="1" applyBorder="1"/>
    <xf numFmtId="0" fontId="3" fillId="0" borderId="0" xfId="0" applyFont="1"/>
    <xf numFmtId="165" fontId="0" fillId="7" borderId="1" xfId="0" applyNumberFormat="1" applyFill="1" applyBorder="1"/>
    <xf numFmtId="1" fontId="0" fillId="7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4" fontId="0" fillId="7" borderId="1" xfId="2" applyNumberFormat="1" applyFont="1" applyFill="1" applyBorder="1" applyAlignment="1">
      <alignment horizontal="center" vertical="center"/>
    </xf>
    <xf numFmtId="2" fontId="0" fillId="5" borderId="1" xfId="2" applyNumberFormat="1" applyFont="1" applyFill="1" applyBorder="1" applyAlignment="1">
      <alignment horizontal="center" vertical="center"/>
    </xf>
    <xf numFmtId="165" fontId="0" fillId="5" borderId="1" xfId="0" applyNumberFormat="1" applyFill="1" applyBorder="1" applyAlignment="1">
      <alignment horizontal="center" vertical="center"/>
    </xf>
    <xf numFmtId="2" fontId="0" fillId="7" borderId="1" xfId="0" applyNumberFormat="1" applyFill="1" applyBorder="1" applyAlignment="1">
      <alignment horizontal="center" vertical="center"/>
    </xf>
    <xf numFmtId="2" fontId="0" fillId="7" borderId="1" xfId="1" applyNumberFormat="1" applyFont="1" applyFill="1" applyBorder="1" applyAlignment="1">
      <alignment horizontal="center" vertical="center"/>
    </xf>
    <xf numFmtId="1" fontId="0" fillId="7" borderId="1" xfId="0" applyNumberFormat="1" applyFill="1" applyBorder="1" applyAlignment="1">
      <alignment horizontal="center" vertical="center"/>
    </xf>
    <xf numFmtId="1" fontId="0" fillId="7" borderId="1" xfId="1" applyNumberFormat="1" applyFont="1" applyFill="1" applyBorder="1" applyAlignment="1">
      <alignment horizontal="center" vertical="center"/>
    </xf>
    <xf numFmtId="165" fontId="0" fillId="5" borderId="1" xfId="1" applyNumberFormat="1" applyFont="1" applyFill="1" applyBorder="1" applyAlignment="1">
      <alignment horizontal="center" vertical="center"/>
    </xf>
    <xf numFmtId="164" fontId="4" fillId="7" borderId="1" xfId="0" applyNumberFormat="1" applyFont="1" applyFill="1" applyBorder="1" applyAlignment="1">
      <alignment horizontal="center"/>
    </xf>
    <xf numFmtId="10" fontId="0" fillId="7" borderId="1" xfId="2" applyNumberFormat="1" applyFont="1" applyFill="1" applyBorder="1"/>
    <xf numFmtId="0" fontId="0" fillId="0" borderId="1" xfId="0" applyBorder="1" applyAlignment="1">
      <alignment horizontal="center" vertical="center"/>
    </xf>
    <xf numFmtId="9" fontId="0" fillId="5" borderId="3" xfId="2" applyFont="1" applyFill="1" applyBorder="1" applyAlignment="1">
      <alignment horizontal="center" vertical="center"/>
    </xf>
    <xf numFmtId="9" fontId="0" fillId="5" borderId="4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0" fontId="0" fillId="7" borderId="1" xfId="2" applyNumberFormat="1" applyFont="1" applyFill="1" applyBorder="1" applyAlignment="1">
      <alignment horizontal="center" vertical="center"/>
    </xf>
    <xf numFmtId="3" fontId="0" fillId="5" borderId="1" xfId="1" applyNumberFormat="1" applyFont="1" applyFill="1" applyBorder="1" applyAlignment="1">
      <alignment horizontal="center" vertical="center"/>
    </xf>
    <xf numFmtId="3" fontId="0" fillId="5" borderId="3" xfId="1" applyNumberFormat="1" applyFont="1" applyFill="1" applyBorder="1" applyAlignment="1">
      <alignment horizontal="center" vertical="center"/>
    </xf>
    <xf numFmtId="3" fontId="0" fillId="5" borderId="4" xfId="1" applyNumberFormat="1" applyFont="1" applyFill="1" applyBorder="1" applyAlignment="1">
      <alignment horizontal="center" vertic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g. Guilherme Gomes" id="{4F7A4B44-73AF-44C2-91A0-A0A42C40D29B}" userId="S::guilherme.gomes@mecalor.com::c608ea58-2f7e-4328-b3cb-4e093c94825b" providerId="AD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8" dT="2025-02-10T20:42:59.33" personId="{4F7A4B44-73AF-44C2-91A0-A0A42C40D29B}" id="{7A9B0CE1-6359-4BF4-9372-410C5AC94F95}">
    <text>Litros de água consumidos a mais pela torre em relaçao ao DC</text>
  </threadedComment>
  <threadedComment ref="C19" dT="2025-02-10T20:42:23.19" personId="{4F7A4B44-73AF-44C2-91A0-A0A42C40D29B}" id="{43C264A7-8E02-4ECE-8BE5-4DDABDC3EC5A}">
    <text>O DC pode consumir até  X% menos água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28A7D-2157-4635-9B05-D3F82FF1C341}">
  <dimension ref="A1:T29"/>
  <sheetViews>
    <sheetView showGridLines="0" tabSelected="1" zoomScale="85" zoomScaleNormal="85" workbookViewId="0">
      <selection activeCell="C19" sqref="C19:D19"/>
    </sheetView>
  </sheetViews>
  <sheetFormatPr defaultRowHeight="14.4" x14ac:dyDescent="0.3"/>
  <cols>
    <col min="1" max="1" width="19.44140625" bestFit="1" customWidth="1"/>
    <col min="2" max="2" width="5.6640625" customWidth="1"/>
    <col min="3" max="3" width="12.109375" bestFit="1" customWidth="1"/>
    <col min="4" max="4" width="14.109375" bestFit="1" customWidth="1"/>
    <col min="8" max="8" width="32.21875" bestFit="1" customWidth="1"/>
    <col min="9" max="9" width="7.33203125" bestFit="1" customWidth="1"/>
    <col min="10" max="10" width="12.33203125" bestFit="1" customWidth="1"/>
    <col min="11" max="11" width="18" bestFit="1" customWidth="1"/>
    <col min="12" max="15" width="12" bestFit="1" customWidth="1"/>
    <col min="16" max="16" width="16.33203125" bestFit="1" customWidth="1"/>
    <col min="17" max="17" width="18.44140625" bestFit="1" customWidth="1"/>
    <col min="18" max="18" width="15.6640625" bestFit="1" customWidth="1"/>
    <col min="19" max="19" width="11.33203125" customWidth="1"/>
    <col min="20" max="20" width="12.33203125" bestFit="1" customWidth="1"/>
  </cols>
  <sheetData>
    <row r="1" spans="1:20" ht="15.6" x14ac:dyDescent="0.3">
      <c r="A1" s="4" t="s">
        <v>0</v>
      </c>
      <c r="B1" s="4" t="s">
        <v>1</v>
      </c>
      <c r="C1" s="5" t="s">
        <v>2</v>
      </c>
      <c r="H1" s="7" t="s">
        <v>3</v>
      </c>
      <c r="I1" s="7" t="s">
        <v>4</v>
      </c>
      <c r="J1" s="23" t="s">
        <v>5</v>
      </c>
      <c r="K1" s="23" t="s">
        <v>6</v>
      </c>
      <c r="L1" s="23" t="s">
        <v>7</v>
      </c>
      <c r="M1" s="23" t="s">
        <v>8</v>
      </c>
      <c r="N1" s="23" t="s">
        <v>9</v>
      </c>
      <c r="O1" s="23" t="s">
        <v>10</v>
      </c>
      <c r="P1" s="23" t="s">
        <v>11</v>
      </c>
      <c r="Q1" s="23" t="s">
        <v>12</v>
      </c>
      <c r="R1" s="23" t="s">
        <v>13</v>
      </c>
      <c r="S1" s="23" t="s">
        <v>14</v>
      </c>
      <c r="T1" s="23" t="s">
        <v>15</v>
      </c>
    </row>
    <row r="2" spans="1:20" x14ac:dyDescent="0.3">
      <c r="A2" s="3" t="s">
        <v>16</v>
      </c>
      <c r="B2" s="3" t="s">
        <v>17</v>
      </c>
      <c r="C2" s="11">
        <v>500</v>
      </c>
      <c r="H2" s="7" t="s">
        <v>16</v>
      </c>
      <c r="I2" s="7" t="s">
        <v>17</v>
      </c>
      <c r="J2" s="7">
        <v>168.74</v>
      </c>
      <c r="K2" s="7">
        <v>123.24</v>
      </c>
      <c r="L2" s="7">
        <v>113.65</v>
      </c>
      <c r="M2" s="7">
        <v>175.9</v>
      </c>
      <c r="N2" s="7">
        <v>111.83</v>
      </c>
      <c r="O2" s="7">
        <v>137.63</v>
      </c>
      <c r="P2" s="7">
        <v>138.22999999999999</v>
      </c>
      <c r="Q2" s="7">
        <v>168.6</v>
      </c>
      <c r="R2" s="7">
        <v>135.03</v>
      </c>
      <c r="S2" s="7">
        <v>119.86</v>
      </c>
      <c r="T2" s="7">
        <v>159.51</v>
      </c>
    </row>
    <row r="3" spans="1:20" x14ac:dyDescent="0.3">
      <c r="A3" s="3" t="s">
        <v>3</v>
      </c>
      <c r="B3" s="3" t="s">
        <v>4</v>
      </c>
      <c r="C3" s="11" t="s">
        <v>5</v>
      </c>
      <c r="H3" s="7" t="s">
        <v>18</v>
      </c>
      <c r="I3" s="7" t="s">
        <v>19</v>
      </c>
      <c r="J3" s="7">
        <v>41</v>
      </c>
      <c r="K3" s="7">
        <v>41</v>
      </c>
      <c r="L3" s="7">
        <v>41</v>
      </c>
      <c r="M3" s="7">
        <v>41</v>
      </c>
      <c r="N3" s="7">
        <v>41</v>
      </c>
      <c r="O3" s="7">
        <v>41</v>
      </c>
      <c r="P3" s="7">
        <v>41</v>
      </c>
      <c r="Q3" s="7">
        <v>41</v>
      </c>
      <c r="R3" s="7">
        <v>41</v>
      </c>
      <c r="S3" s="7">
        <v>41</v>
      </c>
      <c r="T3" s="7">
        <v>41</v>
      </c>
    </row>
    <row r="4" spans="1:20" x14ac:dyDescent="0.3">
      <c r="A4" s="3" t="s">
        <v>20</v>
      </c>
      <c r="B4" s="3" t="s">
        <v>19</v>
      </c>
      <c r="C4" s="12">
        <v>6</v>
      </c>
      <c r="H4" s="7" t="s">
        <v>21</v>
      </c>
      <c r="I4" s="7" t="s">
        <v>19</v>
      </c>
      <c r="J4" s="7">
        <v>35</v>
      </c>
      <c r="K4" s="7">
        <v>35</v>
      </c>
      <c r="L4" s="7">
        <v>35</v>
      </c>
      <c r="M4" s="7">
        <v>35</v>
      </c>
      <c r="N4" s="7">
        <v>35</v>
      </c>
      <c r="O4" s="7">
        <v>35</v>
      </c>
      <c r="P4" s="7">
        <v>35</v>
      </c>
      <c r="Q4" s="7">
        <v>35</v>
      </c>
      <c r="R4" s="7">
        <v>35</v>
      </c>
      <c r="S4" s="7">
        <v>35</v>
      </c>
      <c r="T4" s="7">
        <v>35</v>
      </c>
    </row>
    <row r="5" spans="1:20" x14ac:dyDescent="0.3">
      <c r="A5" s="3" t="s">
        <v>22</v>
      </c>
      <c r="B5" s="3" t="s">
        <v>23</v>
      </c>
      <c r="C5" s="13">
        <f>C2*860/C4/1000</f>
        <v>71.666666666666671</v>
      </c>
      <c r="H5" s="7" t="s">
        <v>24</v>
      </c>
      <c r="I5" s="7" t="s">
        <v>23</v>
      </c>
      <c r="J5" s="9">
        <f>+J2*860/6000</f>
        <v>24.186066666666665</v>
      </c>
      <c r="K5" s="9">
        <f t="shared" ref="K5:T5" si="0">+K2*860/6000</f>
        <v>17.664400000000001</v>
      </c>
      <c r="L5" s="9">
        <f t="shared" si="0"/>
        <v>16.289833333333334</v>
      </c>
      <c r="M5" s="9">
        <f t="shared" si="0"/>
        <v>25.212333333333333</v>
      </c>
      <c r="N5" s="9">
        <f t="shared" si="0"/>
        <v>16.028966666666665</v>
      </c>
      <c r="O5" s="9">
        <f t="shared" si="0"/>
        <v>19.726966666666666</v>
      </c>
      <c r="P5" s="9">
        <f t="shared" si="0"/>
        <v>19.812966666666664</v>
      </c>
      <c r="Q5" s="9">
        <f t="shared" si="0"/>
        <v>24.166</v>
      </c>
      <c r="R5" s="9">
        <f t="shared" si="0"/>
        <v>19.354300000000002</v>
      </c>
      <c r="S5" s="9">
        <f t="shared" si="0"/>
        <v>17.179933333333334</v>
      </c>
      <c r="T5" s="7">
        <f t="shared" si="0"/>
        <v>22.863099999999999</v>
      </c>
    </row>
    <row r="6" spans="1:20" x14ac:dyDescent="0.3">
      <c r="H6" s="7" t="s">
        <v>25</v>
      </c>
      <c r="I6" s="7" t="s">
        <v>26</v>
      </c>
      <c r="J6" s="7">
        <v>171</v>
      </c>
      <c r="K6" s="7">
        <v>94</v>
      </c>
      <c r="L6" s="7">
        <v>260</v>
      </c>
      <c r="M6" s="7">
        <v>350</v>
      </c>
      <c r="N6" s="7">
        <v>214</v>
      </c>
      <c r="O6" s="7">
        <v>254</v>
      </c>
      <c r="P6" s="7">
        <v>58</v>
      </c>
      <c r="Q6" s="7">
        <v>236</v>
      </c>
      <c r="R6" s="7">
        <v>99</v>
      </c>
      <c r="S6" s="7">
        <v>101</v>
      </c>
      <c r="T6" s="7">
        <v>192</v>
      </c>
    </row>
    <row r="7" spans="1:20" x14ac:dyDescent="0.3">
      <c r="A7" s="4" t="s">
        <v>27</v>
      </c>
      <c r="B7" s="4" t="s">
        <v>1</v>
      </c>
      <c r="C7" s="4" t="s">
        <v>28</v>
      </c>
      <c r="D7" s="4" t="s">
        <v>29</v>
      </c>
      <c r="H7" s="7" t="s">
        <v>30</v>
      </c>
      <c r="I7" s="7" t="s">
        <v>31</v>
      </c>
      <c r="J7" s="24">
        <f t="shared" ref="J7:T7" si="1">+J6/8760/J5</f>
        <v>8.0709890592126651E-4</v>
      </c>
      <c r="K7" s="24">
        <f t="shared" si="1"/>
        <v>6.074700305306682E-4</v>
      </c>
      <c r="L7" s="24">
        <f t="shared" si="1"/>
        <v>1.8220177388843951E-3</v>
      </c>
      <c r="M7" s="24">
        <f t="shared" si="1"/>
        <v>1.5847140116428484E-3</v>
      </c>
      <c r="N7" s="24">
        <f t="shared" si="1"/>
        <v>1.5240672872003959E-3</v>
      </c>
      <c r="O7" s="24">
        <f t="shared" si="1"/>
        <v>1.4698374200098853E-3</v>
      </c>
      <c r="P7" s="24">
        <f t="shared" si="1"/>
        <v>3.3417532455395606E-4</v>
      </c>
      <c r="Q7" s="24">
        <f t="shared" si="1"/>
        <v>1.1148158267568647E-3</v>
      </c>
      <c r="R7" s="24">
        <f t="shared" si="1"/>
        <v>5.8392036203911779E-4</v>
      </c>
      <c r="S7" s="24">
        <f t="shared" si="1"/>
        <v>6.7111321921874763E-4</v>
      </c>
      <c r="T7" s="24">
        <f t="shared" si="1"/>
        <v>9.5865426032244456E-4</v>
      </c>
    </row>
    <row r="8" spans="1:20" x14ac:dyDescent="0.3">
      <c r="A8" s="3" t="s">
        <v>32</v>
      </c>
      <c r="B8" s="3" t="s">
        <v>17</v>
      </c>
      <c r="C8" s="14">
        <f>_xlfn.XLOOKUP(C3,J1:T1,J2:T2)</f>
        <v>168.74</v>
      </c>
      <c r="D8" s="15" t="s">
        <v>4</v>
      </c>
      <c r="H8" s="7" t="s">
        <v>33</v>
      </c>
      <c r="I8" s="7" t="s">
        <v>26</v>
      </c>
      <c r="J8" s="7">
        <v>334</v>
      </c>
      <c r="K8" s="7">
        <v>244</v>
      </c>
      <c r="L8" s="7">
        <v>379</v>
      </c>
      <c r="M8" s="7">
        <v>510</v>
      </c>
      <c r="N8" s="7">
        <v>396</v>
      </c>
      <c r="O8" s="7">
        <v>401</v>
      </c>
      <c r="P8" s="7">
        <v>162</v>
      </c>
      <c r="Q8" s="10">
        <f>Q6*2.03492800136546</f>
        <v>480.24300832224856</v>
      </c>
      <c r="R8" s="7">
        <v>184</v>
      </c>
      <c r="S8" s="7">
        <v>295</v>
      </c>
      <c r="T8" s="7">
        <v>346</v>
      </c>
    </row>
    <row r="9" spans="1:20" x14ac:dyDescent="0.3">
      <c r="A9" s="3" t="s">
        <v>34</v>
      </c>
      <c r="B9" s="3" t="s">
        <v>4</v>
      </c>
      <c r="C9" s="14">
        <f>ROUNDUP(C2/C8,0)</f>
        <v>3</v>
      </c>
      <c r="D9" s="15"/>
      <c r="H9" s="7" t="s">
        <v>35</v>
      </c>
      <c r="I9" s="7" t="s">
        <v>31</v>
      </c>
      <c r="J9" s="24">
        <f>+J8/8760/J5</f>
        <v>1.5764387987000177E-3</v>
      </c>
      <c r="K9" s="24">
        <f t="shared" ref="K9:T9" si="2">+K8/8760/K5</f>
        <v>1.5768371005264155E-3</v>
      </c>
      <c r="L9" s="24">
        <f t="shared" si="2"/>
        <v>2.6559412424507147E-3</v>
      </c>
      <c r="M9" s="24">
        <f t="shared" si="2"/>
        <v>2.3091547026795793E-3</v>
      </c>
      <c r="N9" s="24">
        <f t="shared" si="2"/>
        <v>2.8202366622960598E-3</v>
      </c>
      <c r="O9" s="24">
        <f t="shared" si="2"/>
        <v>2.3204913599368659E-3</v>
      </c>
      <c r="P9" s="24">
        <f t="shared" si="2"/>
        <v>9.3338625134036012E-4</v>
      </c>
      <c r="Q9" s="24">
        <f t="shared" si="2"/>
        <v>2.2685699422329295E-3</v>
      </c>
      <c r="R9" s="24">
        <f t="shared" si="2"/>
        <v>1.0852661274262391E-3</v>
      </c>
      <c r="S9" s="24">
        <f t="shared" si="2"/>
        <v>1.9601821749458469E-3</v>
      </c>
      <c r="T9" s="24">
        <f t="shared" si="2"/>
        <v>1.7275748649560722E-3</v>
      </c>
    </row>
    <row r="10" spans="1:20" x14ac:dyDescent="0.3">
      <c r="A10" s="3" t="s">
        <v>36</v>
      </c>
      <c r="B10" s="3" t="s">
        <v>17</v>
      </c>
      <c r="C10" s="14">
        <f>+C9*C8</f>
        <v>506.22</v>
      </c>
      <c r="D10" s="16">
        <f>+C2</f>
        <v>500</v>
      </c>
    </row>
    <row r="11" spans="1:20" x14ac:dyDescent="0.3">
      <c r="A11" s="3" t="s">
        <v>37</v>
      </c>
      <c r="B11" s="3" t="s">
        <v>23</v>
      </c>
      <c r="C11" s="17">
        <f>_xlfn.XLOOKUP(C3,J1:T1,J5:T5)*C9</f>
        <v>72.558199999999999</v>
      </c>
      <c r="D11" s="22">
        <f>+C5</f>
        <v>71.666666666666671</v>
      </c>
    </row>
    <row r="12" spans="1:20" x14ac:dyDescent="0.3">
      <c r="A12" s="7" t="s">
        <v>38</v>
      </c>
      <c r="B12" s="7" t="s">
        <v>31</v>
      </c>
      <c r="C12" s="30">
        <f>_xlfn.XLOOKUP(C3,J1:T1,J9:T9)</f>
        <v>1.5764387987000177E-3</v>
      </c>
      <c r="D12" s="30">
        <v>1.9E-2</v>
      </c>
    </row>
    <row r="13" spans="1:20" x14ac:dyDescent="0.3">
      <c r="A13" s="25" t="s">
        <v>39</v>
      </c>
      <c r="B13" s="7" t="s">
        <v>23</v>
      </c>
      <c r="C13" s="18">
        <f>C12*C11</f>
        <v>0.11438356164383562</v>
      </c>
      <c r="D13" s="19">
        <f>D12*D11</f>
        <v>1.3616666666666668</v>
      </c>
    </row>
    <row r="14" spans="1:20" x14ac:dyDescent="0.3">
      <c r="A14" s="25"/>
      <c r="B14" s="7" t="s">
        <v>40</v>
      </c>
      <c r="C14" s="20">
        <f>C13*1000</f>
        <v>114.38356164383562</v>
      </c>
      <c r="D14" s="21">
        <f>D13*1000</f>
        <v>1361.6666666666667</v>
      </c>
    </row>
    <row r="15" spans="1:20" x14ac:dyDescent="0.3">
      <c r="A15" s="25"/>
      <c r="B15" s="3" t="s">
        <v>41</v>
      </c>
      <c r="C15" s="31">
        <f>C14*24</f>
        <v>2745.205479452055</v>
      </c>
      <c r="D15" s="31">
        <f>D14*24</f>
        <v>32680</v>
      </c>
    </row>
    <row r="16" spans="1:20" x14ac:dyDescent="0.3">
      <c r="A16" s="25"/>
      <c r="B16" s="3" t="s">
        <v>42</v>
      </c>
      <c r="C16" s="31">
        <f>C15*30</f>
        <v>82356.164383561656</v>
      </c>
      <c r="D16" s="31">
        <f>D15*30</f>
        <v>980400</v>
      </c>
    </row>
    <row r="17" spans="1:4" x14ac:dyDescent="0.3">
      <c r="A17" s="25"/>
      <c r="B17" s="3" t="s">
        <v>43</v>
      </c>
      <c r="C17" s="31">
        <f>C15*365</f>
        <v>1002000.0000000001</v>
      </c>
      <c r="D17" s="31">
        <f>+D15*365</f>
        <v>11928200</v>
      </c>
    </row>
    <row r="18" spans="1:4" x14ac:dyDescent="0.3">
      <c r="A18" s="28" t="s">
        <v>44</v>
      </c>
      <c r="B18" s="3" t="s">
        <v>43</v>
      </c>
      <c r="C18" s="32">
        <f>+D17-C17</f>
        <v>10926200</v>
      </c>
      <c r="D18" s="33"/>
    </row>
    <row r="19" spans="1:4" x14ac:dyDescent="0.3">
      <c r="A19" s="29"/>
      <c r="B19" s="3" t="s">
        <v>31</v>
      </c>
      <c r="C19" s="26">
        <f>C17/D17-1</f>
        <v>-0.91599738434969236</v>
      </c>
      <c r="D19" s="27"/>
    </row>
    <row r="21" spans="1:4" x14ac:dyDescent="0.3">
      <c r="A21" s="8" t="s">
        <v>45</v>
      </c>
    </row>
    <row r="22" spans="1:4" x14ac:dyDescent="0.3">
      <c r="A22" s="1"/>
      <c r="B22" t="s">
        <v>46</v>
      </c>
    </row>
    <row r="23" spans="1:4" x14ac:dyDescent="0.3">
      <c r="A23" s="6"/>
      <c r="B23" t="s">
        <v>47</v>
      </c>
    </row>
    <row r="24" spans="1:4" x14ac:dyDescent="0.3">
      <c r="A24" s="2"/>
      <c r="B24" t="s">
        <v>48</v>
      </c>
    </row>
    <row r="25" spans="1:4" x14ac:dyDescent="0.3">
      <c r="A25" s="7"/>
      <c r="B25" t="s">
        <v>49</v>
      </c>
    </row>
    <row r="27" spans="1:4" x14ac:dyDescent="0.3">
      <c r="A27" t="s">
        <v>50</v>
      </c>
    </row>
    <row r="28" spans="1:4" x14ac:dyDescent="0.3">
      <c r="A28" t="s">
        <v>51</v>
      </c>
    </row>
    <row r="29" spans="1:4" x14ac:dyDescent="0.3">
      <c r="A29" t="s">
        <v>52</v>
      </c>
    </row>
  </sheetData>
  <mergeCells count="4">
    <mergeCell ref="A13:A17"/>
    <mergeCell ref="C18:D18"/>
    <mergeCell ref="C19:D19"/>
    <mergeCell ref="A18:A19"/>
  </mergeCells>
  <dataValidations disablePrompts="1" count="1">
    <dataValidation type="list" allowBlank="1" showInputMessage="1" showErrorMessage="1" sqref="C3" xr:uid="{C5B79848-FCA3-463C-BDA1-B7545822447C}">
      <formula1>$J$1:$T$1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Eng. Guilherme Gomes</dc:creator>
  <cp:keywords/>
  <dc:description/>
  <cp:lastModifiedBy>Eng. Guilherme Gomes</cp:lastModifiedBy>
  <cp:revision/>
  <dcterms:created xsi:type="dcterms:W3CDTF">2025-02-03T22:19:32Z</dcterms:created>
  <dcterms:modified xsi:type="dcterms:W3CDTF">2025-02-11T11:51:22Z</dcterms:modified>
  <cp:category/>
  <cp:contentStatus/>
</cp:coreProperties>
</file>