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WACC" sheetId="2" r:id="rId5"/>
    <sheet state="visible" name="DCF" sheetId="3" r:id="rId6"/>
  </sheets>
  <definedNames/>
  <calcPr/>
</workbook>
</file>

<file path=xl/sharedStrings.xml><?xml version="1.0" encoding="utf-8"?>
<sst xmlns="http://schemas.openxmlformats.org/spreadsheetml/2006/main" count="158" uniqueCount="154">
  <si>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</si>
  <si>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</si>
  <si>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</si>
  <si>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</si>
  <si>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</si>
  <si>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</si>
  <si>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</si>
  <si>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</si>
  <si>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</si>
  <si>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</si>
  <si>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</si>
  <si>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</si>
  <si>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</si>
  <si>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</si>
  <si>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</si>
  <si>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</si>
  <si>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</si>
  <si>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</si>
  <si>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</si>
  <si>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</si>
  <si>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</si>
  <si>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</si>
  <si>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</si>
  <si>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</si>
  <si>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</si>
  <si>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</si>
  <si>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</si>
  <si>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</si>
  <si>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</si>
  <si>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</si>
  <si>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</si>
  <si>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</si>
  <si>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</si>
  <si>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</si>
  <si>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</si>
  <si>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</si>
  <si>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</si>
  <si>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</si>
  <si>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</si>
  <si>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</si>
  <si>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</si>
  <si>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</si>
  <si>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</si>
  <si>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</si>
  <si>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</si>
  <si>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</si>
  <si>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</si>
  <si>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</si>
  <si>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</si>
  <si>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</si>
  <si>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</si>
  <si>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</si>
  <si>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</si>
  <si>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</si>
  <si>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</si>
  <si>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</si>
  <si>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</si>
  <si>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</si>
  <si>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</si>
  <si>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</si>
  <si>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</si>
  <si>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</si>
  <si>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</si>
  <si>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</si>
  <si>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</si>
  <si>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</si>
  <si>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</si>
  <si>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</si>
  <si>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</si>
  <si>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</si>
  <si>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</si>
  <si>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</si>
  <si>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</si>
  <si>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</si>
  <si>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</si>
  <si>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</si>
  <si>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</si>
  <si>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</si>
  <si>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</si>
  <si>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</si>
  <si>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</si>
  <si>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</si>
  <si>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</si>
  <si>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</si>
  <si>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</si>
  <si>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</si>
  <si>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</si>
  <si>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</si>
  <si>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</si>
  <si>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</si>
  <si>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</si>
  <si>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</si>
  <si>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</si>
  <si>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</si>
  <si>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</si>
  <si>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</si>
  <si>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</si>
  <si>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</si>
  <si>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</si>
  <si>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</si>
  <si>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</si>
  <si>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</si>
  <si>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</si>
  <si>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</si>
  <si>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</si>
  <si>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</si>
  <si>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</si>
  <si>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</si>
  <si>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</si>
  <si>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</si>
  <si>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</si>
  <si>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</si>
  <si>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</si>
  <si>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</si>
  <si>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</si>
  <si>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</si>
  <si>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</si>
  <si>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</si>
  <si>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</si>
  <si>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</si>
  <si>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</si>
  <si>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</si>
  <si>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</si>
  <si>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</si>
  <si>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</si>
  <si>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</si>
  <si>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</si>
  <si>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4 BETA, GOOGLE RESPECTIVE BETA IN PUBLIC COMPANY, IT HAS DIFF DEBT TO EQUITY RATIO, U CLEAN THE BETA FROM THE LEVERAGING EFFECT, U ASSUME ITS ALL EQUITY, REMOVE THE DEBT AND THEN ADD THE DEBT U HAVE 4 UR COMPANY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</si>
  <si>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</si>
  <si>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</si>
  <si>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</si>
  <si>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</si>
  <si>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</si>
  <si>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</si>
  <si>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</si>
  <si>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</si>
  <si>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</si>
  <si>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 xml:space="preserve"> + Net Capital Expenditure</t>
  </si>
  <si>
    <t>- Change in Working Capital</t>
  </si>
  <si>
    <t>FCF</t>
  </si>
  <si>
    <t>NPV of FCF (Enterprise Value)</t>
  </si>
  <si>
    <t>NET PRESENT VALUE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</si>
  <si>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</si>
  <si>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</si>
  <si>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</si>
  <si>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</si>
  <si>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</si>
  <si>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</si>
  <si>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</si>
  <si>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</si>
  <si>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</si>
  <si>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Recommendation</t>
  </si>
  <si>
    <t>Growth forecast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</si>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</sst>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\(#,##0.00\)"/>
    <numFmt numFmtId="165" formatCode="#,##0;\(#,##0\)"/>
    <numFmt numFmtId="166" formatCode="0.000"/>
  </numFmts>
  <fonts count="19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b/>
      <sz val="10.0"/>
      <color rgb="FF0000FF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>
      <i/>
      <sz val="11.0"/>
      <color rgb="FF000000"/>
      <name val="Arial"/>
    </font>
    <font>
      <color theme="1"/>
      <name val="Arial"/>
      <scheme val="minor"/>
    </font>
    <font>
      <sz val="11.0"/>
      <color rgb="FF1155CC"/>
      <name val="Inconsolata"/>
    </font>
    <font>
      <sz val="11.0"/>
      <color theme="1"/>
      <name val="Cambria"/>
    </font>
    <font>
      <i/>
      <sz val="11.0"/>
      <color theme="1"/>
      <name val="Cambria"/>
    </font>
    <font>
      <b/>
      <sz val="11.0"/>
      <color theme="1"/>
      <name val="Cambria"/>
    </font>
    <font>
      <sz val="11.0"/>
      <color rgb="FF0000FF"/>
      <name val="Cambria"/>
    </font>
    <font>
      <b/>
      <sz val="11.0"/>
      <color rgb="FFFF0000"/>
      <name val="Cambria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10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10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7" numFmtId="10" xfId="0" applyAlignment="1" applyFont="1" applyNumberFormat="1">
      <alignment shrinkToFit="0" vertical="bottom" wrapText="0"/>
    </xf>
    <xf borderId="0" fillId="0" fontId="11" numFmtId="0" xfId="0" applyAlignment="1" applyFont="1">
      <alignment readingOrder="0" shrinkToFit="0" wrapText="0"/>
    </xf>
    <xf borderId="0" fillId="0" fontId="7" numFmtId="1" xfId="0" applyAlignment="1" applyFont="1" applyNumberFormat="1">
      <alignment shrinkToFit="0" vertical="bottom" wrapText="0"/>
    </xf>
    <xf borderId="1" fillId="3" fontId="12" numFmtId="0" xfId="0" applyAlignment="1" applyBorder="1" applyFont="1">
      <alignment horizontal="left" shrinkToFit="0" vertical="bottom" wrapText="0"/>
    </xf>
    <xf borderId="1" fillId="4" fontId="13" numFmtId="165" xfId="0" applyAlignment="1" applyBorder="1" applyFill="1" applyFont="1" applyNumberFormat="1">
      <alignment shrinkToFit="0" vertical="bottom" wrapText="0"/>
    </xf>
    <xf borderId="1" fillId="4" fontId="13" numFmtId="10" xfId="0" applyAlignment="1" applyBorder="1" applyFont="1" applyNumberFormat="1">
      <alignment shrinkToFit="0" vertical="bottom" wrapText="0"/>
    </xf>
    <xf borderId="0" fillId="0" fontId="13" numFmtId="165" xfId="0" applyAlignment="1" applyFont="1" applyNumberForma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5" fontId="11" numFmtId="10" xfId="0" applyFill="1" applyFont="1" applyNumberFormat="1"/>
    <xf borderId="0" fillId="0" fontId="11" numFmtId="165" xfId="0" applyFont="1" applyNumberFormat="1"/>
    <xf borderId="0" fillId="0" fontId="8" numFmtId="0" xfId="0" applyAlignment="1" applyFont="1">
      <alignment readingOrder="0" shrinkToFit="0" vertical="bottom" wrapText="0"/>
    </xf>
    <xf borderId="1" fillId="4" fontId="15" numFmtId="165" xfId="0" applyAlignment="1" applyBorder="1" applyFont="1" applyNumberFormat="1">
      <alignment readingOrder="0" shrinkToFit="0" vertical="bottom" wrapText="0"/>
    </xf>
    <xf borderId="1" fillId="4" fontId="8" numFmtId="165" xfId="0" applyAlignment="1" applyBorder="1" applyFont="1" applyNumberFormat="1">
      <alignment shrinkToFit="0" vertical="bottom" wrapText="0"/>
    </xf>
    <xf borderId="1" fillId="4" fontId="15" numFmtId="165" xfId="0" applyAlignment="1" applyBorder="1" applyFont="1" applyNumberFormat="1">
      <alignment shrinkToFit="0" vertical="bottom" wrapText="0"/>
    </xf>
    <xf borderId="0" fillId="0" fontId="11" numFmtId="0" xfId="0" applyAlignment="1" applyFont="1">
      <alignment readingOrder="0"/>
    </xf>
    <xf borderId="0" fillId="0" fontId="9" numFmtId="0" xfId="0" applyAlignment="1" applyFont="1">
      <alignment shrinkToFit="0" vertical="bottom" wrapText="0"/>
    </xf>
    <xf borderId="1" fillId="4" fontId="13" numFmtId="0" xfId="0" applyAlignment="1" applyBorder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1" fillId="4" fontId="15" numFmtId="2" xfId="0" applyAlignment="1" applyBorder="1" applyFont="1" applyNumberFormat="1">
      <alignment shrinkToFit="0" vertical="bottom" wrapText="0"/>
    </xf>
    <xf borderId="1" fillId="4" fontId="17" numFmtId="10" xfId="0" applyAlignment="1" applyBorder="1" applyFont="1" applyNumberFormat="1">
      <alignment shrinkToFit="0" vertical="bottom" wrapText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26" width="14.5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B6+SUM(B9:B14)</f>
        <v>84777</v>
      </c>
      <c r="C8" s="4">
        <f t="shared" si="3"/>
        <v>88383</v>
      </c>
      <c r="D8" s="4">
        <f t="shared" si="3"/>
        <v>87922</v>
      </c>
      <c r="E8" s="4">
        <f t="shared" si="3"/>
        <v>96799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B7-SUM(B9:B14)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SUM(B15:B18)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11">
        <f t="shared" ref="B31:E31" si="10">SUM(B29:B30)</f>
        <v>6863</v>
      </c>
      <c r="C31" s="11">
        <f t="shared" si="10"/>
        <v>8589</v>
      </c>
      <c r="D31" s="11">
        <f t="shared" si="10"/>
        <v>6974</v>
      </c>
      <c r="E31" s="11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2">
        <f t="shared" ref="B33:E33" si="11">B31/B32</f>
        <v>10.44914738</v>
      </c>
      <c r="C33" s="12">
        <f t="shared" si="11"/>
        <v>13.07087093</v>
      </c>
      <c r="D33" s="12">
        <f t="shared" si="11"/>
        <v>10.60523114</v>
      </c>
      <c r="E33" s="12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3"/>
      <c r="B36" s="14"/>
      <c r="C36" s="14"/>
      <c r="D36" s="14"/>
      <c r="E36" s="14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9" t="s">
        <v>36</v>
      </c>
      <c r="B39" s="15">
        <f t="shared" ref="B39:E39" si="12">B40+B44+B46+B47+B48</f>
        <v>66864</v>
      </c>
      <c r="C39" s="15">
        <f t="shared" si="12"/>
        <v>73542</v>
      </c>
      <c r="D39" s="15">
        <f t="shared" si="12"/>
        <v>84736</v>
      </c>
      <c r="E39" s="15">
        <f t="shared" si="12"/>
        <v>90630</v>
      </c>
    </row>
    <row r="40" ht="15.75" customHeight="1">
      <c r="A40" s="10" t="s">
        <v>37</v>
      </c>
      <c r="B40" s="16">
        <f t="shared" ref="B40:E40" si="13">SUM(B41:B43)</f>
        <v>14945</v>
      </c>
      <c r="C40" s="16">
        <f t="shared" si="13"/>
        <v>17004</v>
      </c>
      <c r="D40" s="16">
        <f t="shared" si="13"/>
        <v>17654</v>
      </c>
      <c r="E40" s="16">
        <f t="shared" si="13"/>
        <v>17991</v>
      </c>
    </row>
    <row r="41" ht="15.75" customHeight="1">
      <c r="A41" s="10" t="s">
        <v>38</v>
      </c>
      <c r="B41" s="17">
        <v>0.0</v>
      </c>
      <c r="C41" s="17">
        <v>0.0</v>
      </c>
      <c r="D41" s="17">
        <v>0.0</v>
      </c>
      <c r="E41" s="17">
        <v>0.0</v>
      </c>
    </row>
    <row r="42" ht="15.75" customHeight="1">
      <c r="A42" s="10" t="s">
        <v>39</v>
      </c>
      <c r="B42" s="17">
        <v>7880.0</v>
      </c>
      <c r="C42" s="17">
        <v>9039.0</v>
      </c>
      <c r="D42" s="17">
        <v>10979.0</v>
      </c>
      <c r="E42" s="17">
        <v>12036.0</v>
      </c>
    </row>
    <row r="43" ht="15.75" customHeight="1">
      <c r="A43" s="10" t="s">
        <v>40</v>
      </c>
      <c r="B43" s="17">
        <v>7065.0</v>
      </c>
      <c r="C43" s="17">
        <v>7965.0</v>
      </c>
      <c r="D43" s="17">
        <v>6675.0</v>
      </c>
      <c r="E43" s="17">
        <v>5955.0</v>
      </c>
    </row>
    <row r="44" ht="15.75" customHeight="1">
      <c r="A44" s="10" t="s">
        <v>41</v>
      </c>
      <c r="B44" s="17">
        <v>34991.0</v>
      </c>
      <c r="C44" s="17">
        <v>36346.0</v>
      </c>
      <c r="D44" s="17">
        <v>42624.0</v>
      </c>
      <c r="E44" s="17">
        <v>45134.0</v>
      </c>
    </row>
    <row r="45" ht="15.75" customHeight="1">
      <c r="A45" s="10" t="s">
        <v>42</v>
      </c>
      <c r="B45" s="17">
        <v>33053.0</v>
      </c>
      <c r="C45" s="17">
        <v>34780.0</v>
      </c>
      <c r="D45" s="17">
        <v>41246.0</v>
      </c>
      <c r="E45" s="17">
        <v>43925.0</v>
      </c>
    </row>
    <row r="46" ht="15.75" customHeight="1">
      <c r="A46" s="10" t="s">
        <v>43</v>
      </c>
      <c r="B46" s="17">
        <v>11841.0</v>
      </c>
      <c r="C46" s="17">
        <v>12707.0</v>
      </c>
      <c r="D46" s="17">
        <v>14248.0</v>
      </c>
      <c r="E46" s="17">
        <v>15891.0</v>
      </c>
    </row>
    <row r="47" ht="15.75" customHeight="1">
      <c r="A47" s="10" t="s">
        <v>44</v>
      </c>
      <c r="B47" s="17">
        <v>0.0</v>
      </c>
      <c r="C47" s="17">
        <v>0.0</v>
      </c>
      <c r="D47" s="17">
        <v>0.0</v>
      </c>
      <c r="E47" s="17">
        <v>0.0</v>
      </c>
    </row>
    <row r="48" ht="15.75" customHeight="1">
      <c r="A48" s="10" t="s">
        <v>45</v>
      </c>
      <c r="B48" s="17">
        <v>5087.0</v>
      </c>
      <c r="C48" s="17">
        <v>7485.0</v>
      </c>
      <c r="D48" s="17">
        <v>10210.0</v>
      </c>
      <c r="E48" s="17">
        <v>11614.0</v>
      </c>
    </row>
    <row r="49" ht="15.75" customHeight="1">
      <c r="A49" s="9" t="s">
        <v>46</v>
      </c>
      <c r="B49" s="15">
        <f t="shared" ref="B49:E49" si="14">B50+SUM(B53:B58)+B39</f>
        <v>188535</v>
      </c>
      <c r="C49" s="15">
        <f t="shared" si="14"/>
        <v>195506</v>
      </c>
      <c r="D49" s="15">
        <f t="shared" si="14"/>
        <v>208938</v>
      </c>
      <c r="E49" s="15">
        <f t="shared" si="14"/>
        <v>228034</v>
      </c>
    </row>
    <row r="50" ht="15.75" customHeight="1">
      <c r="A50" s="10" t="s">
        <v>47</v>
      </c>
      <c r="B50" s="16">
        <f t="shared" ref="B50:E50" si="15">SUM(B51:B52)</f>
        <v>55749</v>
      </c>
      <c r="C50" s="16">
        <f t="shared" si="15"/>
        <v>54728</v>
      </c>
      <c r="D50" s="16">
        <f t="shared" si="15"/>
        <v>58060</v>
      </c>
      <c r="E50" s="16">
        <f t="shared" si="15"/>
        <v>65854</v>
      </c>
    </row>
    <row r="51" ht="15.75" customHeight="1">
      <c r="A51" s="10" t="s">
        <v>48</v>
      </c>
      <c r="B51" s="17">
        <v>97377.0</v>
      </c>
      <c r="C51" s="17">
        <v>97388.0</v>
      </c>
      <c r="D51" s="17">
        <v>101155.0</v>
      </c>
      <c r="E51" s="17">
        <v>110615.0</v>
      </c>
    </row>
    <row r="52" ht="15.75" customHeight="1">
      <c r="A52" s="10" t="s">
        <v>49</v>
      </c>
      <c r="B52" s="17">
        <v>-41628.0</v>
      </c>
      <c r="C52" s="17">
        <v>-42660.0</v>
      </c>
      <c r="D52" s="17">
        <v>-43095.0</v>
      </c>
      <c r="E52" s="17">
        <v>-44761.0</v>
      </c>
    </row>
    <row r="53" ht="15.75" customHeight="1">
      <c r="A53" s="10" t="s">
        <v>50</v>
      </c>
      <c r="B53" s="17">
        <v>364.0</v>
      </c>
      <c r="C53" s="17">
        <v>380.0</v>
      </c>
      <c r="D53" s="17">
        <v>380.0</v>
      </c>
      <c r="E53" s="17">
        <v>380.0</v>
      </c>
    </row>
    <row r="54" ht="15.75" customHeight="1">
      <c r="A54" s="10" t="s">
        <v>51</v>
      </c>
      <c r="B54" s="17">
        <v>7793.0</v>
      </c>
      <c r="C54" s="17">
        <v>9084.0</v>
      </c>
      <c r="D54" s="17">
        <v>10591.0</v>
      </c>
      <c r="E54" s="17">
        <v>11349.0</v>
      </c>
    </row>
    <row r="55" ht="15.75" customHeight="1">
      <c r="A55" s="10" t="s">
        <v>52</v>
      </c>
      <c r="B55" s="17">
        <v>5811.0</v>
      </c>
      <c r="C55" s="17">
        <v>5828.0</v>
      </c>
      <c r="D55" s="17">
        <v>4373.0</v>
      </c>
      <c r="E55" s="17">
        <v>5272.0</v>
      </c>
    </row>
    <row r="56" ht="15.75" customHeight="1">
      <c r="A56" s="10" t="s">
        <v>53</v>
      </c>
      <c r="B56" s="17">
        <v>48032.0</v>
      </c>
      <c r="C56" s="17">
        <v>48321.0</v>
      </c>
      <c r="D56" s="17">
        <v>48313.0</v>
      </c>
      <c r="E56" s="17">
        <v>51030.0</v>
      </c>
    </row>
    <row r="57" ht="15.75" customHeight="1">
      <c r="A57" s="10" t="s">
        <v>54</v>
      </c>
      <c r="B57" s="17">
        <v>3922.0</v>
      </c>
      <c r="C57" s="17">
        <v>3623.0</v>
      </c>
      <c r="D57" s="17">
        <v>2485.0</v>
      </c>
      <c r="E57" s="17">
        <v>3519.0</v>
      </c>
    </row>
    <row r="58" ht="15.75" customHeight="1">
      <c r="A58" s="10" t="s">
        <v>55</v>
      </c>
      <c r="B58" s="17">
        <v>0.0</v>
      </c>
      <c r="C58" s="17">
        <v>0.0</v>
      </c>
      <c r="D58" s="17">
        <v>0.0</v>
      </c>
      <c r="E58" s="17">
        <v>0.0</v>
      </c>
    </row>
    <row r="59" ht="15.75" customHeight="1">
      <c r="A59" s="9" t="s">
        <v>56</v>
      </c>
      <c r="B59" s="15">
        <f t="shared" ref="B59:C59" si="16">SUM(B60:B65)</f>
        <v>67989</v>
      </c>
      <c r="C59" s="15">
        <f t="shared" si="16"/>
        <v>71765</v>
      </c>
      <c r="D59" s="18">
        <v>71411.0</v>
      </c>
      <c r="E59" s="15">
        <f>SUM(E60:E65)</f>
        <v>82625</v>
      </c>
    </row>
    <row r="60" ht="15.75" customHeight="1">
      <c r="A60" s="10" t="s">
        <v>57</v>
      </c>
      <c r="B60" s="17">
        <v>9226.0</v>
      </c>
      <c r="C60" s="17">
        <v>10604.0</v>
      </c>
      <c r="D60" s="17">
        <v>9669.0</v>
      </c>
      <c r="E60" s="17">
        <v>10182.0</v>
      </c>
    </row>
    <row r="61" ht="15.75" customHeight="1">
      <c r="A61" s="10" t="s">
        <v>58</v>
      </c>
      <c r="B61" s="17">
        <v>0.0</v>
      </c>
      <c r="C61" s="17">
        <v>0.0</v>
      </c>
      <c r="D61" s="17">
        <v>0.0</v>
      </c>
      <c r="E61" s="17">
        <v>0.0</v>
      </c>
    </row>
    <row r="62" ht="15.75" customHeight="1">
      <c r="A62" s="10" t="s">
        <v>59</v>
      </c>
      <c r="B62" s="17">
        <v>4331.0</v>
      </c>
      <c r="C62" s="17">
        <v>2359.0</v>
      </c>
      <c r="D62" s="17">
        <v>4214.0</v>
      </c>
      <c r="E62" s="17">
        <v>0.0</v>
      </c>
    </row>
    <row r="63" ht="15.75" customHeight="1">
      <c r="A63" s="10" t="s">
        <v>60</v>
      </c>
      <c r="B63" s="17">
        <v>3852.0</v>
      </c>
      <c r="C63" s="17">
        <v>4461.0</v>
      </c>
      <c r="D63" s="17">
        <v>2480.0</v>
      </c>
      <c r="E63" s="17">
        <v>2615.0</v>
      </c>
    </row>
    <row r="64" ht="15.75" customHeight="1">
      <c r="A64" s="10" t="s">
        <v>61</v>
      </c>
      <c r="B64" s="17">
        <v>36818.0</v>
      </c>
      <c r="C64" s="17">
        <v>36266.0</v>
      </c>
      <c r="D64" s="17">
        <v>35699.0</v>
      </c>
      <c r="E64" s="17">
        <v>42329.0</v>
      </c>
    </row>
    <row r="65" ht="15.75" customHeight="1">
      <c r="A65" s="10" t="s">
        <v>62</v>
      </c>
      <c r="B65" s="17">
        <v>13762.0</v>
      </c>
      <c r="C65" s="17">
        <v>18075.0</v>
      </c>
      <c r="D65" s="17">
        <v>23563.0</v>
      </c>
      <c r="E65" s="17">
        <v>27499.0</v>
      </c>
    </row>
    <row r="66" ht="15.75" customHeight="1">
      <c r="A66" s="9" t="s">
        <v>63</v>
      </c>
      <c r="B66" s="15">
        <f t="shared" ref="B66:E66" si="17">B67+B70+B71+B72+B59</f>
        <v>141427</v>
      </c>
      <c r="C66" s="15">
        <f t="shared" si="17"/>
        <v>141835</v>
      </c>
      <c r="D66" s="15">
        <f t="shared" si="17"/>
        <v>151638</v>
      </c>
      <c r="E66" s="15">
        <f t="shared" si="17"/>
        <v>168710</v>
      </c>
    </row>
    <row r="67" ht="15.75" customHeight="1">
      <c r="A67" s="10" t="s">
        <v>64</v>
      </c>
      <c r="B67" s="16">
        <f t="shared" ref="B67:E67" si="18">SUM(B68:B69)</f>
        <v>53730</v>
      </c>
      <c r="C67" s="16">
        <f t="shared" si="18"/>
        <v>52831</v>
      </c>
      <c r="D67" s="16">
        <f t="shared" si="18"/>
        <v>63743</v>
      </c>
      <c r="E67" s="16">
        <f t="shared" si="18"/>
        <v>69700</v>
      </c>
    </row>
    <row r="68" ht="15.75" customHeight="1">
      <c r="A68" s="10" t="s">
        <v>65</v>
      </c>
      <c r="B68" s="17">
        <v>53730.0</v>
      </c>
      <c r="C68" s="17">
        <v>52831.0</v>
      </c>
      <c r="D68" s="17">
        <v>63734.0</v>
      </c>
      <c r="E68" s="17">
        <v>69156.0</v>
      </c>
    </row>
    <row r="69" ht="15.75" customHeight="1">
      <c r="A69" s="10" t="s">
        <v>66</v>
      </c>
      <c r="B69" s="17">
        <v>0.0</v>
      </c>
      <c r="C69" s="17">
        <v>0.0</v>
      </c>
      <c r="D69" s="17">
        <v>9.0</v>
      </c>
      <c r="E69" s="17">
        <v>544.0</v>
      </c>
    </row>
    <row r="70" ht="15.75" customHeight="1">
      <c r="A70" s="10" t="s">
        <v>67</v>
      </c>
      <c r="B70" s="17">
        <v>2795.0</v>
      </c>
      <c r="C70" s="17">
        <v>2157.0</v>
      </c>
      <c r="D70" s="17">
        <v>1773.0</v>
      </c>
      <c r="E70" s="17">
        <v>632.0</v>
      </c>
    </row>
    <row r="71" ht="15.75" customHeight="1">
      <c r="A71" s="10" t="s">
        <v>68</v>
      </c>
      <c r="B71" s="17">
        <v>255.0</v>
      </c>
      <c r="C71" s="17">
        <v>436.0</v>
      </c>
      <c r="D71" s="17">
        <v>529.0</v>
      </c>
      <c r="E71" s="17">
        <v>583.0</v>
      </c>
    </row>
    <row r="72" ht="15.75" customHeight="1">
      <c r="A72" s="10" t="s">
        <v>69</v>
      </c>
      <c r="B72" s="17">
        <v>16658.0</v>
      </c>
      <c r="C72" s="17">
        <v>14646.0</v>
      </c>
      <c r="D72" s="17">
        <v>14182.0</v>
      </c>
      <c r="E72" s="17">
        <v>15170.0</v>
      </c>
    </row>
    <row r="73" ht="15.75" customHeight="1">
      <c r="A73" s="9" t="s">
        <v>70</v>
      </c>
      <c r="B73" s="15">
        <f>SUM(B74:B82)</f>
        <v>47108</v>
      </c>
      <c r="C73" s="18">
        <v>53671.0</v>
      </c>
      <c r="D73" s="18">
        <v>57300.0</v>
      </c>
      <c r="E73" s="15">
        <f>SUM(E74:E82)</f>
        <v>59324</v>
      </c>
    </row>
    <row r="74" ht="15.75" customHeight="1">
      <c r="A74" s="10" t="s">
        <v>71</v>
      </c>
      <c r="B74" s="17">
        <v>0.0</v>
      </c>
      <c r="C74" s="17">
        <v>0.0</v>
      </c>
      <c r="D74" s="17">
        <v>0.0</v>
      </c>
      <c r="E74" s="17">
        <v>0.0</v>
      </c>
    </row>
    <row r="75" ht="15.75" customHeight="1">
      <c r="A75" s="10" t="s">
        <v>72</v>
      </c>
      <c r="B75" s="17">
        <v>0.0</v>
      </c>
      <c r="C75" s="17">
        <v>0.0</v>
      </c>
      <c r="D75" s="17">
        <v>0.0</v>
      </c>
      <c r="E75" s="17">
        <v>0.0</v>
      </c>
    </row>
    <row r="76" ht="15.75" customHeight="1">
      <c r="A76" s="10" t="s">
        <v>73</v>
      </c>
      <c r="B76" s="17">
        <v>657.0</v>
      </c>
      <c r="C76" s="17">
        <v>658.0</v>
      </c>
      <c r="D76" s="17">
        <v>658.0</v>
      </c>
      <c r="E76" s="17">
        <v>659.0</v>
      </c>
    </row>
    <row r="77" ht="15.75" customHeight="1">
      <c r="A77" s="10" t="s">
        <v>74</v>
      </c>
      <c r="B77" s="17">
        <v>2047.0</v>
      </c>
      <c r="C77" s="17">
        <v>2084.0</v>
      </c>
      <c r="D77" s="17">
        <v>2118.0</v>
      </c>
      <c r="E77" s="17">
        <v>0.0</v>
      </c>
    </row>
    <row r="78" ht="15.75" customHeight="1">
      <c r="A78" s="10" t="s">
        <v>75</v>
      </c>
      <c r="B78" s="17">
        <v>44445.0</v>
      </c>
      <c r="C78" s="17">
        <v>52899.0</v>
      </c>
      <c r="D78" s="17">
        <v>57980.0</v>
      </c>
      <c r="E78" s="17">
        <v>59828.0</v>
      </c>
    </row>
    <row r="79" ht="15.75" customHeight="1">
      <c r="A79" s="10" t="s">
        <v>76</v>
      </c>
      <c r="B79" s="17">
        <v>0.0</v>
      </c>
      <c r="C79" s="17">
        <v>0.0</v>
      </c>
      <c r="D79" s="17">
        <v>0.0</v>
      </c>
      <c r="E79" s="17">
        <v>0.0</v>
      </c>
    </row>
    <row r="80" ht="15.75" customHeight="1">
      <c r="A80" s="10" t="s">
        <v>77</v>
      </c>
      <c r="B80" s="17">
        <v>0.0</v>
      </c>
      <c r="C80" s="17">
        <v>0.0</v>
      </c>
      <c r="D80" s="17">
        <v>0.0</v>
      </c>
      <c r="E80" s="17">
        <v>0.0</v>
      </c>
    </row>
    <row r="81" ht="15.75" customHeight="1">
      <c r="A81" s="10" t="s">
        <v>78</v>
      </c>
      <c r="B81" s="17">
        <v>52.0</v>
      </c>
      <c r="C81" s="17">
        <v>93.0</v>
      </c>
      <c r="D81" s="17">
        <v>-1.0</v>
      </c>
      <c r="E81" s="17">
        <v>29.0</v>
      </c>
    </row>
    <row r="82" ht="15.75" customHeight="1">
      <c r="A82" s="10" t="s">
        <v>79</v>
      </c>
      <c r="B82" s="17">
        <v>-93.0</v>
      </c>
      <c r="C82" s="17">
        <v>21.0</v>
      </c>
      <c r="D82" s="17">
        <v>-1337.0</v>
      </c>
      <c r="E82" s="17">
        <v>-1192.0</v>
      </c>
    </row>
    <row r="83" ht="15.75" customHeight="1">
      <c r="A83" s="9" t="s">
        <v>80</v>
      </c>
      <c r="B83" s="15">
        <f t="shared" ref="B83:E83" si="19">B66+B73</f>
        <v>188535</v>
      </c>
      <c r="C83" s="15">
        <f t="shared" si="19"/>
        <v>195506</v>
      </c>
      <c r="D83" s="15">
        <f t="shared" si="19"/>
        <v>208938</v>
      </c>
      <c r="E83" s="15">
        <f t="shared" si="19"/>
        <v>228034</v>
      </c>
    </row>
    <row r="84" ht="15.75" customHeight="1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ht="15.75" customHeight="1">
      <c r="A85" s="9" t="s">
        <v>82</v>
      </c>
      <c r="B85" s="18">
        <v>0.0</v>
      </c>
      <c r="C85" s="18">
        <v>0.0</v>
      </c>
      <c r="D85" s="18">
        <v>0.0</v>
      </c>
      <c r="E85" s="18">
        <v>0.0</v>
      </c>
    </row>
    <row r="86" ht="15.75" customHeight="1">
      <c r="A86" s="19"/>
      <c r="B86" s="14"/>
      <c r="C86" s="14"/>
      <c r="D86" s="14"/>
      <c r="E86" s="14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20" t="s">
        <v>84</v>
      </c>
      <c r="B89" s="18">
        <v>6910.0</v>
      </c>
      <c r="C89" s="18">
        <v>8675.0</v>
      </c>
      <c r="D89" s="18">
        <v>7064.0</v>
      </c>
      <c r="E89" s="18">
        <v>5022.0</v>
      </c>
    </row>
    <row r="90" ht="15.75" customHeight="1">
      <c r="A90" s="20" t="s">
        <v>85</v>
      </c>
      <c r="B90" s="18">
        <v>3211.0</v>
      </c>
      <c r="C90" s="18">
        <v>5973.0</v>
      </c>
      <c r="D90" s="18">
        <v>5026.0</v>
      </c>
      <c r="E90" s="18">
        <v>3579.0</v>
      </c>
    </row>
    <row r="91" ht="15.75" customHeight="1">
      <c r="A91" s="21" t="s">
        <v>86</v>
      </c>
      <c r="B91" s="17">
        <v>4998.0</v>
      </c>
      <c r="C91" s="17">
        <v>4822.0</v>
      </c>
      <c r="D91" s="17">
        <v>5113.0</v>
      </c>
      <c r="E91" s="17">
        <v>6017.0</v>
      </c>
    </row>
    <row r="92" ht="15.75" customHeight="1">
      <c r="A92" s="21" t="s">
        <v>87</v>
      </c>
      <c r="B92" s="17">
        <v>0.0</v>
      </c>
      <c r="C92" s="17">
        <v>0.0</v>
      </c>
      <c r="D92" s="17">
        <v>0.0</v>
      </c>
      <c r="E92" s="17">
        <v>0.0</v>
      </c>
    </row>
    <row r="93" ht="15.75" customHeight="1">
      <c r="A93" s="21" t="s">
        <v>88</v>
      </c>
      <c r="B93" s="17">
        <v>85.0</v>
      </c>
      <c r="C93" s="17">
        <v>-559.0</v>
      </c>
      <c r="D93" s="17">
        <v>312.0</v>
      </c>
      <c r="E93" s="17">
        <v>-1176.0</v>
      </c>
    </row>
    <row r="94" ht="15.75" customHeight="1">
      <c r="A94" s="21" t="s">
        <v>89</v>
      </c>
      <c r="B94" s="17">
        <v>-7670.0</v>
      </c>
      <c r="C94" s="17">
        <v>-6230.0</v>
      </c>
      <c r="D94" s="17">
        <v>-5957.0</v>
      </c>
      <c r="E94" s="17">
        <v>-2882.0</v>
      </c>
    </row>
    <row r="95" ht="15.75" customHeight="1">
      <c r="A95" s="21" t="s">
        <v>90</v>
      </c>
      <c r="B95" s="17">
        <v>0.0</v>
      </c>
      <c r="C95" s="17">
        <v>0.0</v>
      </c>
      <c r="D95" s="17">
        <v>0.0</v>
      </c>
      <c r="E95" s="17">
        <v>0.0</v>
      </c>
    </row>
    <row r="96" ht="15.75" customHeight="1">
      <c r="A96" s="21" t="s">
        <v>91</v>
      </c>
      <c r="B96" s="17">
        <v>0.0</v>
      </c>
      <c r="C96" s="17">
        <v>0.0</v>
      </c>
      <c r="D96" s="17">
        <v>0.0</v>
      </c>
      <c r="E96" s="17">
        <v>0.0</v>
      </c>
    </row>
    <row r="97" ht="15.75" customHeight="1">
      <c r="A97" s="21" t="s">
        <v>92</v>
      </c>
      <c r="B97" s="17">
        <v>2417.0</v>
      </c>
      <c r="C97" s="17">
        <v>2301.0</v>
      </c>
      <c r="D97" s="17">
        <v>1972.0</v>
      </c>
      <c r="E97" s="17">
        <v>3389.0</v>
      </c>
    </row>
    <row r="98" ht="15.75" customHeight="1">
      <c r="A98" s="21" t="s">
        <v>93</v>
      </c>
      <c r="B98" s="17">
        <v>118.0</v>
      </c>
      <c r="C98" s="17">
        <v>165.0</v>
      </c>
      <c r="D98" s="17">
        <v>136.0</v>
      </c>
      <c r="E98" s="17">
        <v>199.0</v>
      </c>
    </row>
    <row r="99" ht="15.75" customHeight="1">
      <c r="A99" s="21" t="s">
        <v>94</v>
      </c>
      <c r="B99" s="17">
        <v>-1112.0</v>
      </c>
      <c r="C99" s="17">
        <v>-735.0</v>
      </c>
      <c r="D99" s="17">
        <v>-1506.0</v>
      </c>
      <c r="E99" s="17">
        <v>-3402.0</v>
      </c>
    </row>
    <row r="100" ht="15.75" customHeight="1">
      <c r="A100" s="20" t="s">
        <v>95</v>
      </c>
      <c r="B100" s="15">
        <f t="shared" ref="B100:E100" si="20">SUM(B101:B102)</f>
        <v>-5863</v>
      </c>
      <c r="C100" s="15">
        <f t="shared" si="20"/>
        <v>-6163</v>
      </c>
      <c r="D100" s="15">
        <f t="shared" si="20"/>
        <v>-7363</v>
      </c>
      <c r="E100" s="15">
        <f t="shared" si="20"/>
        <v>-7284</v>
      </c>
    </row>
    <row r="101" ht="15.75" customHeight="1">
      <c r="A101" s="21" t="s">
        <v>96</v>
      </c>
      <c r="B101" s="17">
        <v>-5823.0</v>
      </c>
      <c r="C101" s="17">
        <v>-7112.0</v>
      </c>
      <c r="D101" s="17">
        <v>-7777.0</v>
      </c>
      <c r="E101" s="17">
        <v>-6902.0</v>
      </c>
    </row>
    <row r="102" ht="15.75" customHeight="1">
      <c r="A102" s="21" t="s">
        <v>97</v>
      </c>
      <c r="B102" s="17">
        <v>-40.0</v>
      </c>
      <c r="C102" s="17">
        <v>949.0</v>
      </c>
      <c r="D102" s="17">
        <v>414.0</v>
      </c>
      <c r="E102" s="17">
        <v>-382.0</v>
      </c>
    </row>
    <row r="103" ht="15.75" customHeight="1">
      <c r="A103" s="20" t="s">
        <v>98</v>
      </c>
      <c r="B103" s="18">
        <v>4393.0</v>
      </c>
      <c r="C103" s="18">
        <v>1572.0</v>
      </c>
      <c r="D103" s="18">
        <v>4296.0</v>
      </c>
      <c r="E103" s="18">
        <v>4790.0</v>
      </c>
    </row>
    <row r="104" ht="15.75" customHeight="1">
      <c r="A104" s="21" t="s">
        <v>99</v>
      </c>
      <c r="B104" s="17">
        <v>-98.0</v>
      </c>
      <c r="C104" s="17">
        <v>-127.0</v>
      </c>
      <c r="D104" s="17">
        <v>-111.0</v>
      </c>
      <c r="E104" s="17">
        <v>-166.0</v>
      </c>
    </row>
    <row r="105" ht="15.75" customHeight="1">
      <c r="A105" s="21" t="s">
        <v>100</v>
      </c>
      <c r="B105" s="17">
        <v>-2121.0</v>
      </c>
      <c r="C105" s="17">
        <v>-2324.0</v>
      </c>
      <c r="D105" s="17">
        <v>-2630.0</v>
      </c>
      <c r="E105" s="17">
        <v>-2366.0</v>
      </c>
    </row>
    <row r="106" ht="15.75" customHeight="1">
      <c r="A106" s="21" t="s">
        <v>101</v>
      </c>
      <c r="B106" s="17">
        <v>0.0</v>
      </c>
      <c r="C106" s="17">
        <v>0.0</v>
      </c>
      <c r="D106" s="17">
        <v>0.0</v>
      </c>
      <c r="E106" s="17">
        <v>0.0</v>
      </c>
    </row>
    <row r="107" ht="15.75" customHeight="1">
      <c r="A107" s="21" t="s">
        <v>102</v>
      </c>
      <c r="B107" s="17">
        <v>6612.0</v>
      </c>
      <c r="C107" s="17">
        <v>4023.0</v>
      </c>
      <c r="D107" s="17">
        <v>7037.0</v>
      </c>
      <c r="E107" s="17">
        <v>7322.0</v>
      </c>
    </row>
    <row r="108" ht="15.75" customHeight="1">
      <c r="A108" s="21" t="s">
        <v>103</v>
      </c>
      <c r="B108" s="17">
        <v>17.0</v>
      </c>
      <c r="C108" s="17">
        <v>-223.0</v>
      </c>
      <c r="D108" s="17">
        <v>-19.0</v>
      </c>
      <c r="E108" s="17">
        <v>-28.0</v>
      </c>
    </row>
    <row r="109" ht="15.75" customHeight="1">
      <c r="A109" s="20" t="s">
        <v>104</v>
      </c>
      <c r="B109" s="18">
        <v>1758.0</v>
      </c>
      <c r="C109" s="18">
        <v>1159.0</v>
      </c>
      <c r="D109" s="18">
        <v>1940.0</v>
      </c>
      <c r="E109" s="18">
        <v>1057.0</v>
      </c>
    </row>
    <row r="110" ht="15.75" customHeight="1">
      <c r="A110" s="21" t="s">
        <v>105</v>
      </c>
      <c r="B110" s="17">
        <v>0.0</v>
      </c>
      <c r="C110" s="17">
        <v>7880.0</v>
      </c>
      <c r="D110" s="17">
        <v>9039.0</v>
      </c>
      <c r="E110" s="17">
        <v>10979.0</v>
      </c>
    </row>
    <row r="111" ht="15.75" customHeight="1">
      <c r="A111" s="21" t="s">
        <v>106</v>
      </c>
      <c r="B111" s="17">
        <v>0.0</v>
      </c>
      <c r="C111" s="17">
        <v>9039.0</v>
      </c>
      <c r="D111" s="17">
        <v>10979.0</v>
      </c>
      <c r="E111" s="17">
        <v>12036.0</v>
      </c>
    </row>
    <row r="112" ht="15.75" customHeight="1">
      <c r="A112" s="21" t="s">
        <v>107</v>
      </c>
      <c r="B112" s="17">
        <v>0.0</v>
      </c>
      <c r="C112" s="17">
        <v>-1139.0</v>
      </c>
      <c r="D112" s="17">
        <v>-2751.0</v>
      </c>
      <c r="E112" s="17">
        <v>-3323.0</v>
      </c>
    </row>
    <row r="113" ht="15.75" customHeight="1">
      <c r="A113" s="21" t="s">
        <v>108</v>
      </c>
      <c r="B113" s="17">
        <v>0.0</v>
      </c>
      <c r="C113" s="17">
        <v>0.0</v>
      </c>
      <c r="D113" s="17">
        <v>-141.53</v>
      </c>
      <c r="E113" s="17">
        <v>-20.79</v>
      </c>
    </row>
    <row r="114" ht="15.75" customHeight="1">
      <c r="A114" s="21" t="s">
        <v>109</v>
      </c>
      <c r="B114" s="17">
        <v>0.0</v>
      </c>
      <c r="C114" s="17">
        <v>0.0</v>
      </c>
      <c r="D114" s="17">
        <v>-5.81</v>
      </c>
      <c r="E114" s="17">
        <v>-12.89</v>
      </c>
    </row>
    <row r="115" ht="15.75" customHeight="1"/>
    <row r="116" ht="15.75" customHeight="1">
      <c r="A116" s="3"/>
      <c r="B116" s="14"/>
      <c r="C116" s="14"/>
      <c r="D116" s="14"/>
      <c r="E116" s="14"/>
    </row>
    <row r="117" ht="15.75" customHeight="1">
      <c r="A117" s="19"/>
      <c r="B117" s="14"/>
      <c r="C117" s="14"/>
      <c r="D117" s="14"/>
      <c r="E117" s="14"/>
    </row>
    <row r="118" ht="15.75" customHeight="1">
      <c r="A118" s="22"/>
      <c r="B118" s="14"/>
      <c r="C118" s="14"/>
      <c r="D118" s="14"/>
      <c r="E118" s="14"/>
    </row>
    <row r="119" ht="15.75" customHeight="1">
      <c r="A119" s="23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2"/>
      <c r="B125" s="14"/>
      <c r="C125" s="14"/>
      <c r="D125" s="14"/>
      <c r="E125" s="14"/>
    </row>
    <row r="126" ht="15.75" customHeight="1">
      <c r="A126" s="22"/>
      <c r="B126" s="14"/>
      <c r="C126" s="14"/>
      <c r="D126" s="14"/>
      <c r="E126" s="14"/>
    </row>
    <row r="127" ht="15.75" customHeight="1">
      <c r="A127" s="22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14.5"/>
    <col customWidth="1" min="4" max="4" width="56.38"/>
    <col customWidth="1" min="5" max="26" width="14.5"/>
  </cols>
  <sheetData>
    <row r="1" ht="15.75" customHeight="1">
      <c r="D1" s="24" t="s">
        <v>111</v>
      </c>
      <c r="G1" s="24"/>
    </row>
    <row r="2" ht="15.75" customHeight="1">
      <c r="A2" s="24" t="s">
        <v>112</v>
      </c>
      <c r="B2" s="25">
        <f>(B3*B4)+B5</f>
        <v>0.042521</v>
      </c>
      <c r="G2" s="24" t="s">
        <v>113</v>
      </c>
    </row>
    <row r="3" ht="15.75" customHeight="1">
      <c r="A3" s="26" t="s">
        <v>114</v>
      </c>
      <c r="B3" s="27">
        <v>0.057</v>
      </c>
      <c r="D3" s="28" t="s">
        <v>115</v>
      </c>
      <c r="G3" s="26">
        <v>2016.0</v>
      </c>
      <c r="H3" s="26">
        <v>2017.0</v>
      </c>
      <c r="I3" s="26">
        <v>2018.0</v>
      </c>
      <c r="J3" s="26">
        <v>2019.0</v>
      </c>
    </row>
    <row r="4" ht="15.75" customHeight="1">
      <c r="A4" s="26" t="s">
        <v>116</v>
      </c>
      <c r="B4" s="29">
        <v>0.553</v>
      </c>
      <c r="D4" s="28" t="s">
        <v>117</v>
      </c>
      <c r="G4" s="30">
        <f>Financials!B20/Financials!B19</f>
        <v>0.2850491464</v>
      </c>
      <c r="H4" s="30">
        <f>Financials!C20/Financials!C19</f>
        <v>0.18735363</v>
      </c>
      <c r="I4" s="30">
        <f>Financials!D20/Financials!D19</f>
        <v>0.2628025345</v>
      </c>
      <c r="J4" s="30">
        <f>Financials!E20/Financials!E19</f>
        <v>0.3006462489</v>
      </c>
    </row>
    <row r="5" ht="15.75" customHeight="1">
      <c r="A5" s="26" t="s">
        <v>118</v>
      </c>
      <c r="B5" s="27">
        <v>0.011</v>
      </c>
      <c r="D5" s="28" t="s">
        <v>119</v>
      </c>
    </row>
    <row r="6" ht="15.75" customHeight="1"/>
    <row r="7" ht="15.75" customHeight="1">
      <c r="A7" s="24" t="s">
        <v>120</v>
      </c>
      <c r="B7" s="25">
        <f>B8*B9</f>
        <v>0.0255657803</v>
      </c>
      <c r="G7" s="24"/>
    </row>
    <row r="8" ht="15.75" customHeight="1">
      <c r="A8" s="26" t="s">
        <v>121</v>
      </c>
      <c r="B8" s="27">
        <v>0.0345</v>
      </c>
      <c r="D8" s="28" t="s">
        <v>122</v>
      </c>
    </row>
    <row r="9" ht="15.75" customHeight="1">
      <c r="A9" s="26" t="s">
        <v>123</v>
      </c>
      <c r="B9" s="30">
        <f>1-AVERAGE(G4:J4)</f>
        <v>0.74103711</v>
      </c>
      <c r="G9" s="30"/>
      <c r="H9" s="30"/>
      <c r="I9" s="30"/>
      <c r="J9" s="30"/>
    </row>
    <row r="10" ht="15.75" customHeight="1"/>
    <row r="11" ht="15.75" customHeight="1">
      <c r="A11" s="24" t="s">
        <v>124</v>
      </c>
      <c r="B11" s="25">
        <f>B2*B12+B7*B13</f>
        <v>0.03525372117</v>
      </c>
    </row>
    <row r="12" ht="15.75" customHeight="1">
      <c r="A12" s="26" t="s">
        <v>125</v>
      </c>
      <c r="B12" s="30">
        <f>Financials!B49/(Financials!B49+Financials!B66)</f>
        <v>0.5713839775</v>
      </c>
    </row>
    <row r="13" ht="15.75" customHeight="1">
      <c r="A13" s="26" t="s">
        <v>126</v>
      </c>
      <c r="B13" s="30">
        <f>Financials!B66/(Financials!B66+Financials!B49)</f>
        <v>0.4286160225</v>
      </c>
      <c r="G13" s="24"/>
    </row>
    <row r="14" ht="15.75" customHeight="1"/>
    <row r="15" ht="15.75" customHeight="1">
      <c r="A15" s="24"/>
      <c r="C15" s="31" t="s">
        <v>127</v>
      </c>
      <c r="G15" s="32"/>
      <c r="H15" s="32"/>
      <c r="I15" s="32"/>
      <c r="J15" s="32"/>
      <c r="K15" s="32"/>
    </row>
    <row r="16" ht="15.75" customHeight="1"/>
    <row r="17" ht="15.75" customHeight="1">
      <c r="G17" s="24"/>
    </row>
    <row r="18" ht="15.75" customHeight="1"/>
    <row r="19" ht="15.75" customHeight="1">
      <c r="G19" s="30"/>
      <c r="H19" s="30"/>
      <c r="I19" s="30"/>
    </row>
    <row r="20" ht="15.75" customHeight="1"/>
    <row r="21" ht="15.75" customHeight="1"/>
    <row r="22" ht="15.75" customHeight="1">
      <c r="H22" s="3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5" width="14.5"/>
    <col customWidth="1" min="6" max="6" width="17.75"/>
    <col customWidth="1" min="7" max="11" width="14.5"/>
    <col customWidth="1" min="12" max="12" width="14.63"/>
    <col customWidth="1" min="13" max="26" width="14.5"/>
  </cols>
  <sheetData>
    <row r="1" ht="15.75" customHeight="1">
      <c r="A1" s="26" t="s">
        <v>128</v>
      </c>
    </row>
    <row r="2" ht="15.75" customHeight="1">
      <c r="F2" s="24" t="s">
        <v>129</v>
      </c>
    </row>
    <row r="3" ht="15.75" customHeight="1">
      <c r="A3" s="28" t="s">
        <v>1</v>
      </c>
      <c r="B3" s="24">
        <v>2016.0</v>
      </c>
      <c r="C3" s="24">
        <v>2017.0</v>
      </c>
      <c r="D3" s="24">
        <v>2018.0</v>
      </c>
      <c r="E3" s="24">
        <v>2019.0</v>
      </c>
      <c r="G3" s="24">
        <v>2020.0</v>
      </c>
      <c r="H3" s="24">
        <v>2021.0</v>
      </c>
      <c r="I3" s="24">
        <v>2022.0</v>
      </c>
      <c r="J3" s="24">
        <v>2023.0</v>
      </c>
      <c r="K3" s="24">
        <v>2024.0</v>
      </c>
      <c r="L3" s="24" t="s">
        <v>130</v>
      </c>
    </row>
    <row r="4" ht="15.75" customHeight="1">
      <c r="A4" s="26" t="s">
        <v>131</v>
      </c>
      <c r="B4" s="34">
        <f>Financials!B3</f>
        <v>94163</v>
      </c>
      <c r="C4" s="34">
        <f>Financials!C3</f>
        <v>98282</v>
      </c>
      <c r="D4" s="34">
        <f>Financials!D3</f>
        <v>96855</v>
      </c>
      <c r="E4" s="34">
        <f>Financials!E3</f>
        <v>104210</v>
      </c>
      <c r="G4" s="34">
        <f>E4*(F5+1)</f>
        <v>107862.9812</v>
      </c>
      <c r="H4" s="34">
        <f t="shared" ref="H4:K4" si="1">G4*($F$5+1)</f>
        <v>111644.0141</v>
      </c>
      <c r="I4" s="34">
        <f t="shared" si="1"/>
        <v>115557.5875</v>
      </c>
      <c r="J4" s="34">
        <f t="shared" si="1"/>
        <v>119608.3474</v>
      </c>
      <c r="K4" s="34">
        <f t="shared" si="1"/>
        <v>123801.1028</v>
      </c>
    </row>
    <row r="5" ht="15.75" customHeight="1">
      <c r="A5" s="28" t="s">
        <v>132</v>
      </c>
      <c r="C5" s="35">
        <f t="shared" ref="C5:E5" si="2">C4/B4-1</f>
        <v>0.0437432962</v>
      </c>
      <c r="D5" s="35">
        <f t="shared" si="2"/>
        <v>-0.01451944405</v>
      </c>
      <c r="E5" s="35">
        <f t="shared" si="2"/>
        <v>0.07593825822</v>
      </c>
      <c r="F5" s="35">
        <f>AVERAGE(B5:E5)</f>
        <v>0.03505403679</v>
      </c>
      <c r="G5" s="36"/>
      <c r="H5" s="36"/>
      <c r="I5" s="36"/>
      <c r="J5" s="36"/>
      <c r="K5" s="36"/>
    </row>
    <row r="6" ht="15.75" customHeight="1">
      <c r="A6" s="26" t="s">
        <v>7</v>
      </c>
      <c r="B6" s="34">
        <f>Financials!B8</f>
        <v>84777</v>
      </c>
      <c r="C6" s="34">
        <f>Financials!C8</f>
        <v>88383</v>
      </c>
      <c r="D6" s="34">
        <f>Financials!D8</f>
        <v>87922</v>
      </c>
      <c r="E6" s="34">
        <f>Financials!E8</f>
        <v>96799</v>
      </c>
      <c r="G6" s="34">
        <f>E6*($F$7+1)</f>
        <v>101260.9072</v>
      </c>
      <c r="H6" s="34">
        <f t="shared" ref="H6:K6" si="3">G6*($F$7+1)</f>
        <v>105928.4841</v>
      </c>
      <c r="I6" s="34">
        <f t="shared" si="3"/>
        <v>110811.2109</v>
      </c>
      <c r="J6" s="34">
        <f t="shared" si="3"/>
        <v>115919.0048</v>
      </c>
      <c r="K6" s="34">
        <f t="shared" si="3"/>
        <v>121262.2403</v>
      </c>
    </row>
    <row r="7" ht="15.75" customHeight="1">
      <c r="A7" s="37" t="s">
        <v>133</v>
      </c>
      <c r="C7" s="35">
        <f t="shared" ref="C7:E7" si="4">C6/B6-1</f>
        <v>0.04253512155</v>
      </c>
      <c r="D7" s="35">
        <f t="shared" si="4"/>
        <v>-0.005215935191</v>
      </c>
      <c r="E7" s="35">
        <f t="shared" si="4"/>
        <v>0.1009644913</v>
      </c>
      <c r="F7" s="35">
        <f>AVERAGE(B7:E7)</f>
        <v>0.04609455921</v>
      </c>
      <c r="G7" s="36"/>
      <c r="H7" s="36"/>
      <c r="I7" s="36"/>
      <c r="J7" s="36"/>
      <c r="K7" s="36"/>
    </row>
    <row r="8" ht="15.75" customHeight="1">
      <c r="A8" s="24" t="s">
        <v>134</v>
      </c>
      <c r="B8" s="34">
        <f t="shared" ref="B8:E8" si="5">B4-B6</f>
        <v>9386</v>
      </c>
      <c r="C8" s="34">
        <f t="shared" si="5"/>
        <v>9899</v>
      </c>
      <c r="D8" s="34">
        <f t="shared" si="5"/>
        <v>8933</v>
      </c>
      <c r="E8" s="34">
        <f t="shared" si="5"/>
        <v>7411</v>
      </c>
      <c r="G8" s="34">
        <f t="shared" ref="G8:K8" si="6">G4-G6</f>
        <v>6602.073937</v>
      </c>
      <c r="H8" s="34">
        <f t="shared" si="6"/>
        <v>5715.529964</v>
      </c>
      <c r="I8" s="34">
        <f t="shared" si="6"/>
        <v>4746.376558</v>
      </c>
      <c r="J8" s="34">
        <f t="shared" si="6"/>
        <v>3689.342559</v>
      </c>
      <c r="K8" s="34">
        <f t="shared" si="6"/>
        <v>2538.862538</v>
      </c>
    </row>
    <row r="9" ht="15.75" customHeight="1">
      <c r="A9" s="24" t="s">
        <v>135</v>
      </c>
      <c r="B9" s="35">
        <f>WACC!G4</f>
        <v>0.2850491464</v>
      </c>
      <c r="C9" s="35">
        <f>WACC!H4</f>
        <v>0.18735363</v>
      </c>
      <c r="D9" s="35">
        <f>WACC!I4</f>
        <v>0.2628025345</v>
      </c>
      <c r="E9" s="35">
        <f>WACC!J4</f>
        <v>0.3006462489</v>
      </c>
      <c r="F9" s="38">
        <f>AVERAGE(B9:E9)</f>
        <v>0.25896289</v>
      </c>
      <c r="G9" s="35">
        <f t="shared" ref="G9:K9" si="7">$F$9</f>
        <v>0.25896289</v>
      </c>
      <c r="H9" s="35">
        <f t="shared" si="7"/>
        <v>0.25896289</v>
      </c>
      <c r="I9" s="35">
        <f t="shared" si="7"/>
        <v>0.25896289</v>
      </c>
      <c r="J9" s="35">
        <f t="shared" si="7"/>
        <v>0.25896289</v>
      </c>
      <c r="K9" s="35">
        <f t="shared" si="7"/>
        <v>0.25896289</v>
      </c>
    </row>
    <row r="10" ht="15.75" customHeight="1"/>
    <row r="11" ht="15.75" customHeight="1">
      <c r="A11" s="24" t="s">
        <v>136</v>
      </c>
      <c r="B11" s="34">
        <f>Financials!B91+Financials!B92</f>
        <v>4998</v>
      </c>
      <c r="C11" s="34">
        <f>Financials!C91+Financials!C92</f>
        <v>4822</v>
      </c>
      <c r="D11" s="34">
        <f>Financials!D91+Financials!D92</f>
        <v>5113</v>
      </c>
      <c r="E11" s="34">
        <f>Financials!E91+Financials!E92</f>
        <v>6017</v>
      </c>
      <c r="F11" s="39">
        <f t="shared" ref="F11:F13" si="9">AVERAGE(B11:E11)</f>
        <v>5237.5</v>
      </c>
      <c r="G11" s="34">
        <f t="shared" ref="G11:K11" si="8">$F$11</f>
        <v>5237.5</v>
      </c>
      <c r="H11" s="34">
        <f t="shared" si="8"/>
        <v>5237.5</v>
      </c>
      <c r="I11" s="34">
        <f t="shared" si="8"/>
        <v>5237.5</v>
      </c>
      <c r="J11" s="34">
        <f t="shared" si="8"/>
        <v>5237.5</v>
      </c>
      <c r="K11" s="34">
        <f t="shared" si="8"/>
        <v>5237.5</v>
      </c>
    </row>
    <row r="12" ht="15.75" customHeight="1">
      <c r="A12" s="40" t="s">
        <v>137</v>
      </c>
      <c r="B12" s="34">
        <f>Financials!B101</f>
        <v>-5823</v>
      </c>
      <c r="C12" s="34">
        <f>Financials!C101</f>
        <v>-7112</v>
      </c>
      <c r="D12" s="34">
        <f>Financials!D101</f>
        <v>-7777</v>
      </c>
      <c r="E12" s="34">
        <f>Financials!E101</f>
        <v>-6902</v>
      </c>
      <c r="F12" s="39">
        <f t="shared" si="9"/>
        <v>-6903.5</v>
      </c>
      <c r="G12" s="34">
        <f t="shared" ref="G12:K12" si="10">$F$12</f>
        <v>-6903.5</v>
      </c>
      <c r="H12" s="34">
        <f t="shared" si="10"/>
        <v>-6903.5</v>
      </c>
      <c r="I12" s="34">
        <f t="shared" si="10"/>
        <v>-6903.5</v>
      </c>
      <c r="J12" s="34">
        <f t="shared" si="10"/>
        <v>-6903.5</v>
      </c>
      <c r="K12" s="34">
        <f t="shared" si="10"/>
        <v>-6903.5</v>
      </c>
    </row>
    <row r="13" ht="15.75" customHeight="1">
      <c r="A13" s="24" t="s">
        <v>138</v>
      </c>
      <c r="B13" s="34">
        <f>Financials!B99</f>
        <v>-1112</v>
      </c>
      <c r="C13" s="34">
        <f>Financials!C99</f>
        <v>-735</v>
      </c>
      <c r="D13" s="34">
        <f>Financials!D99</f>
        <v>-1506</v>
      </c>
      <c r="E13" s="34">
        <f>Financials!E99</f>
        <v>-3402</v>
      </c>
      <c r="F13" s="39">
        <f t="shared" si="9"/>
        <v>-1688.75</v>
      </c>
      <c r="G13" s="34">
        <f t="shared" ref="G13:K13" si="11">$F$13</f>
        <v>-1688.75</v>
      </c>
      <c r="H13" s="34">
        <f t="shared" si="11"/>
        <v>-1688.75</v>
      </c>
      <c r="I13" s="34">
        <f t="shared" si="11"/>
        <v>-1688.75</v>
      </c>
      <c r="J13" s="34">
        <f t="shared" si="11"/>
        <v>-1688.75</v>
      </c>
      <c r="K13" s="34">
        <f t="shared" si="11"/>
        <v>-1688.75</v>
      </c>
    </row>
    <row r="14" ht="15.75" customHeight="1"/>
    <row r="15" ht="15.75" customHeight="1"/>
    <row r="16" ht="15.75" customHeight="1"/>
    <row r="17" ht="15.75" customHeight="1">
      <c r="F17" s="24" t="s">
        <v>139</v>
      </c>
      <c r="G17" s="41">
        <f t="shared" ref="G17:K17" si="12">G8*(1-G9)+G11+G12-G13</f>
        <v>4915.131791</v>
      </c>
      <c r="H17" s="41">
        <f t="shared" si="12"/>
        <v>4258.169807</v>
      </c>
      <c r="I17" s="41">
        <f t="shared" si="12"/>
        <v>3539.991168</v>
      </c>
      <c r="J17" s="41">
        <f t="shared" si="12"/>
        <v>2756.689748</v>
      </c>
      <c r="K17" s="41">
        <f t="shared" si="12"/>
        <v>1904.141358</v>
      </c>
      <c r="L17" s="42">
        <f>G22</f>
        <v>155527.2508</v>
      </c>
    </row>
    <row r="18" ht="15.75" customHeight="1"/>
    <row r="19" ht="15.75" customHeight="1">
      <c r="A19" s="24" t="s">
        <v>140</v>
      </c>
      <c r="B19" s="43">
        <f t="array" ref="B19">NPV(WACC!B11, G17:L17)</f>
        <v>142248.1753</v>
      </c>
      <c r="C19" s="44" t="s">
        <v>141</v>
      </c>
    </row>
    <row r="20" ht="15.75" customHeight="1">
      <c r="A20" s="24" t="s">
        <v>142</v>
      </c>
      <c r="B20" s="34">
        <f>Financials!E42</f>
        <v>12036</v>
      </c>
      <c r="F20" s="26" t="s">
        <v>143</v>
      </c>
      <c r="G20" s="45">
        <v>20.0</v>
      </c>
    </row>
    <row r="21" ht="15.75" customHeight="1">
      <c r="A21" s="24" t="s">
        <v>144</v>
      </c>
      <c r="B21" s="34">
        <f>Financials!E67+Financials!E64+Financials!E63</f>
        <v>114644</v>
      </c>
      <c r="F21" s="24" t="s">
        <v>145</v>
      </c>
    </row>
    <row r="22" ht="15.75" customHeight="1">
      <c r="A22" s="24" t="s">
        <v>146</v>
      </c>
      <c r="B22" s="43">
        <f>B19+B20-B21</f>
        <v>39640.17527</v>
      </c>
      <c r="F22" s="26" t="s">
        <v>147</v>
      </c>
      <c r="G22" s="46">
        <f>(K8+K11)*G20</f>
        <v>155527.2508</v>
      </c>
    </row>
    <row r="23" ht="15.75" customHeight="1">
      <c r="A23" s="26" t="s">
        <v>148</v>
      </c>
      <c r="B23" s="47">
        <v>659.0</v>
      </c>
    </row>
    <row r="24" ht="15.75" customHeight="1">
      <c r="A24" s="24" t="s">
        <v>149</v>
      </c>
      <c r="B24" s="48">
        <f>B22/B23</f>
        <v>60.15201103</v>
      </c>
    </row>
    <row r="25" ht="15.75" customHeight="1">
      <c r="A25" s="26" t="s">
        <v>150</v>
      </c>
      <c r="B25" s="47">
        <v>73.14</v>
      </c>
      <c r="C25" s="44" t="s">
        <v>151</v>
      </c>
    </row>
    <row r="26" ht="15.75" customHeight="1">
      <c r="A26" s="24" t="s">
        <v>152</v>
      </c>
      <c r="B26" s="49">
        <f>B24/B25-1</f>
        <v>-0.1775770983</v>
      </c>
      <c r="C26" s="50" t="s">
        <v>153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