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activeTab="2"/>
  </bookViews>
  <sheets>
    <sheet name="facturas" sheetId="1" r:id="rId1"/>
    <sheet name="clientes" sheetId="2" r:id="rId2"/>
    <sheet name="factura" sheetId="3" r:id="rId3"/>
  </sheets>
  <calcPr calcId="124519" iterateDelta="1E-4"/>
</workbook>
</file>

<file path=xl/calcChain.xml><?xml version="1.0" encoding="utf-8"?>
<calcChain xmlns="http://schemas.openxmlformats.org/spreadsheetml/2006/main">
  <c r="H27" i="3"/>
  <c r="H28"/>
  <c r="H29"/>
  <c r="H30"/>
  <c r="H26"/>
  <c r="G27"/>
  <c r="G28"/>
  <c r="G29"/>
  <c r="G30"/>
  <c r="G26"/>
  <c r="F30"/>
  <c r="F27"/>
  <c r="F28"/>
  <c r="F29"/>
  <c r="F26"/>
  <c r="E27"/>
  <c r="E28"/>
  <c r="E29"/>
  <c r="E30"/>
  <c r="E26"/>
  <c r="D27"/>
  <c r="D28"/>
  <c r="D29"/>
  <c r="D30"/>
  <c r="D26"/>
  <c r="D13"/>
  <c r="C20"/>
  <c r="H19"/>
  <c r="C19"/>
  <c r="H18"/>
  <c r="C18"/>
  <c r="H17"/>
  <c r="J21" i="1"/>
  <c r="D21"/>
  <c r="A21"/>
  <c r="J20"/>
  <c r="D20"/>
  <c r="A20"/>
  <c r="J19"/>
  <c r="D19"/>
  <c r="A19"/>
  <c r="J18"/>
  <c r="D18"/>
  <c r="A18"/>
  <c r="J17"/>
  <c r="D17"/>
  <c r="A17"/>
  <c r="J16"/>
  <c r="D16"/>
  <c r="A16"/>
  <c r="J15"/>
  <c r="D15"/>
  <c r="A15"/>
  <c r="L14"/>
  <c r="M14" s="1"/>
  <c r="D14"/>
  <c r="A14"/>
  <c r="L13"/>
  <c r="M13" s="1"/>
  <c r="D13"/>
  <c r="A13"/>
  <c r="L12"/>
  <c r="M12" s="1"/>
  <c r="D12"/>
  <c r="A12"/>
  <c r="J11"/>
  <c r="D11"/>
  <c r="A11"/>
  <c r="J10"/>
  <c r="D10"/>
  <c r="C17" i="3" s="1"/>
  <c r="A10" i="1"/>
  <c r="J9"/>
  <c r="D9"/>
  <c r="A9"/>
  <c r="J8"/>
  <c r="D8"/>
  <c r="A8"/>
  <c r="J7"/>
  <c r="D7"/>
  <c r="A7"/>
  <c r="J6"/>
  <c r="D6"/>
  <c r="A6"/>
  <c r="J5"/>
  <c r="D5"/>
  <c r="A5"/>
  <c r="J4"/>
  <c r="D4"/>
  <c r="A4"/>
  <c r="J3"/>
  <c r="D3"/>
  <c r="A3"/>
  <c r="J2"/>
  <c r="D2"/>
  <c r="A2"/>
  <c r="G32" i="3" s="1"/>
  <c r="L2" i="1" l="1"/>
  <c r="M2" s="1"/>
  <c r="L3"/>
  <c r="M3" s="1"/>
  <c r="L4"/>
  <c r="M4" s="1"/>
  <c r="L5"/>
  <c r="M5" s="1"/>
  <c r="L6"/>
  <c r="M6" s="1"/>
  <c r="L7"/>
  <c r="M7" s="1"/>
  <c r="L8"/>
  <c r="M8" s="1"/>
  <c r="L9"/>
  <c r="M9" s="1"/>
  <c r="L10"/>
  <c r="M10" s="1"/>
  <c r="L11"/>
  <c r="M11" s="1"/>
  <c r="L15"/>
  <c r="M15" s="1"/>
  <c r="L16"/>
  <c r="M16" s="1"/>
  <c r="L17"/>
  <c r="M17" s="1"/>
  <c r="L18"/>
  <c r="M18" s="1"/>
  <c r="L19"/>
  <c r="M19" s="1"/>
  <c r="L20"/>
  <c r="M20" s="1"/>
  <c r="L21"/>
  <c r="M21" s="1"/>
  <c r="B26" i="3"/>
  <c r="B27"/>
  <c r="B28"/>
  <c r="B29"/>
  <c r="B30"/>
  <c r="B31"/>
  <c r="D31"/>
  <c r="E31"/>
  <c r="F31"/>
  <c r="G31"/>
  <c r="H34" l="1"/>
  <c r="F33"/>
  <c r="H36" s="1"/>
</calcChain>
</file>

<file path=xl/sharedStrings.xml><?xml version="1.0" encoding="utf-8"?>
<sst xmlns="http://schemas.openxmlformats.org/spreadsheetml/2006/main" count="140" uniqueCount="92">
  <si>
    <t>Nº Factura</t>
  </si>
  <si>
    <t>ID Cliente</t>
  </si>
  <si>
    <t>Cliente</t>
  </si>
  <si>
    <t>Fecha Emision Factura</t>
  </si>
  <si>
    <t>Fecha realización servicio</t>
  </si>
  <si>
    <t>Concepto</t>
  </si>
  <si>
    <t>Horas</t>
  </si>
  <si>
    <t>Tarifa Hora</t>
  </si>
  <si>
    <t>Coste</t>
  </si>
  <si>
    <t>IRPF (%)</t>
  </si>
  <si>
    <t>IRPF (cantidad)</t>
  </si>
  <si>
    <t>Total</t>
  </si>
  <si>
    <t>Pagado</t>
  </si>
  <si>
    <t>Clase matemáticas</t>
  </si>
  <si>
    <t>22-24/03/2012</t>
  </si>
  <si>
    <t>Clase lengua</t>
  </si>
  <si>
    <t>Clase historia</t>
  </si>
  <si>
    <t>Clase ruso</t>
  </si>
  <si>
    <t>23/04/2012,25/04/2012,27/04/2012</t>
  </si>
  <si>
    <t>Clase japonés</t>
  </si>
  <si>
    <t>XX/05/2012</t>
  </si>
  <si>
    <t>21-23/05/2012</t>
  </si>
  <si>
    <t>14-18/05/2012</t>
  </si>
  <si>
    <t>28-31/05/2012</t>
  </si>
  <si>
    <t>Taxi</t>
  </si>
  <si>
    <t>-</t>
  </si>
  <si>
    <t>Avión</t>
  </si>
  <si>
    <t>Autobús</t>
  </si>
  <si>
    <t>03-12/06/2012</t>
  </si>
  <si>
    <t>Transporte Autobús</t>
  </si>
  <si>
    <t>19-28/07/2012</t>
  </si>
  <si>
    <t>02-04/07/2012</t>
  </si>
  <si>
    <t>02-04/07/2013</t>
  </si>
  <si>
    <t>Dirección</t>
  </si>
  <si>
    <t>NIF/CIF</t>
  </si>
  <si>
    <t>C.P.</t>
  </si>
  <si>
    <t>Municipio</t>
  </si>
  <si>
    <t>Provincia</t>
  </si>
  <si>
    <t>Teléfono</t>
  </si>
  <si>
    <t>Actividad</t>
  </si>
  <si>
    <t>Juan</t>
  </si>
  <si>
    <t>C/13 Rue del Percebe</t>
  </si>
  <si>
    <t>B-809270403</t>
  </si>
  <si>
    <t>Gijón</t>
  </si>
  <si>
    <t>Asturias</t>
  </si>
  <si>
    <t>formación</t>
  </si>
  <si>
    <t>Pepito</t>
  </si>
  <si>
    <t>C/Camino del Rubín, 2º, 4ºI</t>
  </si>
  <si>
    <t>B-629935380</t>
  </si>
  <si>
    <t>Rodolfo</t>
  </si>
  <si>
    <t>C/Jovellanos 15º</t>
  </si>
  <si>
    <t>B-61 429 452</t>
  </si>
  <si>
    <t>María</t>
  </si>
  <si>
    <t>C/Cabrales S/N</t>
  </si>
  <si>
    <t>W-36472832</t>
  </si>
  <si>
    <t>Sofía</t>
  </si>
  <si>
    <t>Paseo de Begoña 16</t>
  </si>
  <si>
    <t>P-48173647</t>
  </si>
  <si>
    <t>Hugo</t>
  </si>
  <si>
    <t>C/ Saavedra, 17</t>
  </si>
  <si>
    <t>O-19283746</t>
  </si>
  <si>
    <t>Mercedes</t>
  </si>
  <si>
    <t>C/Juan Alvargonzalez</t>
  </si>
  <si>
    <t>L-83748291</t>
  </si>
  <si>
    <t>Nysea</t>
  </si>
  <si>
    <t>C/Asturias 19</t>
  </si>
  <si>
    <t>B-65762502</t>
  </si>
  <si>
    <t>FACTURA</t>
  </si>
  <si>
    <t>Pablo Monteserín</t>
  </si>
  <si>
    <t>NIF: 43453454-W</t>
  </si>
  <si>
    <t>C/Gabrales nº33</t>
  </si>
  <si>
    <t>33203 Asturias</t>
  </si>
  <si>
    <t>Tlf: 647384758</t>
  </si>
  <si>
    <t>Nº DE FACTURA:</t>
  </si>
  <si>
    <t>FECHA:</t>
  </si>
  <si>
    <t>Datos del cliente</t>
  </si>
  <si>
    <t>Nombre:</t>
  </si>
  <si>
    <t>Municipio:</t>
  </si>
  <si>
    <t>NIF/CIF:</t>
  </si>
  <si>
    <t>Provincia:</t>
  </si>
  <si>
    <t>Dirección:</t>
  </si>
  <si>
    <t>Teléfono:</t>
  </si>
  <si>
    <t>C.P.:</t>
  </si>
  <si>
    <t>Servicio</t>
  </si>
  <si>
    <t>Tarifa/Hora</t>
  </si>
  <si>
    <t>nº horas</t>
  </si>
  <si>
    <t>Devengos</t>
  </si>
  <si>
    <t>IRPF</t>
  </si>
  <si>
    <t>Cuota</t>
  </si>
  <si>
    <t>A. Total devengado:</t>
  </si>
  <si>
    <t>B. Total a deducir:</t>
  </si>
  <si>
    <t>Líquido a percibir(A-B):</t>
  </si>
</sst>
</file>

<file path=xl/styles.xml><?xml version="1.0" encoding="utf-8"?>
<styleSheet xmlns="http://schemas.openxmlformats.org/spreadsheetml/2006/main">
  <numFmts count="3">
    <numFmt numFmtId="164" formatCode="m/d/yyyy"/>
    <numFmt numFmtId="165" formatCode="#,##0.00&quot; €&quot;;[Red]\-#,##0.00&quot; €&quot;"/>
    <numFmt numFmtId="166" formatCode="#,##0.00\ [$€-1]"/>
  </numFmts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9" fontId="0" fillId="0" borderId="0" xfId="0" applyNumberFormat="1"/>
    <xf numFmtId="0" fontId="1" fillId="0" borderId="1" xfId="0" applyFont="1" applyBorder="1"/>
    <xf numFmtId="9" fontId="1" fillId="0" borderId="1" xfId="0" applyNumberFormat="1" applyFont="1" applyBorder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2" borderId="1" xfId="0" applyFill="1" applyBorder="1"/>
    <xf numFmtId="0" fontId="2" fillId="2" borderId="1" xfId="0" applyFont="1" applyFill="1" applyBorder="1"/>
    <xf numFmtId="9" fontId="0" fillId="2" borderId="1" xfId="0" applyNumberFormat="1" applyFill="1" applyBorder="1"/>
    <xf numFmtId="0" fontId="0" fillId="2" borderId="0" xfId="0" applyFill="1"/>
    <xf numFmtId="9" fontId="0" fillId="2" borderId="0" xfId="0" applyNumberFormat="1" applyFill="1"/>
    <xf numFmtId="0" fontId="0" fillId="0" borderId="1" xfId="0" applyBorder="1"/>
    <xf numFmtId="9" fontId="0" fillId="0" borderId="1" xfId="0" applyNumberFormat="1" applyBorder="1"/>
    <xf numFmtId="9" fontId="1" fillId="0" borderId="0" xfId="0" applyNumberFormat="1" applyFont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166" fontId="1" fillId="0" borderId="1" xfId="0" applyNumberFormat="1" applyFont="1" applyBorder="1"/>
    <xf numFmtId="166" fontId="0" fillId="0" borderId="0" xfId="0" applyNumberForma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O9" sqref="O9"/>
    </sheetView>
  </sheetViews>
  <sheetFormatPr defaultRowHeight="15"/>
  <cols>
    <col min="5" max="5" width="16.7109375" customWidth="1"/>
    <col min="6" max="6" width="28.28515625" customWidth="1"/>
    <col min="10" max="10" width="9.140625" style="19"/>
    <col min="14" max="14" width="16" customWidth="1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8" t="s">
        <v>8</v>
      </c>
      <c r="K1" s="3" t="s">
        <v>9</v>
      </c>
      <c r="L1" s="2" t="s">
        <v>10</v>
      </c>
      <c r="M1" s="2" t="s">
        <v>11</v>
      </c>
      <c r="N1" s="2" t="s">
        <v>12</v>
      </c>
    </row>
    <row r="2" spans="1:14">
      <c r="A2">
        <f>COUNTIF(facturas!$B$1:B2,factura!$D$12)</f>
        <v>0</v>
      </c>
      <c r="B2">
        <v>1</v>
      </c>
      <c r="C2">
        <v>1</v>
      </c>
      <c r="D2" t="str">
        <f>VLOOKUP(C2,clientes!$A$2:$I$9,2,0)</f>
        <v>Juan</v>
      </c>
      <c r="E2" s="4"/>
      <c r="G2" t="s">
        <v>13</v>
      </c>
      <c r="H2">
        <v>10</v>
      </c>
      <c r="I2">
        <v>4</v>
      </c>
      <c r="J2" s="19">
        <f t="shared" ref="J2:J11" si="0">IF(ISERROR(H2*I2),"-",H2*I2)</f>
        <v>40</v>
      </c>
      <c r="K2" s="1">
        <v>0.15</v>
      </c>
      <c r="L2" s="5">
        <f t="shared" ref="L2:L21" si="1">IF(ISERROR(J2*K2),"-",J2*K2)</f>
        <v>6</v>
      </c>
      <c r="M2" s="5">
        <f t="shared" ref="M2:M21" si="2">IF(ISERROR(J2-L2),"-",J2-L2)</f>
        <v>34</v>
      </c>
      <c r="N2" s="4">
        <v>41081</v>
      </c>
    </row>
    <row r="3" spans="1:14">
      <c r="A3">
        <f>COUNTIF(facturas!$B$1:B3,factura!$D$12)</f>
        <v>0</v>
      </c>
      <c r="B3">
        <v>2</v>
      </c>
      <c r="C3">
        <v>2</v>
      </c>
      <c r="D3" t="str">
        <f>VLOOKUP(C3,clientes!$A$2:$I$9,2,0)</f>
        <v>Pepito</v>
      </c>
      <c r="E3" s="4">
        <v>40996</v>
      </c>
      <c r="F3" t="s">
        <v>14</v>
      </c>
      <c r="G3" t="s">
        <v>15</v>
      </c>
      <c r="H3">
        <v>10</v>
      </c>
      <c r="I3">
        <v>5</v>
      </c>
      <c r="J3" s="19">
        <f t="shared" si="0"/>
        <v>50</v>
      </c>
      <c r="K3" s="1">
        <v>0.15</v>
      </c>
      <c r="L3" s="5">
        <f t="shared" si="1"/>
        <v>7.5</v>
      </c>
      <c r="M3" s="5">
        <f t="shared" si="2"/>
        <v>42.5</v>
      </c>
      <c r="N3" s="4">
        <v>41001</v>
      </c>
    </row>
    <row r="4" spans="1:14">
      <c r="A4">
        <f>COUNTIF(facturas!$B$1:B4,factura!$D$12)</f>
        <v>0</v>
      </c>
      <c r="B4">
        <v>3</v>
      </c>
      <c r="C4">
        <v>2</v>
      </c>
      <c r="D4" t="str">
        <f>VLOOKUP(C4,clientes!$A$2:$I$9,2,0)</f>
        <v>Pepito</v>
      </c>
      <c r="E4" s="4">
        <v>40996</v>
      </c>
      <c r="G4" t="s">
        <v>16</v>
      </c>
      <c r="H4">
        <v>10</v>
      </c>
      <c r="I4">
        <v>4</v>
      </c>
      <c r="J4" s="19">
        <f t="shared" si="0"/>
        <v>40</v>
      </c>
      <c r="K4" s="1">
        <v>0.15</v>
      </c>
      <c r="L4" s="5">
        <f t="shared" si="1"/>
        <v>6</v>
      </c>
      <c r="M4" s="5">
        <f t="shared" si="2"/>
        <v>34</v>
      </c>
      <c r="N4" s="4">
        <v>41025</v>
      </c>
    </row>
    <row r="5" spans="1:14">
      <c r="A5">
        <f>COUNTIF(facturas!$B$1:B5,factura!$D$12)</f>
        <v>0</v>
      </c>
      <c r="B5">
        <v>4</v>
      </c>
      <c r="C5">
        <v>2</v>
      </c>
      <c r="D5" t="str">
        <f>VLOOKUP(C5,clientes!$A$2:$I$9,2,0)</f>
        <v>Pepito</v>
      </c>
      <c r="E5" s="4">
        <v>40996</v>
      </c>
      <c r="G5" t="s">
        <v>17</v>
      </c>
      <c r="H5">
        <v>25</v>
      </c>
      <c r="I5">
        <v>2</v>
      </c>
      <c r="J5" s="19">
        <f t="shared" si="0"/>
        <v>50</v>
      </c>
      <c r="K5" s="1">
        <v>0.15</v>
      </c>
      <c r="L5" s="5">
        <f t="shared" si="1"/>
        <v>7.5</v>
      </c>
      <c r="M5" s="5">
        <f t="shared" si="2"/>
        <v>42.5</v>
      </c>
      <c r="N5" s="4">
        <v>41043</v>
      </c>
    </row>
    <row r="6" spans="1:14">
      <c r="A6">
        <f>COUNTIF(facturas!$B$1:B6,factura!$D$12)</f>
        <v>0</v>
      </c>
      <c r="B6">
        <v>5</v>
      </c>
      <c r="C6">
        <v>3</v>
      </c>
      <c r="D6" t="str">
        <f>VLOOKUP(C6,clientes!$A$2:$I$9,2,0)</f>
        <v>Rodolfo</v>
      </c>
      <c r="E6" s="4">
        <v>41029</v>
      </c>
      <c r="F6" t="s">
        <v>18</v>
      </c>
      <c r="G6" t="s">
        <v>19</v>
      </c>
      <c r="H6">
        <v>25</v>
      </c>
      <c r="I6">
        <v>5</v>
      </c>
      <c r="J6" s="19">
        <f t="shared" si="0"/>
        <v>125</v>
      </c>
      <c r="K6" s="1">
        <v>0.15</v>
      </c>
      <c r="L6" s="5">
        <f t="shared" si="1"/>
        <v>18.75</v>
      </c>
      <c r="M6" s="5">
        <f t="shared" si="2"/>
        <v>106.25</v>
      </c>
      <c r="N6" s="4">
        <v>41038</v>
      </c>
    </row>
    <row r="7" spans="1:14">
      <c r="A7">
        <f>COUNTIF(facturas!$B$1:B7,factura!$D$12)</f>
        <v>0</v>
      </c>
      <c r="B7">
        <v>6</v>
      </c>
      <c r="C7">
        <v>3</v>
      </c>
      <c r="D7" t="str">
        <f>VLOOKUP(C7,clientes!$A$2:$I$9,2,0)</f>
        <v>Rodolfo</v>
      </c>
      <c r="E7" s="4">
        <v>41029</v>
      </c>
      <c r="F7" t="s">
        <v>20</v>
      </c>
      <c r="G7" t="s">
        <v>13</v>
      </c>
      <c r="H7">
        <v>3</v>
      </c>
      <c r="I7">
        <v>3</v>
      </c>
      <c r="J7" s="19">
        <f t="shared" si="0"/>
        <v>9</v>
      </c>
      <c r="K7" s="1">
        <v>0.15</v>
      </c>
      <c r="L7" s="5">
        <f t="shared" si="1"/>
        <v>1.3499999999999999</v>
      </c>
      <c r="M7" s="5">
        <f t="shared" si="2"/>
        <v>7.65</v>
      </c>
      <c r="N7" s="4">
        <v>41081</v>
      </c>
    </row>
    <row r="8" spans="1:14">
      <c r="A8">
        <f>COUNTIF(facturas!$B$1:B8,factura!$D$12)</f>
        <v>0</v>
      </c>
      <c r="B8">
        <v>7</v>
      </c>
      <c r="C8">
        <v>2</v>
      </c>
      <c r="D8" t="str">
        <f>VLOOKUP(C8,clientes!$A$2:$I$9,2,0)</f>
        <v>Pepito</v>
      </c>
      <c r="E8" s="4">
        <v>41054</v>
      </c>
      <c r="F8" t="s">
        <v>21</v>
      </c>
      <c r="G8" t="s">
        <v>19</v>
      </c>
      <c r="H8">
        <v>15</v>
      </c>
      <c r="I8">
        <v>4</v>
      </c>
      <c r="J8" s="19">
        <f t="shared" si="0"/>
        <v>60</v>
      </c>
      <c r="K8" s="1">
        <v>0.15</v>
      </c>
      <c r="L8" s="5">
        <f t="shared" si="1"/>
        <v>9</v>
      </c>
      <c r="M8" s="5">
        <f t="shared" si="2"/>
        <v>51</v>
      </c>
      <c r="N8" s="4">
        <v>41071</v>
      </c>
    </row>
    <row r="9" spans="1:14">
      <c r="A9">
        <f>COUNTIF(facturas!$B$1:B9,factura!$D$12)</f>
        <v>0</v>
      </c>
      <c r="B9">
        <v>8</v>
      </c>
      <c r="C9">
        <v>2</v>
      </c>
      <c r="D9" t="str">
        <f>VLOOKUP(C9,clientes!$A$2:$I$9,2,0)</f>
        <v>Pepito</v>
      </c>
      <c r="E9" s="4">
        <v>41055</v>
      </c>
      <c r="F9" t="s">
        <v>22</v>
      </c>
      <c r="G9" t="s">
        <v>17</v>
      </c>
      <c r="H9">
        <v>25</v>
      </c>
      <c r="I9">
        <v>6</v>
      </c>
      <c r="J9" s="19">
        <f t="shared" si="0"/>
        <v>150</v>
      </c>
      <c r="K9" s="1">
        <v>0.15</v>
      </c>
      <c r="L9" s="5">
        <f t="shared" si="1"/>
        <v>22.5</v>
      </c>
      <c r="M9" s="5">
        <f t="shared" si="2"/>
        <v>127.5</v>
      </c>
      <c r="N9" s="4">
        <v>41071</v>
      </c>
    </row>
    <row r="10" spans="1:14">
      <c r="A10">
        <f>COUNTIF(facturas!$B$1:B10,factura!$D$12)</f>
        <v>1</v>
      </c>
      <c r="B10">
        <v>9</v>
      </c>
      <c r="C10">
        <v>2</v>
      </c>
      <c r="D10" t="str">
        <f>VLOOKUP(C10,clientes!$A$2:$I$9,2,0)</f>
        <v>Pepito</v>
      </c>
      <c r="E10" s="4">
        <v>40332</v>
      </c>
      <c r="F10" t="s">
        <v>23</v>
      </c>
      <c r="G10" t="s">
        <v>17</v>
      </c>
      <c r="H10">
        <v>15</v>
      </c>
      <c r="I10">
        <v>4</v>
      </c>
      <c r="J10" s="19">
        <f t="shared" si="0"/>
        <v>60</v>
      </c>
      <c r="K10" s="1">
        <v>0.15</v>
      </c>
      <c r="L10" s="5">
        <f t="shared" si="1"/>
        <v>9</v>
      </c>
      <c r="M10" s="5">
        <f t="shared" si="2"/>
        <v>51</v>
      </c>
      <c r="N10" s="4"/>
    </row>
    <row r="11" spans="1:14">
      <c r="A11">
        <f>COUNTIF(facturas!$B$1:B11,factura!$D$12)</f>
        <v>2</v>
      </c>
      <c r="B11">
        <v>9</v>
      </c>
      <c r="C11">
        <v>2</v>
      </c>
      <c r="D11" t="str">
        <f>VLOOKUP(C11,clientes!$A$2:$I$9,2,0)</f>
        <v>Pepito</v>
      </c>
      <c r="E11" s="4">
        <v>41055</v>
      </c>
      <c r="F11" s="4">
        <v>41058</v>
      </c>
      <c r="G11" t="s">
        <v>13</v>
      </c>
      <c r="H11">
        <v>10</v>
      </c>
      <c r="I11">
        <v>2</v>
      </c>
      <c r="J11" s="19">
        <f t="shared" si="0"/>
        <v>20</v>
      </c>
      <c r="K11" s="1">
        <v>0.15</v>
      </c>
      <c r="L11" s="5">
        <f t="shared" si="1"/>
        <v>3</v>
      </c>
      <c r="M11" s="5">
        <f t="shared" si="2"/>
        <v>17</v>
      </c>
      <c r="N11" s="4">
        <v>41072</v>
      </c>
    </row>
    <row r="12" spans="1:14">
      <c r="A12">
        <f>COUNTIF(facturas!$B$1:B12,factura!$D$12)</f>
        <v>3</v>
      </c>
      <c r="B12">
        <v>9</v>
      </c>
      <c r="C12">
        <v>2</v>
      </c>
      <c r="D12" t="str">
        <f>VLOOKUP(C12,clientes!$A$2:$I$9,2,0)</f>
        <v>Pepito</v>
      </c>
      <c r="E12" s="4">
        <v>41055</v>
      </c>
      <c r="F12" s="4">
        <v>41058</v>
      </c>
      <c r="G12" t="s">
        <v>24</v>
      </c>
      <c r="H12" t="s">
        <v>25</v>
      </c>
      <c r="I12" t="s">
        <v>25</v>
      </c>
      <c r="J12" s="19">
        <v>32</v>
      </c>
      <c r="K12" s="1" t="s">
        <v>25</v>
      </c>
      <c r="L12" s="5" t="str">
        <f t="shared" si="1"/>
        <v>-</v>
      </c>
      <c r="M12" s="5" t="str">
        <f t="shared" si="2"/>
        <v>-</v>
      </c>
      <c r="N12" s="4"/>
    </row>
    <row r="13" spans="1:14">
      <c r="A13">
        <f>COUNTIF(facturas!$B$1:B13,factura!$D$12)</f>
        <v>4</v>
      </c>
      <c r="B13">
        <v>9</v>
      </c>
      <c r="C13">
        <v>2</v>
      </c>
      <c r="D13" t="str">
        <f>VLOOKUP(C13,clientes!$A$2:$I$9,2,0)</f>
        <v>Pepito</v>
      </c>
      <c r="E13" s="4">
        <v>41055</v>
      </c>
      <c r="F13" s="4">
        <v>41058</v>
      </c>
      <c r="G13" t="s">
        <v>26</v>
      </c>
      <c r="H13" t="s">
        <v>25</v>
      </c>
      <c r="I13" t="s">
        <v>25</v>
      </c>
      <c r="J13" s="19">
        <v>10</v>
      </c>
      <c r="K13" s="1" t="s">
        <v>25</v>
      </c>
      <c r="L13" s="5" t="str">
        <f t="shared" si="1"/>
        <v>-</v>
      </c>
      <c r="M13" s="5" t="str">
        <f t="shared" si="2"/>
        <v>-</v>
      </c>
      <c r="N13" s="4">
        <v>41074</v>
      </c>
    </row>
    <row r="14" spans="1:14">
      <c r="A14">
        <f>COUNTIF(facturas!$B$1:B14,factura!$D$12)</f>
        <v>5</v>
      </c>
      <c r="B14">
        <v>9</v>
      </c>
      <c r="C14">
        <v>2</v>
      </c>
      <c r="D14" t="str">
        <f>VLOOKUP(C14,clientes!$A$2:$I$9,2,0)</f>
        <v>Pepito</v>
      </c>
      <c r="E14" s="4">
        <v>41055</v>
      </c>
      <c r="F14" s="4">
        <v>41058</v>
      </c>
      <c r="G14" t="s">
        <v>27</v>
      </c>
      <c r="H14" t="s">
        <v>25</v>
      </c>
      <c r="I14" t="s">
        <v>25</v>
      </c>
      <c r="J14" s="19">
        <v>32</v>
      </c>
      <c r="K14" s="1" t="s">
        <v>25</v>
      </c>
      <c r="L14" s="5" t="str">
        <f t="shared" si="1"/>
        <v>-</v>
      </c>
      <c r="M14" s="5" t="str">
        <f t="shared" si="2"/>
        <v>-</v>
      </c>
      <c r="N14" s="4">
        <v>41075</v>
      </c>
    </row>
    <row r="15" spans="1:14">
      <c r="A15">
        <f>COUNTIF(facturas!$B$1:B15,factura!$D$12)</f>
        <v>5</v>
      </c>
      <c r="B15">
        <v>10</v>
      </c>
      <c r="C15">
        <v>3</v>
      </c>
      <c r="D15" t="str">
        <f>VLOOKUP(C15,clientes!$A$2:$I$9,2,0)</f>
        <v>Rodolfo</v>
      </c>
      <c r="E15" s="4">
        <v>41074</v>
      </c>
      <c r="F15" s="4">
        <v>41068</v>
      </c>
      <c r="G15" t="s">
        <v>19</v>
      </c>
      <c r="H15">
        <v>3</v>
      </c>
      <c r="I15">
        <v>4</v>
      </c>
      <c r="J15" s="19">
        <f t="shared" ref="J15:J21" si="3">IF(ISERROR(H15*I15),"-",H15*I15)</f>
        <v>12</v>
      </c>
      <c r="K15" s="1">
        <v>0.15</v>
      </c>
      <c r="L15" s="5">
        <f t="shared" si="1"/>
        <v>1.7999999999999998</v>
      </c>
      <c r="M15" s="5">
        <f t="shared" si="2"/>
        <v>10.199999999999999</v>
      </c>
      <c r="N15" s="4">
        <v>41081</v>
      </c>
    </row>
    <row r="16" spans="1:14">
      <c r="A16">
        <f>COUNTIF(facturas!$B$1:B16,factura!$D$12)</f>
        <v>5</v>
      </c>
      <c r="B16">
        <v>11</v>
      </c>
      <c r="C16">
        <v>8</v>
      </c>
      <c r="D16" t="str">
        <f>VLOOKUP(C16,clientes!$A$2:$I$9,2,0)</f>
        <v>Nysea</v>
      </c>
      <c r="E16" s="4">
        <v>41074</v>
      </c>
      <c r="F16" t="s">
        <v>28</v>
      </c>
      <c r="G16" t="s">
        <v>17</v>
      </c>
      <c r="H16">
        <v>20</v>
      </c>
      <c r="I16">
        <v>3</v>
      </c>
      <c r="J16" s="19">
        <f t="shared" si="3"/>
        <v>60</v>
      </c>
      <c r="K16" s="1">
        <v>0.15</v>
      </c>
      <c r="L16" s="5">
        <f t="shared" si="1"/>
        <v>9</v>
      </c>
      <c r="M16" s="5">
        <f t="shared" si="2"/>
        <v>51</v>
      </c>
      <c r="N16" s="4">
        <v>41108</v>
      </c>
    </row>
    <row r="17" spans="1:14">
      <c r="A17">
        <f>COUNTIF(facturas!$B$1:B17,factura!$D$12)</f>
        <v>5</v>
      </c>
      <c r="B17">
        <v>11</v>
      </c>
      <c r="C17">
        <v>8</v>
      </c>
      <c r="D17" t="str">
        <f>VLOOKUP(C17,clientes!$A$2:$I$9,2,0)</f>
        <v>Nysea</v>
      </c>
      <c r="E17" s="4">
        <v>41074</v>
      </c>
      <c r="F17" t="s">
        <v>28</v>
      </c>
      <c r="G17" t="s">
        <v>29</v>
      </c>
      <c r="H17" t="s">
        <v>25</v>
      </c>
      <c r="I17">
        <v>1</v>
      </c>
      <c r="J17" s="19" t="str">
        <f t="shared" si="3"/>
        <v>-</v>
      </c>
      <c r="K17" s="1" t="s">
        <v>25</v>
      </c>
      <c r="L17" s="5" t="str">
        <f t="shared" si="1"/>
        <v>-</v>
      </c>
      <c r="M17" s="5" t="str">
        <f t="shared" si="2"/>
        <v>-</v>
      </c>
      <c r="N17" s="4">
        <v>41109</v>
      </c>
    </row>
    <row r="18" spans="1:14">
      <c r="A18">
        <f>COUNTIF(facturas!$B$1:B18,factura!$D$12)</f>
        <v>5</v>
      </c>
      <c r="B18">
        <v>12</v>
      </c>
      <c r="C18">
        <v>2</v>
      </c>
      <c r="D18" t="str">
        <f>VLOOKUP(C18,clientes!$A$2:$I$9,2,0)</f>
        <v>Pepito</v>
      </c>
      <c r="E18" s="4">
        <v>41088</v>
      </c>
      <c r="F18" t="s">
        <v>30</v>
      </c>
      <c r="G18" t="s">
        <v>24</v>
      </c>
      <c r="H18">
        <v>32</v>
      </c>
      <c r="I18">
        <v>4</v>
      </c>
      <c r="J18" s="19">
        <f t="shared" si="3"/>
        <v>128</v>
      </c>
      <c r="K18" s="1">
        <v>0.15</v>
      </c>
      <c r="L18" s="5">
        <f t="shared" si="1"/>
        <v>19.2</v>
      </c>
      <c r="M18" s="5">
        <f t="shared" si="2"/>
        <v>108.8</v>
      </c>
      <c r="N18" s="4">
        <v>41006</v>
      </c>
    </row>
    <row r="19" spans="1:14">
      <c r="A19">
        <f>COUNTIF(facturas!$B$1:B19,factura!$D$12)</f>
        <v>5</v>
      </c>
      <c r="B19">
        <v>13</v>
      </c>
      <c r="C19">
        <v>2</v>
      </c>
      <c r="D19" t="str">
        <f>VLOOKUP(C19,clientes!$A$2:$I$9,2,0)</f>
        <v>Pepito</v>
      </c>
      <c r="E19" s="4">
        <v>41095</v>
      </c>
      <c r="F19" t="s">
        <v>31</v>
      </c>
      <c r="G19" t="s">
        <v>15</v>
      </c>
      <c r="H19">
        <v>15</v>
      </c>
      <c r="I19">
        <v>3</v>
      </c>
      <c r="J19" s="19">
        <f t="shared" si="3"/>
        <v>45</v>
      </c>
      <c r="K19" s="1">
        <v>0.15</v>
      </c>
      <c r="L19" s="5">
        <f t="shared" si="1"/>
        <v>6.75</v>
      </c>
      <c r="M19" s="5">
        <f t="shared" si="2"/>
        <v>38.25</v>
      </c>
      <c r="N19" s="4">
        <v>41108</v>
      </c>
    </row>
    <row r="20" spans="1:14">
      <c r="A20">
        <f>COUNTIF(facturas!$B$1:B20,factura!$D$12)</f>
        <v>5</v>
      </c>
      <c r="B20">
        <v>13</v>
      </c>
      <c r="C20">
        <v>2</v>
      </c>
      <c r="D20" t="str">
        <f>VLOOKUP(C20,clientes!$A$2:$I$9,2,0)</f>
        <v>Pepito</v>
      </c>
      <c r="E20" s="4">
        <v>41095</v>
      </c>
      <c r="F20" t="s">
        <v>32</v>
      </c>
      <c r="G20" t="s">
        <v>13</v>
      </c>
      <c r="H20" t="s">
        <v>25</v>
      </c>
      <c r="I20">
        <v>1</v>
      </c>
      <c r="J20" s="19" t="str">
        <f t="shared" si="3"/>
        <v>-</v>
      </c>
      <c r="K20" s="1" t="s">
        <v>25</v>
      </c>
      <c r="L20" s="5" t="str">
        <f t="shared" si="1"/>
        <v>-</v>
      </c>
      <c r="M20" s="5" t="str">
        <f t="shared" si="2"/>
        <v>-</v>
      </c>
      <c r="N20" s="4">
        <v>41109</v>
      </c>
    </row>
    <row r="21" spans="1:14">
      <c r="A21">
        <f>COUNTIF(facturas!$B$1:B21,factura!$D$12)</f>
        <v>5</v>
      </c>
      <c r="B21">
        <v>14</v>
      </c>
      <c r="C21">
        <v>3</v>
      </c>
      <c r="D21" t="str">
        <f>VLOOKUP(C21,clientes!$A$2:$I$9,2,0)</f>
        <v>Rodolfo</v>
      </c>
      <c r="E21" s="4">
        <v>41095</v>
      </c>
      <c r="F21" s="4">
        <v>41095</v>
      </c>
      <c r="G21" t="s">
        <v>13</v>
      </c>
      <c r="H21">
        <v>3</v>
      </c>
      <c r="I21">
        <v>4</v>
      </c>
      <c r="J21" s="19">
        <f t="shared" si="3"/>
        <v>12</v>
      </c>
      <c r="K21" s="1">
        <v>0.15</v>
      </c>
      <c r="L21" s="5">
        <f t="shared" si="1"/>
        <v>1.7999999999999998</v>
      </c>
      <c r="M21" s="5">
        <f t="shared" si="2"/>
        <v>10.199999999999999</v>
      </c>
    </row>
  </sheetData>
  <conditionalFormatting sqref="N1:N1048576">
    <cfRule type="containsBlanks" dxfId="2" priority="3">
      <formula>LEN(TRIM(N1))=0</formula>
    </cfRule>
    <cfRule type="notContainsBlanks" dxfId="1" priority="2">
      <formula>LEN(TRIM(N1))&gt;0</formula>
    </cfRule>
  </conditionalFormatting>
  <conditionalFormatting sqref="F1:F1048576">
    <cfRule type="containsBlanks" dxfId="0" priority="4">
      <formula>LEN(TRIM(F1))=0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workbookViewId="0"/>
  </sheetViews>
  <sheetFormatPr defaultRowHeight="15"/>
  <cols>
    <col min="1" max="1" width="8.5703125"/>
    <col min="2" max="2" width="13.28515625"/>
    <col min="3" max="3" width="28.5703125"/>
    <col min="4" max="4" width="17.5703125"/>
    <col min="5" max="7" width="8.5703125"/>
    <col min="8" max="8" width="10"/>
    <col min="9" max="1025" width="8.5703125"/>
  </cols>
  <sheetData>
    <row r="1" spans="1:9" s="6" customFormat="1">
      <c r="A1" s="6" t="s">
        <v>1</v>
      </c>
      <c r="B1" s="6" t="s">
        <v>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</row>
    <row r="2" spans="1:9">
      <c r="A2">
        <v>1</v>
      </c>
      <c r="B2" t="s">
        <v>40</v>
      </c>
      <c r="C2" t="s">
        <v>41</v>
      </c>
      <c r="D2" t="s">
        <v>42</v>
      </c>
      <c r="E2">
        <v>33203</v>
      </c>
      <c r="F2" t="s">
        <v>43</v>
      </c>
      <c r="G2" t="s">
        <v>44</v>
      </c>
      <c r="H2">
        <v>985134832</v>
      </c>
      <c r="I2" t="s">
        <v>45</v>
      </c>
    </row>
    <row r="3" spans="1:9">
      <c r="A3">
        <v>2</v>
      </c>
      <c r="B3" t="s">
        <v>46</v>
      </c>
      <c r="C3" t="s">
        <v>47</v>
      </c>
      <c r="D3" t="s">
        <v>48</v>
      </c>
      <c r="E3">
        <v>33213</v>
      </c>
      <c r="F3" t="s">
        <v>43</v>
      </c>
      <c r="G3" t="s">
        <v>44</v>
      </c>
      <c r="H3">
        <v>985142932</v>
      </c>
      <c r="I3" t="s">
        <v>45</v>
      </c>
    </row>
    <row r="4" spans="1:9">
      <c r="A4">
        <v>3</v>
      </c>
      <c r="B4" t="s">
        <v>49</v>
      </c>
      <c r="C4" t="s">
        <v>50</v>
      </c>
      <c r="D4" t="s">
        <v>51</v>
      </c>
      <c r="E4">
        <v>33203</v>
      </c>
      <c r="F4" t="s">
        <v>43</v>
      </c>
      <c r="G4" t="s">
        <v>44</v>
      </c>
      <c r="H4">
        <v>985324892</v>
      </c>
      <c r="I4" t="s">
        <v>45</v>
      </c>
    </row>
    <row r="5" spans="1:9">
      <c r="A5">
        <v>4</v>
      </c>
      <c r="B5" t="s">
        <v>52</v>
      </c>
      <c r="C5" t="s">
        <v>53</v>
      </c>
      <c r="D5" t="s">
        <v>54</v>
      </c>
      <c r="E5">
        <v>33203</v>
      </c>
      <c r="F5" t="s">
        <v>43</v>
      </c>
      <c r="G5" t="s">
        <v>44</v>
      </c>
      <c r="H5">
        <v>985324349</v>
      </c>
      <c r="I5" t="s">
        <v>45</v>
      </c>
    </row>
    <row r="6" spans="1:9">
      <c r="A6">
        <v>5</v>
      </c>
      <c r="B6" t="s">
        <v>55</v>
      </c>
      <c r="C6" t="s">
        <v>56</v>
      </c>
      <c r="D6" t="s">
        <v>57</v>
      </c>
      <c r="E6">
        <v>33213</v>
      </c>
      <c r="F6" t="s">
        <v>43</v>
      </c>
      <c r="G6" t="s">
        <v>44</v>
      </c>
      <c r="H6">
        <v>985139483</v>
      </c>
      <c r="I6" t="s">
        <v>45</v>
      </c>
    </row>
    <row r="7" spans="1:9">
      <c r="A7">
        <v>6</v>
      </c>
      <c r="B7" t="s">
        <v>58</v>
      </c>
      <c r="C7" t="s">
        <v>59</v>
      </c>
      <c r="D7" t="s">
        <v>60</v>
      </c>
      <c r="E7">
        <v>33213</v>
      </c>
      <c r="F7" t="s">
        <v>43</v>
      </c>
      <c r="G7" t="s">
        <v>44</v>
      </c>
      <c r="H7">
        <v>985130943</v>
      </c>
      <c r="I7" t="s">
        <v>45</v>
      </c>
    </row>
    <row r="8" spans="1:9">
      <c r="A8">
        <v>7</v>
      </c>
      <c r="B8" t="s">
        <v>61</v>
      </c>
      <c r="C8" t="s">
        <v>62</v>
      </c>
      <c r="D8" t="s">
        <v>63</v>
      </c>
      <c r="E8">
        <v>33213</v>
      </c>
      <c r="F8" t="s">
        <v>43</v>
      </c>
      <c r="G8" t="s">
        <v>44</v>
      </c>
      <c r="H8">
        <v>985130948</v>
      </c>
      <c r="I8" t="s">
        <v>45</v>
      </c>
    </row>
    <row r="9" spans="1:9">
      <c r="A9">
        <v>8</v>
      </c>
      <c r="B9" t="s">
        <v>64</v>
      </c>
      <c r="C9" t="s">
        <v>65</v>
      </c>
      <c r="D9" t="s">
        <v>66</v>
      </c>
      <c r="E9">
        <v>33213</v>
      </c>
      <c r="F9" t="s">
        <v>43</v>
      </c>
      <c r="G9" t="s">
        <v>44</v>
      </c>
      <c r="H9">
        <v>985320214</v>
      </c>
      <c r="I9" t="s">
        <v>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6"/>
  <sheetViews>
    <sheetView tabSelected="1" topLeftCell="A19" workbookViewId="0">
      <selection activeCell="J29" sqref="J29"/>
    </sheetView>
  </sheetViews>
  <sheetFormatPr defaultRowHeight="15"/>
  <cols>
    <col min="1" max="1" width="2.42578125"/>
    <col min="2" max="2" width="14"/>
    <col min="3" max="3" width="8.5703125"/>
    <col min="4" max="4" width="11.85546875"/>
    <col min="5" max="6" width="8.5703125"/>
    <col min="7" max="7" width="13.28515625" style="1"/>
    <col min="8" max="8" width="10"/>
    <col min="9" max="1025" width="8.5703125"/>
  </cols>
  <sheetData>
    <row r="1" spans="1:17">
      <c r="G1"/>
    </row>
    <row r="3" spans="1:17" s="7" customFormat="1" ht="26.25">
      <c r="B3" s="8" t="s">
        <v>67</v>
      </c>
      <c r="G3" s="9"/>
    </row>
    <row r="4" spans="1:17" s="10" customFormat="1">
      <c r="G4" s="11"/>
    </row>
    <row r="5" spans="1:17">
      <c r="A5" s="10"/>
      <c r="B5" s="10"/>
      <c r="C5" s="10"/>
      <c r="D5" s="10" t="s">
        <v>68</v>
      </c>
      <c r="G5" s="11"/>
    </row>
    <row r="6" spans="1:17">
      <c r="A6" s="10"/>
      <c r="B6" s="10"/>
      <c r="C6" s="10"/>
      <c r="D6" s="10" t="s">
        <v>69</v>
      </c>
      <c r="G6" s="11"/>
    </row>
    <row r="7" spans="1:17">
      <c r="A7" s="10"/>
      <c r="B7" s="10"/>
      <c r="C7" s="10"/>
      <c r="D7" s="10" t="s">
        <v>70</v>
      </c>
      <c r="G7" s="11"/>
    </row>
    <row r="8" spans="1:17">
      <c r="A8" s="10"/>
      <c r="B8" s="10"/>
      <c r="C8" s="10"/>
      <c r="D8" s="10" t="s">
        <v>71</v>
      </c>
      <c r="G8" s="11"/>
    </row>
    <row r="9" spans="1:17">
      <c r="A9" s="10"/>
      <c r="B9" s="10"/>
      <c r="C9" s="10"/>
      <c r="D9" s="10" t="s">
        <v>72</v>
      </c>
      <c r="G9" s="11"/>
    </row>
    <row r="10" spans="1:17" s="7" customFormat="1">
      <c r="G10" s="9"/>
    </row>
    <row r="12" spans="1:17">
      <c r="B12" t="s">
        <v>73</v>
      </c>
      <c r="D12">
        <v>9</v>
      </c>
      <c r="G12"/>
    </row>
    <row r="13" spans="1:17">
      <c r="B13" t="s">
        <v>74</v>
      </c>
      <c r="D13" s="4">
        <f>VLOOKUP(D12,facturas!$B$1:$O$21,4,0)</f>
        <v>40332</v>
      </c>
      <c r="G13"/>
    </row>
    <row r="15" spans="1:17" s="12" customFormat="1">
      <c r="E15" s="12" t="s">
        <v>75</v>
      </c>
      <c r="G15" s="13"/>
    </row>
    <row r="16" spans="1:17">
      <c r="G16"/>
      <c r="Q16">
        <v>1</v>
      </c>
    </row>
    <row r="17" spans="2:17">
      <c r="B17" s="6" t="s">
        <v>76</v>
      </c>
      <c r="C17" t="str">
        <f>VLOOKUP(D12,facturas!$B$1:$O$21,3,0)</f>
        <v>Pepito</v>
      </c>
      <c r="G17" s="14" t="s">
        <v>77</v>
      </c>
      <c r="H17" t="str">
        <f>VLOOKUP(VLOOKUP(D12,facturas!$B$1:$O$21,2,0),clientes!A2:I9,6,0)</f>
        <v>Gijón</v>
      </c>
      <c r="Q17">
        <v>2</v>
      </c>
    </row>
    <row r="18" spans="2:17">
      <c r="B18" s="6" t="s">
        <v>78</v>
      </c>
      <c r="C18" t="str">
        <f>VLOOKUP(VLOOKUP(D12,facturas!$B$1:$O$21,2,0),clientes!A2:I9,4,0)</f>
        <v>B-629935380</v>
      </c>
      <c r="G18" s="14" t="s">
        <v>79</v>
      </c>
      <c r="H18" t="str">
        <f>VLOOKUP(VLOOKUP(D12,facturas!$B$1:$O$21,2,0),clientes!A2:I9,7,0)</f>
        <v>Asturias</v>
      </c>
      <c r="Q18">
        <v>3</v>
      </c>
    </row>
    <row r="19" spans="2:17">
      <c r="B19" s="6" t="s">
        <v>80</v>
      </c>
      <c r="C19" t="str">
        <f>VLOOKUP(VLOOKUP(D12,facturas!$B$1:$O$21,2,0),clientes!A2:I9,3,0)</f>
        <v>C/Camino del Rubín, 2º, 4ºI</v>
      </c>
      <c r="G19" s="14" t="s">
        <v>81</v>
      </c>
      <c r="H19">
        <f>VLOOKUP(VLOOKUP(D12,facturas!$B$1:$O$21,2,0),clientes!A2:I9,8,0)</f>
        <v>985142932</v>
      </c>
      <c r="Q19">
        <v>4</v>
      </c>
    </row>
    <row r="20" spans="2:17">
      <c r="B20" s="6" t="s">
        <v>82</v>
      </c>
      <c r="C20">
        <f>VLOOKUP(VLOOKUP(D12,facturas!$B$1:$O$21,2,0),clientes!A2:I9,5,0)</f>
        <v>33213</v>
      </c>
      <c r="G20"/>
      <c r="Q20">
        <v>5</v>
      </c>
    </row>
    <row r="21" spans="2:17">
      <c r="G21"/>
      <c r="Q21">
        <v>6</v>
      </c>
    </row>
    <row r="22" spans="2:17">
      <c r="G22"/>
      <c r="Q22">
        <v>7</v>
      </c>
    </row>
    <row r="23" spans="2:17" s="12" customFormat="1">
      <c r="E23" s="12" t="s">
        <v>83</v>
      </c>
      <c r="G23" s="13"/>
      <c r="Q23" s="12">
        <v>8</v>
      </c>
    </row>
    <row r="24" spans="2:17">
      <c r="G24"/>
      <c r="Q24" s="15">
        <v>9</v>
      </c>
    </row>
    <row r="25" spans="2:17" s="6" customFormat="1">
      <c r="B25" s="6" t="s">
        <v>5</v>
      </c>
      <c r="C25" s="16"/>
      <c r="D25" s="6" t="s">
        <v>84</v>
      </c>
      <c r="E25" s="6" t="s">
        <v>85</v>
      </c>
      <c r="F25" s="6" t="s">
        <v>86</v>
      </c>
      <c r="G25" s="14" t="s">
        <v>87</v>
      </c>
      <c r="H25" s="6" t="s">
        <v>88</v>
      </c>
      <c r="Q25" s="6">
        <v>10</v>
      </c>
    </row>
    <row r="26" spans="2:17">
      <c r="B26">
        <f>IF(ISERROR(VLOOKUP(Q16,facturas!A:N,9,0)),"",VLOOKUP(Q16,facturas!A:N,9,0))</f>
        <v>4</v>
      </c>
      <c r="C26" s="17"/>
      <c r="D26">
        <f>IF(ISERROR(VLOOKUP(Q16,facturas!A:N,8,0)),"",VLOOKUP(Q16,facturas!A:N,8,0))</f>
        <v>15</v>
      </c>
      <c r="E26">
        <f>IF(ISERROR(VLOOKUP(Q16,facturas!A:N,9,0)),"",VLOOKUP(Q16,facturas!A:N,9,0))</f>
        <v>4</v>
      </c>
      <c r="F26">
        <f>IF(ISERROR(VLOOKUP(Q16,facturas!A:N,10,0)),"",VLOOKUP(Q16,facturas!A:N,10,0))</f>
        <v>60</v>
      </c>
      <c r="G26" s="1">
        <f>IF(ISERROR(VLOOKUP(Q16,facturas!A:N,11,0)),"",VLOOKUP(Q16,facturas!A:N,11,0))</f>
        <v>0.15</v>
      </c>
      <c r="H26">
        <f>VLOOKUP(Q16,facturas!A:N,12,0)</f>
        <v>9</v>
      </c>
    </row>
    <row r="27" spans="2:17">
      <c r="B27">
        <f>IF(ISERROR(VLOOKUP(Q17,facturas!A:N,9,0)),"",VLOOKUP(Q17,facturas!A:N,9,0))</f>
        <v>2</v>
      </c>
      <c r="C27" s="17"/>
      <c r="D27">
        <f>IF(ISERROR(VLOOKUP(Q17,facturas!A:N,8,0)),"",VLOOKUP(Q17,facturas!A:N,8,0))</f>
        <v>10</v>
      </c>
      <c r="E27">
        <f>IF(ISERROR(VLOOKUP(Q17,facturas!A:N,9,0)),"",VLOOKUP(Q17,facturas!A:N,9,0))</f>
        <v>2</v>
      </c>
      <c r="F27">
        <f>IF(ISERROR(VLOOKUP(Q17,facturas!A:N,10,0)),"",VLOOKUP(Q17,facturas!A:N,10,0))</f>
        <v>20</v>
      </c>
      <c r="G27" s="1">
        <f>IF(ISERROR(VLOOKUP(Q17,facturas!A:N,11,0)),"",VLOOKUP(Q17,facturas!A:N,11,0))</f>
        <v>0.15</v>
      </c>
      <c r="H27">
        <f>VLOOKUP(Q17,facturas!A:N,12,0)</f>
        <v>3</v>
      </c>
    </row>
    <row r="28" spans="2:17">
      <c r="B28" t="str">
        <f>IF(ISERROR(VLOOKUP(Q18,facturas!A:N,9,0)),"",VLOOKUP(Q18,facturas!A:N,9,0))</f>
        <v>-</v>
      </c>
      <c r="C28" s="17"/>
      <c r="D28" t="str">
        <f>IF(ISERROR(VLOOKUP(Q18,facturas!A:N,8,0)),"",VLOOKUP(Q18,facturas!A:N,8,0))</f>
        <v>-</v>
      </c>
      <c r="E28" t="str">
        <f>IF(ISERROR(VLOOKUP(Q18,facturas!A:N,9,0)),"",VLOOKUP(Q18,facturas!A:N,9,0))</f>
        <v>-</v>
      </c>
      <c r="F28">
        <f>IF(ISERROR(VLOOKUP(Q18,facturas!A:N,10,0)),"",VLOOKUP(Q18,facturas!A:N,10,0))</f>
        <v>32</v>
      </c>
      <c r="G28" s="1" t="str">
        <f>IF(ISERROR(VLOOKUP(Q18,facturas!A:N,11,0)),"",VLOOKUP(Q18,facturas!A:N,11,0))</f>
        <v>-</v>
      </c>
      <c r="H28" t="str">
        <f>VLOOKUP(Q18,facturas!A:N,12,0)</f>
        <v>-</v>
      </c>
    </row>
    <row r="29" spans="2:17">
      <c r="B29" t="str">
        <f>IF(ISERROR(VLOOKUP(Q19,facturas!A:N,9,0)),"",VLOOKUP(Q19,facturas!A:N,9,0))</f>
        <v>-</v>
      </c>
      <c r="C29" s="17"/>
      <c r="D29" t="str">
        <f>IF(ISERROR(VLOOKUP(Q19,facturas!A:N,8,0)),"",VLOOKUP(Q19,facturas!A:N,8,0))</f>
        <v>-</v>
      </c>
      <c r="E29" t="str">
        <f>IF(ISERROR(VLOOKUP(Q19,facturas!A:N,9,0)),"",VLOOKUP(Q19,facturas!A:N,9,0))</f>
        <v>-</v>
      </c>
      <c r="F29">
        <f>IF(ISERROR(VLOOKUP(Q19,facturas!A:N,10,0)),"",VLOOKUP(Q19,facturas!A:N,10,0))</f>
        <v>10</v>
      </c>
      <c r="G29" s="1" t="str">
        <f>IF(ISERROR(VLOOKUP(Q19,facturas!A:N,11,0)),"",VLOOKUP(Q19,facturas!A:N,11,0))</f>
        <v>-</v>
      </c>
      <c r="H29" t="str">
        <f>VLOOKUP(Q19,facturas!A:N,12,0)</f>
        <v>-</v>
      </c>
    </row>
    <row r="30" spans="2:17">
      <c r="B30" t="str">
        <f>IF(ISERROR(VLOOKUP(Q20,facturas!A:N,9,0)),"",VLOOKUP(Q20,facturas!A:N,9,0))</f>
        <v>-</v>
      </c>
      <c r="C30" s="17"/>
      <c r="D30" t="str">
        <f>IF(ISERROR(VLOOKUP(Q20,facturas!A:N,8,0)),"",VLOOKUP(Q20,facturas!A:N,8,0))</f>
        <v>-</v>
      </c>
      <c r="E30" t="str">
        <f>IF(ISERROR(VLOOKUP(Q20,facturas!A:N,9,0)),"",VLOOKUP(Q20,facturas!A:N,9,0))</f>
        <v>-</v>
      </c>
      <c r="F30">
        <f>IF(ISERROR(VLOOKUP(Q20,facturas!A:N,10,0)),"",VLOOKUP(Q20,facturas!A:N,10,0))</f>
        <v>32</v>
      </c>
      <c r="G30" s="1" t="str">
        <f>IF(ISERROR(VLOOKUP(Q20,facturas!A:N,11,0)),"",VLOOKUP(Q20,facturas!A:N,11,0))</f>
        <v>-</v>
      </c>
      <c r="H30" t="str">
        <f>VLOOKUP(Q20,facturas!A:N,12,0)</f>
        <v>-</v>
      </c>
    </row>
    <row r="31" spans="2:17">
      <c r="B31" t="str">
        <f>IF(ISERROR(VLOOKUP(Q21,facturas!A:N,9,0)),"",VLOOKUP(Q21,facturas!A:N,9,0))</f>
        <v/>
      </c>
      <c r="D31" t="str">
        <f>IF(ISERROR(VLOOKUP(Q21,facturas!A:N,10,0)),"",VLOOKUP(Q21,facturas!A:N,10,0))</f>
        <v/>
      </c>
      <c r="E31" t="str">
        <f>IF(ISERROR(VLOOKUP(Q21,facturas!A:N,11,0)),"",VLOOKUP(Q21,facturas!A:N,11,0))</f>
        <v/>
      </c>
      <c r="F31" t="str">
        <f>IF(ISERROR(VLOOKUP(Q21,facturas!A:N,12,0)),"",VLOOKUP(Q21,facturas!A:N,12,0))</f>
        <v/>
      </c>
      <c r="G31" s="1" t="str">
        <f>IF(ISERROR(VLOOKUP(Q21,facturas!A:N,13,0)),"",VLOOKUP(Q21,facturas!A:N,13,0))</f>
        <v/>
      </c>
    </row>
    <row r="32" spans="2:17">
      <c r="G32" s="1" t="str">
        <f>IF(ISERROR(VLOOKUP(Q22,facturas!A:N,13,0)),"",VLOOKUP(Q22,facturas!A:N,13,0))</f>
        <v/>
      </c>
    </row>
    <row r="33" spans="4:8">
      <c r="D33" s="12" t="s">
        <v>89</v>
      </c>
      <c r="E33" s="12"/>
      <c r="F33" s="12">
        <f>SUM($F$26:$F$31)</f>
        <v>154</v>
      </c>
      <c r="G33" s="13"/>
      <c r="H33" s="12"/>
    </row>
    <row r="34" spans="4:8">
      <c r="D34" t="s">
        <v>90</v>
      </c>
      <c r="H34">
        <f>SUM($H$26:$H$31)</f>
        <v>12</v>
      </c>
    </row>
    <row r="36" spans="4:8">
      <c r="E36" t="s">
        <v>91</v>
      </c>
      <c r="H36">
        <f>F33-H34</f>
        <v>142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facturas</vt:lpstr>
      <vt:lpstr>clientes</vt:lpstr>
      <vt:lpstr>factura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monty</cp:lastModifiedBy>
  <cp:revision>0</cp:revision>
  <dcterms:created xsi:type="dcterms:W3CDTF">2006-09-16T00:00:00Z</dcterms:created>
  <dcterms:modified xsi:type="dcterms:W3CDTF">2014-11-14T17:27:10Z</dcterms:modified>
  <dc:language>en-US</dc:language>
</cp:coreProperties>
</file>