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na.abzaltynova\Downloads\"/>
    </mc:Choice>
  </mc:AlternateContent>
  <xr:revisionPtr revIDLastSave="0" documentId="13_ncr:1_{3E6F1559-7CFF-434D-9D14-867877EFEEB6}" xr6:coauthVersionLast="47" xr6:coauthVersionMax="47" xr10:uidLastSave="{00000000-0000-0000-0000-000000000000}"/>
  <bookViews>
    <workbookView xWindow="-108" yWindow="-108" windowWidth="23256" windowHeight="12576" xr2:uid="{13408DE1-9955-4E78-99DE-7728FDCB7E7A}"/>
  </bookViews>
  <sheets>
    <sheet name="2023-2024" sheetId="2" r:id="rId1"/>
  </sheets>
  <definedNames>
    <definedName name="_xlnm._FilterDatabase" localSheetId="0" hidden="1">'2023-2024'!$A$1:$V$16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U32" i="2"/>
  <c r="P31" i="2"/>
  <c r="L32" i="2"/>
  <c r="Q33" i="2"/>
  <c r="L33" i="2"/>
  <c r="K32" i="2"/>
  <c r="K33" i="2"/>
  <c r="Q31" i="2"/>
  <c r="L31" i="2"/>
  <c r="L30" i="2"/>
  <c r="K31" i="2"/>
  <c r="Q29" i="2"/>
  <c r="Q30" i="2"/>
  <c r="K29" i="2"/>
  <c r="K30" i="2"/>
  <c r="L29" i="2"/>
  <c r="G27" i="2"/>
  <c r="L27" i="2"/>
  <c r="Q28" i="2"/>
  <c r="S28" i="2" s="1"/>
  <c r="L28" i="2"/>
  <c r="K28" i="2"/>
  <c r="K27" i="2"/>
  <c r="L14" i="2"/>
  <c r="H34" i="2"/>
  <c r="I34" i="2"/>
  <c r="J34" i="2"/>
  <c r="G34" i="2"/>
  <c r="K20" i="2"/>
  <c r="P26" i="2"/>
  <c r="P25" i="2"/>
  <c r="P22" i="2"/>
  <c r="P19" i="2"/>
  <c r="N23" i="2"/>
  <c r="N20" i="2"/>
  <c r="N19" i="2"/>
  <c r="N15" i="2"/>
  <c r="Q27" i="2"/>
  <c r="L25" i="2"/>
  <c r="L26" i="2"/>
  <c r="N24" i="2"/>
  <c r="L23" i="2"/>
  <c r="N22" i="2"/>
  <c r="N21" i="2"/>
  <c r="K19" i="2"/>
  <c r="L19" i="2"/>
  <c r="Q19" i="2"/>
  <c r="Q20" i="2"/>
  <c r="U20" i="2" s="1"/>
  <c r="Q21" i="2"/>
  <c r="U21" i="2" s="1"/>
  <c r="Q22" i="2"/>
  <c r="Q23" i="2"/>
  <c r="Q24" i="2"/>
  <c r="Q25" i="2"/>
  <c r="Q26" i="2"/>
  <c r="Q18" i="2"/>
  <c r="L18" i="2"/>
  <c r="L20" i="2"/>
  <c r="L21" i="2"/>
  <c r="L22" i="2"/>
  <c r="L24" i="2"/>
  <c r="K21" i="2"/>
  <c r="K22" i="2"/>
  <c r="K23" i="2"/>
  <c r="K24" i="2"/>
  <c r="K25" i="2"/>
  <c r="K26" i="2"/>
  <c r="K18" i="2"/>
  <c r="K17" i="2"/>
  <c r="L17" i="2"/>
  <c r="Q17" i="2"/>
  <c r="R17" i="2" s="1"/>
  <c r="K14" i="2"/>
  <c r="U2" i="2"/>
  <c r="L16" i="2"/>
  <c r="K2" i="2"/>
  <c r="K3" i="2"/>
  <c r="K4" i="2"/>
  <c r="K5" i="2"/>
  <c r="K6" i="2"/>
  <c r="K7" i="2"/>
  <c r="K8" i="2"/>
  <c r="K9" i="2"/>
  <c r="K10" i="2"/>
  <c r="K11" i="2"/>
  <c r="K12" i="2"/>
  <c r="K13" i="2"/>
  <c r="K16" i="2"/>
  <c r="K15" i="2"/>
  <c r="U3" i="2"/>
  <c r="U4" i="2"/>
  <c r="U5" i="2"/>
  <c r="U6" i="2"/>
  <c r="U7" i="2"/>
  <c r="U8" i="2"/>
  <c r="U9" i="2"/>
  <c r="U10" i="2"/>
  <c r="U11" i="2"/>
  <c r="U12" i="2"/>
  <c r="U13" i="2"/>
  <c r="L3" i="2"/>
  <c r="L4" i="2"/>
  <c r="L9" i="2"/>
  <c r="L10" i="2"/>
  <c r="L12" i="2"/>
  <c r="L2" i="2"/>
  <c r="L15" i="2"/>
  <c r="S30" i="2" l="1"/>
  <c r="R30" i="2"/>
  <c r="U33" i="2"/>
  <c r="S33" i="2"/>
  <c r="R33" i="2"/>
  <c r="S32" i="2"/>
  <c r="R32" i="2"/>
  <c r="U31" i="2"/>
  <c r="S31" i="2"/>
  <c r="R31" i="2"/>
  <c r="U30" i="2"/>
  <c r="U29" i="2"/>
  <c r="S29" i="2"/>
  <c r="R29" i="2"/>
  <c r="U27" i="2"/>
  <c r="R27" i="2"/>
  <c r="U28" i="2"/>
  <c r="R28" i="2"/>
  <c r="S18" i="2"/>
  <c r="U18" i="2"/>
  <c r="R18" i="2"/>
  <c r="S27" i="2"/>
  <c r="U26" i="2"/>
  <c r="S26" i="2"/>
  <c r="R26" i="2"/>
  <c r="U25" i="2"/>
  <c r="S25" i="2"/>
  <c r="R25" i="2"/>
  <c r="U24" i="2"/>
  <c r="S24" i="2"/>
  <c r="R24" i="2"/>
  <c r="U23" i="2"/>
  <c r="S23" i="2"/>
  <c r="R23" i="2"/>
  <c r="U22" i="2"/>
  <c r="S22" i="2"/>
  <c r="R22" i="2"/>
  <c r="S21" i="2"/>
  <c r="R21" i="2"/>
  <c r="S20" i="2"/>
  <c r="R20" i="2"/>
  <c r="U19" i="2"/>
  <c r="S19" i="2"/>
  <c r="R19" i="2"/>
  <c r="S17" i="2"/>
  <c r="U17" i="2"/>
  <c r="P14" i="2"/>
  <c r="P16" i="2"/>
  <c r="Q16" i="2" s="1"/>
  <c r="U16" i="2" s="1"/>
  <c r="P15" i="2"/>
  <c r="Q15" i="2" s="1"/>
  <c r="U15" i="2" s="1"/>
  <c r="Q14" i="2"/>
  <c r="U14" i="2" s="1"/>
  <c r="R14" i="2" l="1"/>
  <c r="S14" i="2"/>
  <c r="S15" i="2"/>
  <c r="S16" i="2"/>
  <c r="R15" i="2"/>
  <c r="R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Yuliya Semenenko</author>
  </authors>
  <commentList>
    <comment ref="H16" authorId="0" shapeId="0" xr:uid="{A6BBAAD2-D00F-4FE0-B26A-50D687FD8F84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промо 4 недели
</t>
        </r>
      </text>
    </comment>
    <comment ref="H19" authorId="0" shapeId="0" xr:uid="{AAB20ACF-5709-4468-8C2B-3BE392190442}">
      <text>
        <r>
          <rPr>
            <sz val="11"/>
            <color theme="1"/>
            <rFont val="Calibri"/>
            <family val="2"/>
            <charset val="204"/>
            <scheme val="minor"/>
          </rPr>
          <t>продажи за 6 недель</t>
        </r>
      </text>
    </comment>
    <comment ref="H21" authorId="0" shapeId="0" xr:uid="{3407A3B2-E82D-44B8-BC2E-E4357755B37E}">
      <text>
        <r>
          <rPr>
            <sz val="11"/>
            <color theme="1"/>
            <rFont val="Calibri"/>
            <family val="2"/>
            <charset val="204"/>
            <scheme val="minor"/>
          </rPr>
          <t>продажи за 4 недели</t>
        </r>
      </text>
    </comment>
    <comment ref="H30" authorId="0" shapeId="0" xr:uid="{510FA14A-6735-4B1E-97EC-736CA4D6DC51}">
      <text>
        <r>
          <rPr>
            <sz val="11"/>
            <color theme="1"/>
            <rFont val="Calibri"/>
            <family val="2"/>
            <charset val="204"/>
            <scheme val="minor"/>
          </rPr>
          <t>Промо 6 недель</t>
        </r>
      </text>
    </comment>
    <comment ref="H31" authorId="0" shapeId="0" xr:uid="{D9FA0CF9-04DA-4837-8FED-0BCCA75F34D3}">
      <text>
        <r>
          <rPr>
            <sz val="11"/>
            <color theme="1"/>
            <rFont val="Calibri"/>
            <family val="2"/>
            <charset val="204"/>
            <scheme val="minor"/>
          </rPr>
          <t>промо 4 недели</t>
        </r>
      </text>
    </comment>
  </commentList>
</comments>
</file>

<file path=xl/sharedStrings.xml><?xml version="1.0" encoding="utf-8"?>
<sst xmlns="http://schemas.openxmlformats.org/spreadsheetml/2006/main" count="190" uniqueCount="135">
  <si>
    <t>#</t>
  </si>
  <si>
    <t>Year of the Activation</t>
  </si>
  <si>
    <t>Date of activation</t>
  </si>
  <si>
    <t>Brand</t>
  </si>
  <si>
    <t>Mechanics</t>
  </si>
  <si>
    <t>Prizes</t>
  </si>
  <si>
    <t>Volume before promo, L</t>
  </si>
  <si>
    <t>Volume during promo, L</t>
  </si>
  <si>
    <t>Volume 2 weeks after promo, L</t>
  </si>
  <si>
    <t>Volume +2 weeks after promo, L</t>
  </si>
  <si>
    <t>Incremental Volume, L</t>
  </si>
  <si>
    <t>Baseline uplift %</t>
  </si>
  <si>
    <t>Cost of targeting (Monday/Wunder), KZT</t>
  </si>
  <si>
    <t>Magnum's Fee, KZT</t>
  </si>
  <si>
    <t>Banner Development fee, KZT</t>
  </si>
  <si>
    <t>Prize costs, KZT</t>
  </si>
  <si>
    <t>Total Expenses, KZT</t>
  </si>
  <si>
    <t>Fact Cost Per LT (incremental volume)</t>
  </si>
  <si>
    <t>Fact Cost Per LT (total volume)</t>
  </si>
  <si>
    <t>Total Revenue, KZT</t>
  </si>
  <si>
    <t>ROMI</t>
  </si>
  <si>
    <t>TPR</t>
  </si>
  <si>
    <t>Competitors activations</t>
  </si>
  <si>
    <t>Competitors activations' photos</t>
  </si>
  <si>
    <t>Comments</t>
  </si>
  <si>
    <t>15.02-08.03.2023</t>
  </si>
  <si>
    <t>Efes Pilsener</t>
  </si>
  <si>
    <t>Buy 10 cans of of Efes Pilsener 0.0 in "Magnum Go" App &amp; get a chance to win prizes</t>
  </si>
  <si>
    <t>Airpods Pro; 2 beer cases; 1 beer case</t>
  </si>
  <si>
    <t>24.04 - 08.05.2023</t>
  </si>
  <si>
    <t>KS</t>
  </si>
  <si>
    <t>Buy 1 multipack of of KS in "Magnum Go" App &amp; get a chance to win prizes</t>
  </si>
  <si>
    <t>Headphones Huawei; 1 beer case; 1 KS multipack</t>
  </si>
  <si>
    <t xml:space="preserve">                      -  </t>
  </si>
  <si>
    <t>08.05 - 21.05.2023</t>
  </si>
  <si>
    <t>Buy cans or bottles of Efes Pilsener for 2500 KZT and more in "Magnum Go" App &amp; get a chance to win prizes</t>
  </si>
  <si>
    <t>Apple watch; Yandex station; Xiaomi Power bank</t>
  </si>
  <si>
    <t>14.07 - 10.08.2023</t>
  </si>
  <si>
    <t>Bavaria</t>
  </si>
  <si>
    <t xml:space="preserve">Buy 5 cans of BVR  in “Magnum Go” App &amp; get a chance to win Tissot watch &amp; other gifts. </t>
  </si>
  <si>
    <t>Tissot watch; Branded cap and Polo; 1 beer case</t>
  </si>
  <si>
    <t>New product launch in MGo</t>
  </si>
  <si>
    <t>Miller</t>
  </si>
  <si>
    <t>Buy 10 cans or bottles of MGD in "Magnum Go" App &amp; get a chance to win prizes</t>
  </si>
  <si>
    <t>Portable Speakers Marshall; 2 beer cases; 1 beer case</t>
  </si>
  <si>
    <t>11.09 - 24.09.2023</t>
  </si>
  <si>
    <t>BM</t>
  </si>
  <si>
    <t>Buy 8 cans/bottles or 2 multipacks of BM in "Magnum Go" App &amp; get a chance to win prizes</t>
  </si>
  <si>
    <t>Branded tent; branded chair; Garmin watch</t>
  </si>
  <si>
    <t>Kozel</t>
  </si>
  <si>
    <t>Buy 10 cans or bottles of Kozel in "Magnum Go" App &amp; get a chance to win prizes</t>
  </si>
  <si>
    <t xml:space="preserve"> AirPods Pro headphones; 2 beer cases; 1 beer case</t>
  </si>
  <si>
    <t>18.10-31.10.2023</t>
  </si>
  <si>
    <t>Buy cans or bottles of Efes Pilsener for 1500 KZT and more in "Magnum Go" App &amp; get a chance to win prizes</t>
  </si>
  <si>
    <t xml:space="preserve"> Apple IPAD; 2 beer cases; 1 beer case</t>
  </si>
  <si>
    <t>17.10-30.10.2023</t>
  </si>
  <si>
    <t>Bremen</t>
  </si>
  <si>
    <t>Buy 8 cans or bottles of Bremen in "Magnum Go" App &amp; get a chance to win prizes</t>
  </si>
  <si>
    <t>Bosch Grill; 2 beer cases; 1 beer case</t>
  </si>
  <si>
    <t>02.11-29.11.2023</t>
  </si>
  <si>
    <t>Buy 1 can or bottle of KS in "Magnum Go" App &amp; get a chance to win prizes</t>
  </si>
  <si>
    <t>Instax Camera; 2 beer cases; 1 beer case</t>
  </si>
  <si>
    <t xml:space="preserve"> 37446,75 </t>
  </si>
  <si>
    <t>02.11-15.11.2023</t>
  </si>
  <si>
    <t>Buy 1 can or bottles of BVR in "Magnum Go" App &amp; get a chance to win prizes</t>
  </si>
  <si>
    <t>Yandex station; 2 beer cases; 1 beer case</t>
  </si>
  <si>
    <t>23.11-06.12.2023</t>
  </si>
  <si>
    <t>Polaris Grill; 2 beer cases; 1 beer case</t>
  </si>
  <si>
    <t>01.02-14.02.2024</t>
  </si>
  <si>
    <t>Buy 4 cans or bottles of Bavaria in "Magnum Go" App &amp; get a chance to win prizes</t>
  </si>
  <si>
    <t>Dyson styler, Tommy Hilfiger scarf and BVR beer case</t>
  </si>
  <si>
    <t>15.02-29.02.2024</t>
  </si>
  <si>
    <t>Buy 5 cans or bottles of Efes Pilsener in "Magnum Go" App &amp; get a chance to win prizes</t>
  </si>
  <si>
    <t>Yandex Music Stations: Max, Midi and Mini</t>
  </si>
  <si>
    <r>
      <rPr>
        <b/>
        <sz val="11"/>
        <color rgb="FF000000"/>
        <rFont val="Calibri"/>
        <scheme val="minor"/>
      </rPr>
      <t xml:space="preserve">ПИВО ЭФЕС ПИЛСНЕР БАНКА 4Х0,45Л МЛТП 
</t>
    </r>
    <r>
      <rPr>
        <b/>
        <sz val="11"/>
        <color rgb="FFFF0000"/>
        <rFont val="Calibri"/>
        <scheme val="minor"/>
      </rPr>
      <t xml:space="preserve">TPR: </t>
    </r>
    <r>
      <rPr>
        <sz val="11"/>
        <color rgb="FFFF0000"/>
        <rFont val="Calibri"/>
        <scheme val="minor"/>
      </rPr>
      <t xml:space="preserve">15%
</t>
    </r>
    <r>
      <rPr>
        <b/>
        <sz val="11"/>
        <color rgb="FF000000"/>
        <rFont val="Calibri"/>
        <scheme val="minor"/>
      </rPr>
      <t xml:space="preserve">Period: </t>
    </r>
    <r>
      <rPr>
        <sz val="11"/>
        <color rgb="FF000000"/>
        <rFont val="Calibri"/>
        <scheme val="minor"/>
      </rPr>
      <t>15.02 - 28.02</t>
    </r>
  </si>
  <si>
    <t>22.02-20.03.2024</t>
  </si>
  <si>
    <t>Buy 5 cans or bottles of KS in "Magnum Go" App &amp; get a chance to win prizes. The first 500 people who bought 0.9 size or multipack will receive a guaranteed prize</t>
  </si>
  <si>
    <t>Guaranteed prize for the first 500 people: dried fish snack by BEERka
Main prizes: Iphone 15 Pro, Macbook Air, KS beer case</t>
  </si>
  <si>
    <r>
      <rPr>
        <b/>
        <sz val="11"/>
        <color rgb="FF000000"/>
        <rFont val="Calibri"/>
        <scheme val="minor"/>
      </rPr>
      <t xml:space="preserve">ПИВО КРУЖКА СВЕЖЕГО МЯГКОЕ БАНКА 0,45Л
</t>
    </r>
    <r>
      <rPr>
        <b/>
        <sz val="11"/>
        <color rgb="FFFF0000"/>
        <rFont val="Calibri"/>
        <scheme val="minor"/>
      </rPr>
      <t xml:space="preserve">TPR: </t>
    </r>
    <r>
      <rPr>
        <sz val="11"/>
        <color rgb="FFFF0000"/>
        <rFont val="Calibri"/>
        <scheme val="minor"/>
      </rPr>
      <t xml:space="preserve">10%
</t>
    </r>
    <r>
      <rPr>
        <b/>
        <sz val="11"/>
        <color rgb="FF000000"/>
        <rFont val="Calibri"/>
        <scheme val="minor"/>
      </rPr>
      <t xml:space="preserve">ПИВО КРУЖКА СВЕЖЕГО БАНКА 4Х0,45Л МЛТП
</t>
    </r>
    <r>
      <rPr>
        <b/>
        <sz val="11"/>
        <color rgb="FFFF0000"/>
        <rFont val="Calibri"/>
        <scheme val="minor"/>
      </rPr>
      <t>TPR:</t>
    </r>
    <r>
      <rPr>
        <sz val="11"/>
        <color rgb="FFFF0000"/>
        <rFont val="Calibri"/>
        <scheme val="minor"/>
      </rPr>
      <t xml:space="preserve"> 15%
</t>
    </r>
    <r>
      <rPr>
        <b/>
        <sz val="11"/>
        <color rgb="FF000000"/>
        <rFont val="Calibri"/>
        <scheme val="minor"/>
      </rPr>
      <t>Period:</t>
    </r>
    <r>
      <rPr>
        <sz val="11"/>
        <color rgb="FF000000"/>
        <rFont val="Calibri"/>
        <scheme val="minor"/>
      </rPr>
      <t xml:space="preserve"> 15.02 - 28.02</t>
    </r>
  </si>
  <si>
    <r>
      <rPr>
        <b/>
        <sz val="11"/>
        <color rgb="FF000000"/>
        <rFont val="Calibri"/>
        <scheme val="minor"/>
      </rPr>
      <t xml:space="preserve">KRONENBURG BLANC - animated banner
Period: </t>
    </r>
    <r>
      <rPr>
        <sz val="11"/>
        <color rgb="FF000000"/>
        <rFont val="Calibri"/>
        <scheme val="minor"/>
      </rPr>
      <t xml:space="preserve">03.03 - 19.03 (Ramadan period)
</t>
    </r>
    <r>
      <rPr>
        <b/>
        <sz val="11"/>
        <color rgb="FF000000"/>
        <rFont val="Calibri"/>
        <scheme val="minor"/>
      </rPr>
      <t>Mechanics</t>
    </r>
    <r>
      <rPr>
        <sz val="11"/>
        <color rgb="FF000000"/>
        <rFont val="Calibri"/>
        <scheme val="minor"/>
      </rPr>
      <t xml:space="preserve">: Buy 6 cans or bottles of  Kronenburg Blanc  &amp; get a chance to win prizes
</t>
    </r>
    <r>
      <rPr>
        <b/>
        <sz val="11"/>
        <color rgb="FF000000"/>
        <rFont val="Calibri"/>
        <scheme val="minor"/>
      </rPr>
      <t>Prizes:</t>
    </r>
    <r>
      <rPr>
        <sz val="11"/>
        <color rgb="FF000000"/>
        <rFont val="Calibri"/>
        <scheme val="minor"/>
      </rPr>
      <t xml:space="preserve"> 3 Dyson stylers, 3 Instax cameras, 3 beer cases</t>
    </r>
  </si>
  <si>
    <t>Banner photo</t>
  </si>
  <si>
    <t>29.02-13.03.2024</t>
  </si>
  <si>
    <t>VOLT</t>
  </si>
  <si>
    <t>Informational banner in the category "Special offers"</t>
  </si>
  <si>
    <t>-</t>
  </si>
  <si>
    <t>25.04-08.05.2024</t>
  </si>
  <si>
    <t>Informational banner in the category "Water and drinks"</t>
  </si>
  <si>
    <t>17.04-28.05.2024</t>
  </si>
  <si>
    <t>Buy 8 cans or bottles of BM in "Magnum Go" App &amp; get a chance to win prizes</t>
  </si>
  <si>
    <t>Prizes every 2 weeks: Garmin Watch - 2 pc, Grill</t>
  </si>
  <si>
    <r>
      <rPr>
        <b/>
        <sz val="11"/>
        <color rgb="FF000000"/>
        <rFont val="Calibri"/>
        <scheme val="minor"/>
      </rPr>
      <t xml:space="preserve">BOLSHAYA KRUZHKA - animated banner
Period: </t>
    </r>
    <r>
      <rPr>
        <sz val="11"/>
        <color rgb="FF000000"/>
        <rFont val="Calibri"/>
        <scheme val="minor"/>
      </rPr>
      <t xml:space="preserve">06.05 - 19.05
</t>
    </r>
    <r>
      <rPr>
        <b/>
        <sz val="11"/>
        <color rgb="FF000000"/>
        <rFont val="Calibri"/>
        <scheme val="minor"/>
      </rPr>
      <t>Mechanics</t>
    </r>
    <r>
      <rPr>
        <sz val="11"/>
        <color rgb="FF000000"/>
        <rFont val="Calibri"/>
        <scheme val="minor"/>
      </rPr>
      <t xml:space="preserve">: Buy 6 cans or bottles of BK &amp; get a chance to win prizes
</t>
    </r>
    <r>
      <rPr>
        <b/>
        <sz val="11"/>
        <color rgb="FF000000"/>
        <rFont val="Calibri"/>
        <scheme val="minor"/>
      </rPr>
      <t>Prizes:</t>
    </r>
    <r>
      <rPr>
        <sz val="11"/>
        <color rgb="FF000000"/>
        <rFont val="Calibri"/>
        <scheme val="minor"/>
      </rPr>
      <t xml:space="preserve"> 3 beer cases, Window cleaning Robot, Vacuum Cleaner Robot, Yandex station </t>
    </r>
  </si>
  <si>
    <t>Banner photos</t>
  </si>
  <si>
    <t>01.05-15.05.2024</t>
  </si>
  <si>
    <t>Buy 1 can or bottle of VK in "Magnum Go" App &amp; get a chance to win prizes</t>
  </si>
  <si>
    <t>Breadmaker Gorenje, Grill Bork, Chef Kitchen Machine Kenwood</t>
  </si>
  <si>
    <r>
      <rPr>
        <b/>
        <sz val="11"/>
        <color rgb="FF000000"/>
        <rFont val="Calibri"/>
        <scheme val="minor"/>
      </rPr>
      <t xml:space="preserve">ZHIGULI BARNOE - static banner
Period: </t>
    </r>
    <r>
      <rPr>
        <sz val="11"/>
        <color rgb="FF000000"/>
        <rFont val="Calibri"/>
        <scheme val="minor"/>
      </rPr>
      <t xml:space="preserve">09.05-22.05 
</t>
    </r>
    <r>
      <rPr>
        <b/>
        <sz val="11"/>
        <color rgb="FF000000"/>
        <rFont val="Calibri"/>
        <scheme val="minor"/>
      </rPr>
      <t>Mechanics</t>
    </r>
    <r>
      <rPr>
        <sz val="11"/>
        <color rgb="FF000000"/>
        <rFont val="Calibri"/>
        <scheme val="minor"/>
      </rPr>
      <t xml:space="preserve">: Buy 4 cans or bottles of ZHGL &amp; get a chance to win prizes
</t>
    </r>
    <r>
      <rPr>
        <b/>
        <sz val="11"/>
        <color rgb="FF000000"/>
        <rFont val="Calibri"/>
        <scheme val="minor"/>
      </rPr>
      <t>Prizes:</t>
    </r>
    <r>
      <rPr>
        <sz val="11"/>
        <color rgb="FF000000"/>
        <rFont val="Calibri"/>
        <scheme val="minor"/>
      </rPr>
      <t xml:space="preserve"> Yandex station mini</t>
    </r>
  </si>
  <si>
    <t>17.05-13.06.2024</t>
  </si>
  <si>
    <t>MGD</t>
  </si>
  <si>
    <t>JBL Boombox 3,  JBL Pulse 5, JBL CLIP 4</t>
  </si>
  <si>
    <r>
      <rPr>
        <b/>
        <sz val="11"/>
        <color rgb="FF000000"/>
        <rFont val="Calibri"/>
        <scheme val="minor"/>
      </rPr>
      <t xml:space="preserve">KRONENBURG BLANC ROSE - animated banner
Period: </t>
    </r>
    <r>
      <rPr>
        <sz val="11"/>
        <color rgb="FF000000"/>
        <rFont val="Calibri"/>
        <scheme val="minor"/>
      </rPr>
      <t xml:space="preserve">20.05 - 02.06
</t>
    </r>
    <r>
      <rPr>
        <b/>
        <sz val="11"/>
        <color rgb="FF000000"/>
        <rFont val="Calibri"/>
        <scheme val="minor"/>
      </rPr>
      <t>Mechanics</t>
    </r>
    <r>
      <rPr>
        <sz val="11"/>
        <color rgb="FF000000"/>
        <rFont val="Calibri"/>
        <scheme val="minor"/>
      </rPr>
      <t>: information banner about the new product</t>
    </r>
  </si>
  <si>
    <t>01.06-14.06.2024</t>
  </si>
  <si>
    <t>Buy 10 cans or bottles of Bremen in "Magnum Go" App &amp; get a chance to win prizes</t>
  </si>
  <si>
    <t>Кухонная машина SMEG, Airpods pro 2, beer case</t>
  </si>
  <si>
    <t>21.06-18.07.2024</t>
  </si>
  <si>
    <t>Informational banner in the category</t>
  </si>
  <si>
    <t>14.06-27.06.2024</t>
  </si>
  <si>
    <t>Informational NCP banner on main page &amp; in the category</t>
  </si>
  <si>
    <t>04.07-17.07.2024</t>
  </si>
  <si>
    <t>JBL Charge 5, JBL clip 4, beer case</t>
  </si>
  <si>
    <r>
      <rPr>
        <b/>
        <sz val="11"/>
        <color rgb="FF000000"/>
        <rFont val="Calibri"/>
        <scheme val="minor"/>
      </rPr>
      <t xml:space="preserve">Carlsberg banner + lays bundle
Period: </t>
    </r>
    <r>
      <rPr>
        <sz val="11"/>
        <color rgb="FF000000"/>
        <rFont val="Calibri"/>
        <scheme val="minor"/>
      </rPr>
      <t xml:space="preserve">July 2024
</t>
    </r>
    <r>
      <rPr>
        <b/>
        <sz val="11"/>
        <color rgb="FF000000"/>
        <rFont val="Calibri"/>
        <scheme val="minor"/>
      </rPr>
      <t>Mechanics:</t>
    </r>
    <r>
      <rPr>
        <sz val="11"/>
        <color rgb="FF000000"/>
        <rFont val="Calibri"/>
        <scheme val="minor"/>
      </rPr>
      <t xml:space="preserve"> buy 2 bottles of Carlsberg and lays with salmon &amp; get 1 Carlsberg bottle as a gift</t>
    </r>
  </si>
  <si>
    <t>08.08-21.08.2024</t>
  </si>
  <si>
    <t>JBL Boombox 3, JBL tune 760NC, beer case</t>
  </si>
  <si>
    <t>01.08-28.08.2024</t>
  </si>
  <si>
    <t>розыгрыш призов каждую неделю: Iphone 15 pro max -2шт, JBL Flip 5 - 6шт, колонка Bang&amp;olufsen - 3шт, Nintendo switch - 3 шт</t>
  </si>
  <si>
    <t>01.09-14.09.2024</t>
  </si>
  <si>
    <t>Iphone 15, airpods max, ipad air</t>
  </si>
  <si>
    <t xml:space="preserve">Carlsberg – animated banner
Period: September 2024
Mechanics: Buy 5 bottles of Carlsberg &amp; get a chance to win prizes
Prizes: cooler bag, backpack, pillow, scarf, football ball, beer case
</t>
  </si>
  <si>
    <t>10.09-21.10.2024</t>
  </si>
  <si>
    <t>Apple watch series 9, Smeg kitchen machine, Grill Delonghi</t>
  </si>
  <si>
    <r>
      <rPr>
        <b/>
        <sz val="11"/>
        <color rgb="FF000000"/>
        <rFont val="Calibri"/>
        <scheme val="minor"/>
      </rPr>
      <t>Holsten – animated banner
Period:</t>
    </r>
    <r>
      <rPr>
        <sz val="11"/>
        <color rgb="FF000000"/>
        <rFont val="Calibri"/>
        <scheme val="minor"/>
      </rPr>
      <t xml:space="preserve"> October 2024
</t>
    </r>
    <r>
      <rPr>
        <b/>
        <sz val="11"/>
        <color rgb="FF000000"/>
        <rFont val="Calibri"/>
        <scheme val="minor"/>
      </rPr>
      <t xml:space="preserve">Mechanics: </t>
    </r>
    <r>
      <rPr>
        <sz val="11"/>
        <color rgb="FF000000"/>
        <rFont val="Calibri"/>
        <scheme val="minor"/>
      </rPr>
      <t xml:space="preserve">Buy 2 bottles Holsten light &amp; 2 bottles Holsten pilsener and get chance to win prizes
</t>
    </r>
    <r>
      <rPr>
        <b/>
        <sz val="11"/>
        <color rgb="FF000000"/>
        <rFont val="Calibri"/>
        <scheme val="minor"/>
      </rPr>
      <t>Prizes:</t>
    </r>
    <r>
      <rPr>
        <sz val="11"/>
        <color rgb="FF000000"/>
        <rFont val="Calibri"/>
        <scheme val="minor"/>
      </rPr>
      <t xml:space="preserve"> Airpods Max, Playstatiom 5, Yandex station zigbee</t>
    </r>
  </si>
  <si>
    <t>21.10-03.11.2024</t>
  </si>
  <si>
    <t>Buy 1 can or bottle of Bavaria in "Magnum Go" App &amp; get a chance to win prizes</t>
  </si>
  <si>
    <t>Yandex station Max Zigbee 2 pc, Wanbo Mozart 1 Pro 2 pc</t>
  </si>
  <si>
    <t>31.10.2024 - 27.11.2024</t>
  </si>
  <si>
    <t>Кружка Свежего</t>
  </si>
  <si>
    <t>Buy 2 cans or bottles of KS in "Magnum Go" App &amp; get a chance to win prizes. The first 500 people who will receive a guaranteed prize - Lays</t>
  </si>
  <si>
    <t>Iphone 16 pro - 2pc, Apple airpods Max - 2 pc</t>
  </si>
  <si>
    <t>01.11.2024 - 14.11.2024</t>
  </si>
  <si>
    <t>Buy 2 cans of VOLT in "Magnum Go" App &amp; get a chance to win prizes</t>
  </si>
  <si>
    <t>Logitech Gaming G PRO Headset - 6 pc</t>
  </si>
  <si>
    <t>22.11.2024 - 05.12.2024</t>
  </si>
  <si>
    <t>Buy 4 can or bottle of EP in "Magnum Go" App &amp; get a chance to win prizes</t>
  </si>
  <si>
    <t>Playstation 5 slim - 3 pc</t>
  </si>
  <si>
    <r>
      <rPr>
        <b/>
        <sz val="11"/>
        <color rgb="FF000000"/>
        <rFont val="Calibri"/>
        <scheme val="minor"/>
      </rPr>
      <t>KRONENBURG BLANC - animated banner
Period:</t>
    </r>
    <r>
      <rPr>
        <sz val="11"/>
        <color rgb="FF000000"/>
        <rFont val="Calibri"/>
        <scheme val="minor"/>
      </rPr>
      <t xml:space="preserve"> 2nd part of December
</t>
    </r>
    <r>
      <rPr>
        <b/>
        <sz val="11"/>
        <color rgb="FF000000"/>
        <rFont val="Calibri"/>
        <scheme val="minor"/>
      </rPr>
      <t xml:space="preserve">Mechanics: </t>
    </r>
    <r>
      <rPr>
        <sz val="11"/>
        <color rgb="FF000000"/>
        <rFont val="Calibri"/>
        <scheme val="minor"/>
      </rPr>
      <t xml:space="preserve">Buy 6 cans or bottles of Kronenburg Blanc &amp; get a chance to win prizes
</t>
    </r>
    <r>
      <rPr>
        <b/>
        <sz val="11"/>
        <color rgb="FF000000"/>
        <rFont val="Calibri"/>
        <scheme val="minor"/>
      </rPr>
      <t xml:space="preserve">Prizes: </t>
    </r>
    <r>
      <rPr>
        <sz val="11"/>
        <color rgb="FF000000"/>
        <rFont val="Calibri"/>
        <scheme val="minor"/>
      </rPr>
      <t>Dyson vacuum cleaner x2, branded notebook x10, special brand gift (?) х10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</si>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</sst>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64" fontId="0" fillId="0" borderId="1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6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 wrapText="1"/>
    </xf>
    <xf numFmtId="164" fontId="0" fillId="0" borderId="9" xfId="1" applyNumberFormat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4" fontId="0" fillId="0" borderId="0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9" fontId="0" fillId="0" borderId="16" xfId="0" applyNumberFormat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 wrapText="1"/>
    </xf>
    <xf numFmtId="164" fontId="0" fillId="0" borderId="17" xfId="1" applyNumberFormat="1" applyFont="1" applyBorder="1" applyAlignment="1">
      <alignment horizontal="center" vertical="center" wrapText="1"/>
    </xf>
    <xf numFmtId="164" fontId="0" fillId="0" borderId="19" xfId="1" applyNumberFormat="1" applyFont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 wrapText="1"/>
    </xf>
    <xf numFmtId="164" fontId="0" fillId="0" borderId="11" xfId="1" applyNumberFormat="1" applyFont="1" applyBorder="1" applyAlignment="1">
      <alignment horizontal="center" vertical="center" wrapText="1"/>
    </xf>
    <xf numFmtId="164" fontId="0" fillId="0" borderId="4" xfId="1" applyNumberFormat="1" applyFont="1" applyFill="1" applyBorder="1" applyAlignment="1">
      <alignment horizontal="center" vertical="center" wrapText="1"/>
    </xf>
    <xf numFmtId="164" fontId="0" fillId="0" borderId="9" xfId="1" applyNumberFormat="1" applyFont="1" applyFill="1" applyBorder="1" applyAlignment="1">
      <alignment horizontal="center" vertical="center" wrapText="1"/>
    </xf>
    <xf numFmtId="164" fontId="0" fillId="0" borderId="6" xfId="1" applyNumberFormat="1" applyFont="1" applyFill="1" applyBorder="1" applyAlignment="1">
      <alignment horizontal="center" vertical="center" wrapText="1"/>
    </xf>
    <xf numFmtId="164" fontId="0" fillId="0" borderId="19" xfId="1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 wrapText="1"/>
    </xf>
    <xf numFmtId="0" fontId="0" fillId="0" borderId="13" xfId="0" applyBorder="1"/>
    <xf numFmtId="9" fontId="0" fillId="0" borderId="20" xfId="0" applyNumberFormat="1" applyBorder="1" applyAlignment="1">
      <alignment horizontal="center" vertical="center"/>
    </xf>
    <xf numFmtId="1" fontId="3" fillId="0" borderId="12" xfId="1" applyNumberFormat="1" applyFont="1" applyBorder="1" applyAlignment="1">
      <alignment horizontal="center" vertical="center" wrapText="1"/>
    </xf>
    <xf numFmtId="164" fontId="0" fillId="0" borderId="3" xfId="1" applyNumberFormat="1" applyFont="1" applyFill="1" applyBorder="1" applyAlignment="1">
      <alignment horizontal="center" vertical="center" wrapText="1"/>
    </xf>
    <xf numFmtId="165" fontId="0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6" xfId="2" applyBorder="1" applyAlignment="1">
      <alignment horizontal="center" vertical="center" wrapText="1"/>
    </xf>
    <xf numFmtId="0" fontId="4" fillId="0" borderId="6" xfId="2" applyBorder="1" applyAlignment="1">
      <alignment horizontal="center" vertical="center"/>
    </xf>
    <xf numFmtId="0" fontId="0" fillId="0" borderId="21" xfId="0" applyBorder="1"/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ZUeZTkiJnedOTHwwoKxQCnnZjh_tDcoV/view?usp=sharing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rive.google.com/drive/folders/1ejG2fZhGI7sxu08swBhuqkCtpSWUNt3S?usp=sharing" TargetMode="External"/><Relationship Id="rId1" Type="http://schemas.openxmlformats.org/officeDocument/2006/relationships/hyperlink" Target="https://drive.google.com/file/d/1yATIbl7phFCWdG8aPuIna2Usqki8fcjS/view?usp=sharing" TargetMode="External"/><Relationship Id="rId6" Type="http://schemas.openxmlformats.org/officeDocument/2006/relationships/vmlDrawing" Target="../drawings/vmlDrawing1.vml"/><Relationship Id="rId5" Type="http://schemas.openxmlformats.org/officeDocument/2006/relationships/customProperty" Target="../customProperty1.bin"/><Relationship Id="rId4" Type="http://schemas.openxmlformats.org/officeDocument/2006/relationships/hyperlink" Target="https://drive.google.com/file/d/1DqrH4S3ygemlksMLEmN40AOI1CNUHvcv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48BF-36A3-4D67-B2F1-D4471502A78B}">
  <sheetPr filterMode="1"/>
  <dimension ref="A1:Y36"/>
  <sheetViews>
    <sheetView tabSelected="1" topLeftCell="R1" zoomScale="67" workbookViewId="0">
      <pane ySplit="1" topLeftCell="A14" activePane="bottomLeft" state="frozen"/>
      <selection pane="bottomLeft" activeCell="V16" sqref="V16"/>
    </sheetView>
  </sheetViews>
  <sheetFormatPr defaultColWidth="9.109375" defaultRowHeight="15" customHeight="1" x14ac:dyDescent="0.3"/>
  <cols>
    <col min="1" max="1" width="6.33203125" customWidth="1"/>
    <col min="2" max="2" width="11.109375" customWidth="1"/>
    <col min="3" max="3" width="17.5546875" customWidth="1"/>
    <col min="4" max="4" width="9.5546875" customWidth="1"/>
    <col min="5" max="5" width="32.33203125" customWidth="1"/>
    <col min="6" max="6" width="28.109375" customWidth="1"/>
    <col min="7" max="7" width="15" customWidth="1"/>
    <col min="8" max="8" width="10.88671875" customWidth="1"/>
    <col min="9" max="9" width="13.88671875" customWidth="1"/>
    <col min="10" max="10" width="16.5546875" customWidth="1"/>
    <col min="11" max="11" width="9.5546875" customWidth="1"/>
    <col min="12" max="12" width="18" customWidth="1"/>
    <col min="13" max="13" width="12.88671875" customWidth="1"/>
    <col min="14" max="14" width="10.88671875" customWidth="1"/>
    <col min="15" max="16" width="12.33203125" customWidth="1"/>
    <col min="17" max="17" width="15.33203125" customWidth="1"/>
    <col min="18" max="18" width="14.33203125" customWidth="1"/>
    <col min="19" max="19" width="15.109375" customWidth="1"/>
    <col min="20" max="20" width="14.33203125" customWidth="1"/>
    <col min="21" max="21" width="12.88671875" customWidth="1"/>
    <col min="22" max="22" width="30.6640625" customWidth="1"/>
    <col min="23" max="23" width="51.5546875" customWidth="1"/>
    <col min="24" max="24" width="22.109375" customWidth="1"/>
    <col min="25" max="25" width="31.88671875" customWidth="1"/>
  </cols>
  <sheetData>
    <row r="1" spans="1:25" ht="61.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9" t="s">
        <v>19</v>
      </c>
      <c r="U1" s="17" t="s">
        <v>20</v>
      </c>
      <c r="V1" s="17" t="s">
        <v>21</v>
      </c>
      <c r="W1" s="17" t="s">
        <v>22</v>
      </c>
      <c r="X1" s="9" t="s">
        <v>23</v>
      </c>
      <c r="Y1" s="62" t="s">
        <v>24</v>
      </c>
    </row>
    <row r="2" spans="1:25" ht="61.5" hidden="1" customHeight="1" x14ac:dyDescent="0.3">
      <c r="A2" s="3">
        <v>1</v>
      </c>
      <c r="B2" s="14">
        <v>2023</v>
      </c>
      <c r="C2" s="1" t="s">
        <v>25</v>
      </c>
      <c r="D2" s="2" t="s">
        <v>26</v>
      </c>
      <c r="E2" s="1" t="s">
        <v>27</v>
      </c>
      <c r="F2" s="1" t="s">
        <v>28</v>
      </c>
      <c r="G2" s="6">
        <v>46.86</v>
      </c>
      <c r="H2" s="6">
        <v>232.65</v>
      </c>
      <c r="I2" s="8">
        <v>126.72</v>
      </c>
      <c r="J2" s="8"/>
      <c r="K2" s="8">
        <f>H2-G2</f>
        <v>185.79000000000002</v>
      </c>
      <c r="L2" s="11">
        <f>I2/G2-1</f>
        <v>1.704225352112676</v>
      </c>
      <c r="M2" s="10">
        <v>93808</v>
      </c>
      <c r="N2" s="10">
        <v>510000</v>
      </c>
      <c r="O2" s="10">
        <v>48888</v>
      </c>
      <c r="P2" s="10">
        <v>100000</v>
      </c>
      <c r="Q2" s="10">
        <v>752696</v>
      </c>
      <c r="R2" s="13"/>
      <c r="S2" s="13"/>
      <c r="T2" s="10">
        <v>136100</v>
      </c>
      <c r="U2" s="18">
        <f>(T2-Q2)/Q2</f>
        <v>-0.81918330906501424</v>
      </c>
      <c r="V2" s="19"/>
      <c r="Y2" s="65"/>
    </row>
    <row r="3" spans="1:25" ht="61.5" hidden="1" customHeight="1" x14ac:dyDescent="0.3">
      <c r="A3" s="3">
        <v>2</v>
      </c>
      <c r="B3" s="14">
        <v>2023</v>
      </c>
      <c r="C3" s="1" t="s">
        <v>29</v>
      </c>
      <c r="D3" s="2" t="s">
        <v>30</v>
      </c>
      <c r="E3" s="1" t="s">
        <v>31</v>
      </c>
      <c r="F3" s="1" t="s">
        <v>32</v>
      </c>
      <c r="G3" s="6">
        <v>373.35</v>
      </c>
      <c r="H3" s="6">
        <v>298.3</v>
      </c>
      <c r="I3" s="16">
        <v>23.274999999999999</v>
      </c>
      <c r="J3" s="16"/>
      <c r="K3" s="8">
        <f t="shared" ref="K3:K13" si="0">H3-G3</f>
        <v>-75.050000000000011</v>
      </c>
      <c r="L3" s="11">
        <f>I3/G3-1</f>
        <v>-0.93765903307888043</v>
      </c>
      <c r="M3" s="10" t="s">
        <v>33</v>
      </c>
      <c r="N3" s="10">
        <v>600000</v>
      </c>
      <c r="O3" s="10">
        <v>48888</v>
      </c>
      <c r="P3" s="10">
        <v>140000</v>
      </c>
      <c r="Q3" s="10">
        <v>788888</v>
      </c>
      <c r="R3" s="13"/>
      <c r="S3" s="13"/>
      <c r="T3" s="10">
        <v>842713</v>
      </c>
      <c r="U3" s="18">
        <f t="shared" ref="U3:U13" si="1">(T3-Q3)/Q3</f>
        <v>6.8228950117126888E-2</v>
      </c>
      <c r="V3" s="19"/>
      <c r="Y3" s="21"/>
    </row>
    <row r="4" spans="1:25" ht="61.5" hidden="1" customHeight="1" x14ac:dyDescent="0.3">
      <c r="A4" s="3">
        <v>3</v>
      </c>
      <c r="B4" s="14">
        <v>2023</v>
      </c>
      <c r="C4" s="1" t="s">
        <v>34</v>
      </c>
      <c r="D4" s="2" t="s">
        <v>26</v>
      </c>
      <c r="E4" s="1" t="s">
        <v>35</v>
      </c>
      <c r="F4" s="1" t="s">
        <v>36</v>
      </c>
      <c r="G4" s="6">
        <v>1074.5999999999999</v>
      </c>
      <c r="H4" s="6">
        <v>1444.41</v>
      </c>
      <c r="I4" s="15">
        <v>330.66</v>
      </c>
      <c r="J4" s="12"/>
      <c r="K4" s="8">
        <f t="shared" si="0"/>
        <v>369.81000000000017</v>
      </c>
      <c r="L4" s="11">
        <f t="shared" ref="L4:L12" si="2">I4/G4-1</f>
        <v>-0.69229480737018423</v>
      </c>
      <c r="M4" s="10">
        <v>40139</v>
      </c>
      <c r="N4" s="10">
        <v>510000</v>
      </c>
      <c r="O4" s="10">
        <v>48888</v>
      </c>
      <c r="P4" s="10">
        <v>252000</v>
      </c>
      <c r="Q4" s="10">
        <v>851027</v>
      </c>
      <c r="R4" s="13"/>
      <c r="S4" s="13"/>
      <c r="T4" s="10">
        <v>844980</v>
      </c>
      <c r="U4" s="18">
        <f t="shared" si="1"/>
        <v>-7.1055324919185878E-3</v>
      </c>
      <c r="V4" s="19"/>
      <c r="Y4" s="21"/>
    </row>
    <row r="5" spans="1:25" ht="61.5" hidden="1" customHeight="1" x14ac:dyDescent="0.3">
      <c r="A5" s="3">
        <v>4</v>
      </c>
      <c r="B5" s="14">
        <v>2023</v>
      </c>
      <c r="C5" s="1" t="s">
        <v>37</v>
      </c>
      <c r="D5" s="2" t="s">
        <v>38</v>
      </c>
      <c r="E5" s="1" t="s">
        <v>39</v>
      </c>
      <c r="F5" s="1" t="s">
        <v>40</v>
      </c>
      <c r="G5" s="6">
        <v>2182.85</v>
      </c>
      <c r="H5" s="6">
        <v>2835.4</v>
      </c>
      <c r="I5" s="8"/>
      <c r="J5" s="8"/>
      <c r="K5" s="8">
        <f t="shared" si="0"/>
        <v>652.55000000000018</v>
      </c>
      <c r="L5" s="11"/>
      <c r="M5" s="10">
        <v>40000</v>
      </c>
      <c r="N5" s="10">
        <v>510000</v>
      </c>
      <c r="O5" s="10">
        <v>48888</v>
      </c>
      <c r="P5" s="10">
        <v>277300</v>
      </c>
      <c r="Q5" s="10">
        <v>876188</v>
      </c>
      <c r="R5" s="13"/>
      <c r="S5" s="13"/>
      <c r="T5" s="10">
        <v>1862927</v>
      </c>
      <c r="U5" s="18">
        <f t="shared" si="1"/>
        <v>1.1261726935315253</v>
      </c>
      <c r="V5" s="19"/>
      <c r="Y5" s="30" t="s">
        <v>41</v>
      </c>
    </row>
    <row r="6" spans="1:25" ht="61.5" hidden="1" customHeight="1" x14ac:dyDescent="0.3">
      <c r="A6" s="3">
        <v>5</v>
      </c>
      <c r="B6" s="14">
        <v>2023</v>
      </c>
      <c r="C6" s="1" t="s">
        <v>37</v>
      </c>
      <c r="D6" s="2" t="s">
        <v>42</v>
      </c>
      <c r="E6" s="1" t="s">
        <v>43</v>
      </c>
      <c r="F6" s="1" t="s">
        <v>44</v>
      </c>
      <c r="G6" s="6">
        <v>3935.11</v>
      </c>
      <c r="H6" s="6">
        <v>5754.35</v>
      </c>
      <c r="I6" s="8"/>
      <c r="J6" s="8"/>
      <c r="K6" s="8">
        <f t="shared" si="0"/>
        <v>1819.2400000000002</v>
      </c>
      <c r="L6" s="11"/>
      <c r="M6" s="10">
        <v>40000</v>
      </c>
      <c r="N6" s="10">
        <v>510000</v>
      </c>
      <c r="O6" s="10">
        <v>48888</v>
      </c>
      <c r="P6" s="10">
        <v>60000</v>
      </c>
      <c r="Q6" s="10">
        <v>658888</v>
      </c>
      <c r="R6" s="13"/>
      <c r="S6" s="13"/>
      <c r="T6" s="10">
        <v>5376266</v>
      </c>
      <c r="U6" s="18">
        <f t="shared" si="1"/>
        <v>7.1596052743410112</v>
      </c>
      <c r="V6" s="19"/>
      <c r="Y6" s="19"/>
    </row>
    <row r="7" spans="1:25" ht="61.5" hidden="1" customHeight="1" x14ac:dyDescent="0.3">
      <c r="A7" s="3">
        <v>6</v>
      </c>
      <c r="B7" s="14">
        <v>2023</v>
      </c>
      <c r="C7" s="1" t="s">
        <v>45</v>
      </c>
      <c r="D7" s="2" t="s">
        <v>46</v>
      </c>
      <c r="E7" s="1" t="s">
        <v>47</v>
      </c>
      <c r="F7" s="1" t="s">
        <v>48</v>
      </c>
      <c r="G7" s="6">
        <v>28140.5</v>
      </c>
      <c r="H7" s="6">
        <v>30212.05</v>
      </c>
      <c r="I7" s="8"/>
      <c r="J7" s="8"/>
      <c r="K7" s="8">
        <f t="shared" si="0"/>
        <v>2071.5499999999993</v>
      </c>
      <c r="L7" s="11"/>
      <c r="M7" s="10">
        <v>100000</v>
      </c>
      <c r="N7" s="10">
        <v>2040000</v>
      </c>
      <c r="O7" s="10">
        <v>48888</v>
      </c>
      <c r="P7" s="10">
        <v>733464</v>
      </c>
      <c r="Q7" s="10">
        <v>2922352</v>
      </c>
      <c r="R7" s="13"/>
      <c r="S7" s="13"/>
      <c r="T7" s="10">
        <v>15150726</v>
      </c>
      <c r="U7" s="18">
        <f t="shared" si="1"/>
        <v>4.1844288436163746</v>
      </c>
      <c r="V7" s="19"/>
      <c r="Y7" s="39"/>
    </row>
    <row r="8" spans="1:25" ht="61.5" hidden="1" customHeight="1" x14ac:dyDescent="0.3">
      <c r="A8" s="3">
        <v>7</v>
      </c>
      <c r="B8" s="14">
        <v>2023</v>
      </c>
      <c r="C8" s="1" t="s">
        <v>45</v>
      </c>
      <c r="D8" s="2" t="s">
        <v>49</v>
      </c>
      <c r="E8" s="1" t="s">
        <v>50</v>
      </c>
      <c r="F8" s="1" t="s">
        <v>51</v>
      </c>
      <c r="G8" s="6">
        <v>4852.45</v>
      </c>
      <c r="H8" s="6">
        <v>8192.7000000000007</v>
      </c>
      <c r="I8" s="8"/>
      <c r="J8" s="8"/>
      <c r="K8" s="8">
        <f t="shared" si="0"/>
        <v>3340.2500000000009</v>
      </c>
      <c r="L8" s="11"/>
      <c r="M8" s="10">
        <v>40000</v>
      </c>
      <c r="N8" s="10">
        <v>510000</v>
      </c>
      <c r="O8" s="10">
        <v>48888</v>
      </c>
      <c r="P8" s="10">
        <v>150000</v>
      </c>
      <c r="Q8" s="10">
        <v>748888</v>
      </c>
      <c r="R8" s="13"/>
      <c r="S8" s="13"/>
      <c r="T8" s="10">
        <v>4604135</v>
      </c>
      <c r="U8" s="18">
        <f t="shared" si="1"/>
        <v>5.1479620450588071</v>
      </c>
      <c r="V8" s="19"/>
      <c r="Y8" s="21"/>
    </row>
    <row r="9" spans="1:25" ht="61.5" hidden="1" customHeight="1" x14ac:dyDescent="0.3">
      <c r="A9" s="3">
        <v>8</v>
      </c>
      <c r="B9" s="14">
        <v>2023</v>
      </c>
      <c r="C9" s="1" t="s">
        <v>52</v>
      </c>
      <c r="D9" s="2" t="s">
        <v>26</v>
      </c>
      <c r="E9" s="1" t="s">
        <v>53</v>
      </c>
      <c r="F9" s="7" t="s">
        <v>54</v>
      </c>
      <c r="G9" s="6">
        <v>780</v>
      </c>
      <c r="H9" s="6">
        <v>1499.2</v>
      </c>
      <c r="I9" s="8">
        <v>821.5</v>
      </c>
      <c r="J9" s="8"/>
      <c r="K9" s="8">
        <f t="shared" si="0"/>
        <v>719.2</v>
      </c>
      <c r="L9" s="11">
        <f t="shared" si="2"/>
        <v>5.3205128205128238E-2</v>
      </c>
      <c r="M9" s="10">
        <v>195196</v>
      </c>
      <c r="N9" s="10">
        <v>1750000</v>
      </c>
      <c r="O9" s="10">
        <v>48888</v>
      </c>
      <c r="P9" s="10">
        <v>310000</v>
      </c>
      <c r="Q9" s="10">
        <v>2304084</v>
      </c>
      <c r="R9" s="13"/>
      <c r="S9" s="13"/>
      <c r="T9" s="10">
        <v>1058318</v>
      </c>
      <c r="U9" s="18">
        <f t="shared" si="1"/>
        <v>-0.54067733641655424</v>
      </c>
      <c r="V9" s="19"/>
      <c r="Y9" s="21"/>
    </row>
    <row r="10" spans="1:25" ht="61.5" hidden="1" customHeight="1" x14ac:dyDescent="0.3">
      <c r="A10" s="3">
        <v>9</v>
      </c>
      <c r="B10" s="14">
        <v>2023</v>
      </c>
      <c r="C10" s="1" t="s">
        <v>55</v>
      </c>
      <c r="D10" s="2" t="s">
        <v>56</v>
      </c>
      <c r="E10" s="1" t="s">
        <v>57</v>
      </c>
      <c r="F10" s="7" t="s">
        <v>58</v>
      </c>
      <c r="G10" s="6">
        <v>5279.1</v>
      </c>
      <c r="H10" s="6">
        <v>9746.7999999999993</v>
      </c>
      <c r="I10" s="8">
        <v>6131.7</v>
      </c>
      <c r="J10" s="8"/>
      <c r="K10" s="8">
        <f t="shared" si="0"/>
        <v>4467.6999999999989</v>
      </c>
      <c r="L10" s="11">
        <f t="shared" si="2"/>
        <v>0.1615048019548786</v>
      </c>
      <c r="M10" s="10">
        <v>37447</v>
      </c>
      <c r="N10" s="10">
        <v>510000</v>
      </c>
      <c r="O10" s="10">
        <v>48888</v>
      </c>
      <c r="P10" s="10">
        <v>95238</v>
      </c>
      <c r="Q10" s="10">
        <v>691573</v>
      </c>
      <c r="R10" s="13"/>
      <c r="S10" s="13"/>
      <c r="T10" s="10">
        <v>5571002</v>
      </c>
      <c r="U10" s="18">
        <f t="shared" si="1"/>
        <v>7.0555516192795267</v>
      </c>
      <c r="V10" s="19"/>
      <c r="Y10" s="21"/>
    </row>
    <row r="11" spans="1:25" ht="61.5" hidden="1" customHeight="1" x14ac:dyDescent="0.3">
      <c r="A11" s="3">
        <v>10</v>
      </c>
      <c r="B11" s="14">
        <v>2023</v>
      </c>
      <c r="C11" s="1" t="s">
        <v>59</v>
      </c>
      <c r="D11" s="2" t="s">
        <v>30</v>
      </c>
      <c r="E11" s="1" t="s">
        <v>60</v>
      </c>
      <c r="F11" s="7" t="s">
        <v>61</v>
      </c>
      <c r="G11" s="6">
        <v>4962.45</v>
      </c>
      <c r="H11" s="6">
        <v>8045.05</v>
      </c>
      <c r="I11" s="8"/>
      <c r="J11" s="8"/>
      <c r="K11" s="8">
        <f t="shared" si="0"/>
        <v>3082.6000000000004</v>
      </c>
      <c r="L11" s="11"/>
      <c r="M11" s="10" t="s">
        <v>62</v>
      </c>
      <c r="N11" s="10">
        <v>1020000</v>
      </c>
      <c r="O11" s="10">
        <v>48888</v>
      </c>
      <c r="P11" s="10">
        <v>52000</v>
      </c>
      <c r="Q11" s="10">
        <v>1120888</v>
      </c>
      <c r="R11" s="13"/>
      <c r="S11" s="13"/>
      <c r="T11" s="10">
        <v>5240542</v>
      </c>
      <c r="U11" s="18">
        <f t="shared" si="1"/>
        <v>3.6753484737101298</v>
      </c>
      <c r="V11" s="19"/>
      <c r="Y11" s="21"/>
    </row>
    <row r="12" spans="1:25" ht="61.5" hidden="1" customHeight="1" x14ac:dyDescent="0.3">
      <c r="A12" s="3">
        <v>11</v>
      </c>
      <c r="B12" s="14">
        <v>2023</v>
      </c>
      <c r="C12" s="1" t="s">
        <v>63</v>
      </c>
      <c r="D12" s="2" t="s">
        <v>38</v>
      </c>
      <c r="E12" s="1" t="s">
        <v>64</v>
      </c>
      <c r="F12" s="7" t="s">
        <v>65</v>
      </c>
      <c r="G12" s="6">
        <v>767.15</v>
      </c>
      <c r="H12" s="6">
        <v>1656.6</v>
      </c>
      <c r="I12" s="8">
        <v>576.85</v>
      </c>
      <c r="J12" s="8"/>
      <c r="K12" s="8">
        <f t="shared" si="0"/>
        <v>889.44999999999993</v>
      </c>
      <c r="L12" s="11">
        <f t="shared" si="2"/>
        <v>-0.2480610050185752</v>
      </c>
      <c r="M12" s="10">
        <v>37447</v>
      </c>
      <c r="N12" s="10">
        <v>255000</v>
      </c>
      <c r="O12" s="10">
        <v>48888</v>
      </c>
      <c r="P12" s="10">
        <v>41000</v>
      </c>
      <c r="Q12" s="10">
        <v>382335</v>
      </c>
      <c r="R12" s="13"/>
      <c r="S12" s="13"/>
      <c r="T12" s="10">
        <v>4319458</v>
      </c>
      <c r="U12" s="18">
        <f t="shared" si="1"/>
        <v>10.297574116939334</v>
      </c>
      <c r="V12" s="19"/>
      <c r="Y12" s="21"/>
    </row>
    <row r="13" spans="1:25" ht="61.5" hidden="1" customHeight="1" x14ac:dyDescent="0.3">
      <c r="A13" s="3">
        <v>12</v>
      </c>
      <c r="B13" s="14">
        <v>2023</v>
      </c>
      <c r="C13" s="1" t="s">
        <v>66</v>
      </c>
      <c r="D13" s="2" t="s">
        <v>49</v>
      </c>
      <c r="E13" s="1" t="s">
        <v>50</v>
      </c>
      <c r="F13" s="7" t="s">
        <v>67</v>
      </c>
      <c r="G13" s="6">
        <v>256.95</v>
      </c>
      <c r="H13" s="6">
        <v>1725.3</v>
      </c>
      <c r="I13" s="8"/>
      <c r="J13" s="8"/>
      <c r="K13" s="8">
        <f t="shared" si="0"/>
        <v>1468.35</v>
      </c>
      <c r="L13" s="11"/>
      <c r="M13" s="10">
        <v>37652</v>
      </c>
      <c r="N13" s="10">
        <v>510000</v>
      </c>
      <c r="O13" s="10">
        <v>48888</v>
      </c>
      <c r="P13" s="10">
        <v>80000</v>
      </c>
      <c r="Q13" s="10">
        <v>676540</v>
      </c>
      <c r="R13" s="35"/>
      <c r="S13" s="13"/>
      <c r="T13" s="10">
        <v>1350910</v>
      </c>
      <c r="U13" s="18">
        <f t="shared" si="1"/>
        <v>0.9967925030301239</v>
      </c>
      <c r="V13" s="19"/>
      <c r="Y13" s="32"/>
    </row>
    <row r="14" spans="1:25" ht="61.5" customHeight="1" x14ac:dyDescent="0.3">
      <c r="A14" s="3">
        <v>13</v>
      </c>
      <c r="B14" s="14">
        <v>2024</v>
      </c>
      <c r="C14" s="1" t="s">
        <v>68</v>
      </c>
      <c r="D14" s="2" t="s">
        <v>38</v>
      </c>
      <c r="E14" s="1" t="s">
        <v>69</v>
      </c>
      <c r="F14" s="1" t="s">
        <v>70</v>
      </c>
      <c r="G14" s="6">
        <v>227.75</v>
      </c>
      <c r="H14" s="6">
        <v>1217.9000000000001</v>
      </c>
      <c r="I14" s="8">
        <v>1658.3</v>
      </c>
      <c r="J14" s="8">
        <v>2700.85</v>
      </c>
      <c r="K14" s="8">
        <f>H14-G14</f>
        <v>990.15000000000009</v>
      </c>
      <c r="L14" s="11">
        <f>I14/G14-1</f>
        <v>6.2812294182217343</v>
      </c>
      <c r="M14" s="10">
        <v>223800</v>
      </c>
      <c r="N14" s="48">
        <v>697000</v>
      </c>
      <c r="O14" s="10">
        <v>48888</v>
      </c>
      <c r="P14" s="10">
        <f>50000+315000</f>
        <v>365000</v>
      </c>
      <c r="Q14" s="10">
        <f>P14+O14+N14+M14</f>
        <v>1334688</v>
      </c>
      <c r="R14" s="34">
        <f>Q14/H14</f>
        <v>1095.8929304540602</v>
      </c>
      <c r="S14" s="2">
        <f>Q14/I14</f>
        <v>804.85316287764579</v>
      </c>
      <c r="T14" s="10">
        <v>1079249.8</v>
      </c>
      <c r="U14" s="18">
        <f>(T14-Q14)/Q14</f>
        <v>-0.19138420364909248</v>
      </c>
      <c r="V14" s="21"/>
      <c r="W14" s="21"/>
      <c r="X14" s="21"/>
      <c r="Y14" s="20"/>
    </row>
    <row r="15" spans="1:25" ht="69" customHeight="1" x14ac:dyDescent="0.3">
      <c r="A15" s="3">
        <v>14</v>
      </c>
      <c r="B15" s="14">
        <v>2024</v>
      </c>
      <c r="C15" s="1" t="s">
        <v>71</v>
      </c>
      <c r="D15" s="2" t="s">
        <v>26</v>
      </c>
      <c r="E15" s="1" t="s">
        <v>72</v>
      </c>
      <c r="F15" s="1" t="s">
        <v>73</v>
      </c>
      <c r="G15" s="6">
        <v>589.4</v>
      </c>
      <c r="H15" s="6">
        <v>2877.5</v>
      </c>
      <c r="I15" s="6">
        <v>1482.95</v>
      </c>
      <c r="J15" s="6">
        <v>1653</v>
      </c>
      <c r="K15" s="8">
        <f t="shared" ref="K15" si="3">H15-G15</f>
        <v>2288.1</v>
      </c>
      <c r="L15" s="11">
        <f>I15/G15-1</f>
        <v>1.5160332541567696</v>
      </c>
      <c r="M15" s="10">
        <v>44000</v>
      </c>
      <c r="N15" s="48">
        <f>328000+697000</f>
        <v>1025000</v>
      </c>
      <c r="O15" s="10">
        <v>48888</v>
      </c>
      <c r="P15" s="10">
        <f>160000+87000+45000</f>
        <v>292000</v>
      </c>
      <c r="Q15" s="10">
        <f>P15+O15+N15+M15</f>
        <v>1409888</v>
      </c>
      <c r="R15" s="34">
        <f>Q15/H15</f>
        <v>489.9697654213727</v>
      </c>
      <c r="S15" s="2">
        <f t="shared" ref="S15:S16" si="4">Q15/I15</f>
        <v>950.73198691796756</v>
      </c>
      <c r="T15" s="10">
        <v>2218062.6</v>
      </c>
      <c r="U15" s="18">
        <f>(T15-Q15)/Q15</f>
        <v>0.57321900746725984</v>
      </c>
      <c r="V15" s="22" t="s">
        <v>74</v>
      </c>
      <c r="W15" s="21"/>
      <c r="X15" s="21"/>
      <c r="Y15" s="20"/>
    </row>
    <row r="16" spans="1:25" ht="104.25" customHeight="1" x14ac:dyDescent="0.3">
      <c r="A16" s="3">
        <v>15</v>
      </c>
      <c r="B16" s="14">
        <v>2024</v>
      </c>
      <c r="C16" s="1" t="s">
        <v>75</v>
      </c>
      <c r="D16" s="25" t="s">
        <v>30</v>
      </c>
      <c r="E16" s="1" t="s">
        <v>76</v>
      </c>
      <c r="F16" s="1" t="s">
        <v>77</v>
      </c>
      <c r="G16" s="6">
        <v>17324.150000000001</v>
      </c>
      <c r="H16" s="6">
        <v>29254.625</v>
      </c>
      <c r="I16" s="1">
        <v>7058.2749999999996</v>
      </c>
      <c r="J16" s="2">
        <v>1470.325</v>
      </c>
      <c r="K16" s="16">
        <f>H16-G16</f>
        <v>11930.474999999999</v>
      </c>
      <c r="L16" s="11">
        <f>I16/G16-1</f>
        <v>-0.59257597053823718</v>
      </c>
      <c r="M16" s="10">
        <v>150000</v>
      </c>
      <c r="N16" s="48">
        <v>1394000</v>
      </c>
      <c r="O16" s="10">
        <v>48888</v>
      </c>
      <c r="P16" s="10">
        <f>589000+659990</f>
        <v>1248990</v>
      </c>
      <c r="Q16" s="10">
        <f>SUM(M16:P16)</f>
        <v>2841878</v>
      </c>
      <c r="R16" s="34">
        <f>Q16/H16</f>
        <v>97.142862026089887</v>
      </c>
      <c r="S16" s="25">
        <f t="shared" si="4"/>
        <v>402.63067109173278</v>
      </c>
      <c r="T16" s="10">
        <v>21067489.899999999</v>
      </c>
      <c r="U16" s="18">
        <f>(T16-Q16)/Q16</f>
        <v>6.4132281188706903</v>
      </c>
      <c r="V16" s="22" t="s">
        <v>78</v>
      </c>
      <c r="W16" s="22" t="s">
        <v>79</v>
      </c>
      <c r="X16" s="63" t="s">
        <v>80</v>
      </c>
      <c r="Y16" s="31"/>
    </row>
    <row r="17" spans="1:25" ht="65.25" customHeight="1" x14ac:dyDescent="0.3">
      <c r="A17" s="23">
        <v>16</v>
      </c>
      <c r="B17" s="14">
        <v>2024</v>
      </c>
      <c r="C17" s="10" t="s">
        <v>81</v>
      </c>
      <c r="D17" s="34" t="s">
        <v>82</v>
      </c>
      <c r="E17" s="24" t="s">
        <v>83</v>
      </c>
      <c r="F17" s="1" t="s">
        <v>84</v>
      </c>
      <c r="G17" s="26">
        <v>14.85</v>
      </c>
      <c r="H17" s="26">
        <v>372.15</v>
      </c>
      <c r="I17" s="27">
        <v>225.45</v>
      </c>
      <c r="J17" s="40">
        <v>240.3</v>
      </c>
      <c r="K17" s="15">
        <f>H17-G17</f>
        <v>357.29999999999995</v>
      </c>
      <c r="L17" s="42">
        <f>I17/G17-1</f>
        <v>14.181818181818182</v>
      </c>
      <c r="M17" s="28" t="s">
        <v>84</v>
      </c>
      <c r="N17" s="49">
        <v>697000</v>
      </c>
      <c r="O17" s="28">
        <v>48888</v>
      </c>
      <c r="P17" s="28" t="s">
        <v>84</v>
      </c>
      <c r="Q17" s="28">
        <f>SUM(M17:P17)</f>
        <v>745888</v>
      </c>
      <c r="R17" s="46">
        <f>Q17/H17</f>
        <v>2004.2670966008332</v>
      </c>
      <c r="S17" s="34">
        <f>Q17/I17</f>
        <v>3308.4408959858065</v>
      </c>
      <c r="T17" s="43">
        <v>269850.09999999998</v>
      </c>
      <c r="U17" s="29">
        <f>(T17-Q17)/Q17</f>
        <v>-0.63821632738427225</v>
      </c>
      <c r="V17" s="30"/>
      <c r="W17" s="32"/>
      <c r="X17" s="32"/>
      <c r="Y17" s="19" t="s">
        <v>41</v>
      </c>
    </row>
    <row r="18" spans="1:25" ht="65.25" customHeight="1" x14ac:dyDescent="0.3">
      <c r="A18" s="23">
        <v>17</v>
      </c>
      <c r="B18" s="14">
        <v>2024</v>
      </c>
      <c r="C18" s="10" t="s">
        <v>85</v>
      </c>
      <c r="D18" s="34" t="s">
        <v>82</v>
      </c>
      <c r="E18" s="24" t="s">
        <v>86</v>
      </c>
      <c r="F18" s="10" t="s">
        <v>84</v>
      </c>
      <c r="G18" s="37">
        <v>184.5</v>
      </c>
      <c r="H18" s="37">
        <v>425.7</v>
      </c>
      <c r="I18" s="34">
        <v>222.75</v>
      </c>
      <c r="J18" s="41">
        <v>329.4</v>
      </c>
      <c r="K18" s="15">
        <f>H18-G18</f>
        <v>241.2</v>
      </c>
      <c r="L18" s="42">
        <f t="shared" ref="L18:L24" si="5">I18/G18-1</f>
        <v>0.20731707317073167</v>
      </c>
      <c r="M18" s="41" t="s">
        <v>84</v>
      </c>
      <c r="N18" s="50">
        <v>697000</v>
      </c>
      <c r="O18" s="34">
        <v>48888</v>
      </c>
      <c r="P18" s="45" t="s">
        <v>84</v>
      </c>
      <c r="Q18" s="41">
        <f>SUM(M18:P18)</f>
        <v>745888</v>
      </c>
      <c r="R18" s="41">
        <f>Q18/H18</f>
        <v>1752.1447028423772</v>
      </c>
      <c r="S18" s="34">
        <f>Q18/I18</f>
        <v>3348.5432098765432</v>
      </c>
      <c r="T18" s="44">
        <v>1745378.7</v>
      </c>
      <c r="U18" s="29">
        <f>(T18-Q18)/Q18</f>
        <v>1.3400010457334077</v>
      </c>
      <c r="V18" s="19"/>
      <c r="W18" s="38"/>
      <c r="X18" s="32"/>
      <c r="Y18" s="57"/>
    </row>
    <row r="19" spans="1:25" ht="93" customHeight="1" x14ac:dyDescent="0.3">
      <c r="A19" s="23">
        <v>18</v>
      </c>
      <c r="B19" s="14">
        <v>2024</v>
      </c>
      <c r="C19" s="10" t="s">
        <v>87</v>
      </c>
      <c r="D19" s="36" t="s">
        <v>46</v>
      </c>
      <c r="E19" s="24" t="s">
        <v>88</v>
      </c>
      <c r="F19" s="10" t="s">
        <v>89</v>
      </c>
      <c r="G19" s="34">
        <v>10007.799999999999</v>
      </c>
      <c r="H19" s="34">
        <v>31346.1</v>
      </c>
      <c r="I19" s="47">
        <v>8737.0499999999993</v>
      </c>
      <c r="J19" s="34">
        <v>3121.75</v>
      </c>
      <c r="K19" s="15">
        <f>H19-G19</f>
        <v>21338.3</v>
      </c>
      <c r="L19" s="42">
        <f>I19/G19-1</f>
        <v>-0.12697595875217327</v>
      </c>
      <c r="M19" s="41" t="s">
        <v>84</v>
      </c>
      <c r="N19" s="50">
        <f>697000*3+738000</f>
        <v>2829000</v>
      </c>
      <c r="O19" s="34">
        <v>48888</v>
      </c>
      <c r="P19" s="51">
        <f>333718+340500</f>
        <v>674218</v>
      </c>
      <c r="Q19" s="41">
        <f t="shared" ref="Q19:Q26" si="6">SUM(M19:P19)</f>
        <v>3552106</v>
      </c>
      <c r="R19" s="41">
        <f t="shared" ref="R19:R26" si="7">Q19/H19</f>
        <v>113.31891367666154</v>
      </c>
      <c r="S19" s="34">
        <f t="shared" ref="S19:S26" si="8">Q19/I19</f>
        <v>406.55667530802737</v>
      </c>
      <c r="T19" s="44">
        <v>21058545.800000001</v>
      </c>
      <c r="U19" s="29">
        <f t="shared" ref="U19:U26" si="9">(T19-Q19)/Q19</f>
        <v>4.9284677315372907</v>
      </c>
      <c r="V19" s="39"/>
      <c r="W19" s="22" t="s">
        <v>90</v>
      </c>
      <c r="X19" s="64" t="s">
        <v>91</v>
      </c>
      <c r="Y19" s="20"/>
    </row>
    <row r="20" spans="1:25" ht="88.5" customHeight="1" x14ac:dyDescent="0.3">
      <c r="A20" s="33">
        <v>19</v>
      </c>
      <c r="B20" s="14">
        <v>2024</v>
      </c>
      <c r="C20" s="10" t="s">
        <v>92</v>
      </c>
      <c r="D20" s="19" t="s">
        <v>49</v>
      </c>
      <c r="E20" s="24" t="s">
        <v>93</v>
      </c>
      <c r="F20" s="10" t="s">
        <v>94</v>
      </c>
      <c r="G20" s="34">
        <v>2024.9</v>
      </c>
      <c r="H20" s="34">
        <v>2584.65</v>
      </c>
      <c r="I20" s="34">
        <v>2211.65</v>
      </c>
      <c r="J20" s="34">
        <v>1749.7</v>
      </c>
      <c r="K20" s="15">
        <f>H20-G20</f>
        <v>559.75</v>
      </c>
      <c r="L20" s="42">
        <f t="shared" si="5"/>
        <v>9.2226776630944807E-2</v>
      </c>
      <c r="M20" s="41" t="s">
        <v>84</v>
      </c>
      <c r="N20" s="50">
        <f>697000+328000</f>
        <v>1025000</v>
      </c>
      <c r="O20" s="34">
        <v>48888</v>
      </c>
      <c r="P20" s="51">
        <v>510162</v>
      </c>
      <c r="Q20" s="41">
        <f t="shared" si="6"/>
        <v>1584050</v>
      </c>
      <c r="R20" s="41">
        <f t="shared" si="7"/>
        <v>612.86828003791618</v>
      </c>
      <c r="S20" s="34">
        <f t="shared" si="8"/>
        <v>716.22996405398681</v>
      </c>
      <c r="T20" s="44">
        <v>2165529.9</v>
      </c>
      <c r="U20" s="29">
        <f>(T20-Q20)/Q20</f>
        <v>0.36708430920741131</v>
      </c>
      <c r="V20" s="21"/>
      <c r="W20" s="22" t="s">
        <v>95</v>
      </c>
      <c r="X20" s="64" t="s">
        <v>80</v>
      </c>
      <c r="Y20" s="20"/>
    </row>
    <row r="21" spans="1:25" ht="78" customHeight="1" x14ac:dyDescent="0.3">
      <c r="A21" s="33">
        <v>20</v>
      </c>
      <c r="B21" s="14">
        <v>2024</v>
      </c>
      <c r="C21" s="10" t="s">
        <v>96</v>
      </c>
      <c r="D21" s="19" t="s">
        <v>97</v>
      </c>
      <c r="E21" s="24" t="s">
        <v>43</v>
      </c>
      <c r="F21" s="10" t="s">
        <v>98</v>
      </c>
      <c r="G21" s="34">
        <v>2191.1999999999998</v>
      </c>
      <c r="H21" s="34">
        <v>4779.79</v>
      </c>
      <c r="I21" s="34">
        <v>1073.69</v>
      </c>
      <c r="J21" s="34">
        <v>4106.24</v>
      </c>
      <c r="K21" s="15">
        <f t="shared" ref="K21:K26" si="10">H21-G21</f>
        <v>2588.59</v>
      </c>
      <c r="L21" s="42">
        <f t="shared" si="5"/>
        <v>-0.50999908725812326</v>
      </c>
      <c r="M21" s="41" t="s">
        <v>84</v>
      </c>
      <c r="N21" s="50">
        <f>697000*2</f>
        <v>1394000</v>
      </c>
      <c r="O21" s="34">
        <v>48888</v>
      </c>
      <c r="P21" s="51">
        <v>416910</v>
      </c>
      <c r="Q21" s="41">
        <f t="shared" si="6"/>
        <v>1859798</v>
      </c>
      <c r="R21" s="41">
        <f t="shared" si="7"/>
        <v>389.0961736812705</v>
      </c>
      <c r="S21" s="34">
        <f t="shared" si="8"/>
        <v>1732.1554638675966</v>
      </c>
      <c r="T21" s="44">
        <v>6066089.2000000002</v>
      </c>
      <c r="U21" s="29">
        <f>(T21-Q21)/Q21</f>
        <v>2.2616925063904789</v>
      </c>
      <c r="V21" s="21"/>
      <c r="W21" s="22" t="s">
        <v>99</v>
      </c>
      <c r="X21" s="64" t="s">
        <v>80</v>
      </c>
      <c r="Y21" s="20"/>
    </row>
    <row r="22" spans="1:25" ht="69" customHeight="1" x14ac:dyDescent="0.3">
      <c r="A22" s="33">
        <v>21</v>
      </c>
      <c r="B22" s="14">
        <v>2024</v>
      </c>
      <c r="C22" s="10" t="s">
        <v>100</v>
      </c>
      <c r="D22" s="19" t="s">
        <v>56</v>
      </c>
      <c r="E22" s="24" t="s">
        <v>101</v>
      </c>
      <c r="F22" s="10" t="s">
        <v>102</v>
      </c>
      <c r="G22" s="34">
        <v>13988.65</v>
      </c>
      <c r="H22" s="34">
        <v>20704.349999999999</v>
      </c>
      <c r="I22" s="34">
        <v>15692.95</v>
      </c>
      <c r="J22" s="34">
        <v>15692.95</v>
      </c>
      <c r="K22" s="15">
        <f t="shared" si="10"/>
        <v>6715.6999999999989</v>
      </c>
      <c r="L22" s="42">
        <f t="shared" si="5"/>
        <v>0.12183448724501655</v>
      </c>
      <c r="M22" s="41" t="s">
        <v>84</v>
      </c>
      <c r="N22" s="50">
        <f>697000</f>
        <v>697000</v>
      </c>
      <c r="O22" s="34">
        <v>48888</v>
      </c>
      <c r="P22" s="51">
        <f>376320+119990</f>
        <v>496310</v>
      </c>
      <c r="Q22" s="41">
        <f t="shared" si="6"/>
        <v>1242198</v>
      </c>
      <c r="R22" s="41">
        <f t="shared" si="7"/>
        <v>59.996957161176276</v>
      </c>
      <c r="S22" s="34">
        <f t="shared" si="8"/>
        <v>79.156436488996647</v>
      </c>
      <c r="T22" s="44">
        <v>12208708.1</v>
      </c>
      <c r="U22" s="29">
        <f t="shared" si="9"/>
        <v>8.8283108650955811</v>
      </c>
      <c r="V22" s="21"/>
      <c r="W22" s="22"/>
      <c r="X22" s="64"/>
      <c r="Y22" s="20"/>
    </row>
    <row r="23" spans="1:25" ht="52.5" customHeight="1" x14ac:dyDescent="0.3">
      <c r="A23" s="33">
        <v>22</v>
      </c>
      <c r="B23" s="14">
        <v>2024</v>
      </c>
      <c r="C23" s="10" t="s">
        <v>103</v>
      </c>
      <c r="D23" s="36" t="s">
        <v>46</v>
      </c>
      <c r="E23" s="24" t="s">
        <v>104</v>
      </c>
      <c r="F23" s="10" t="s">
        <v>84</v>
      </c>
      <c r="G23" s="34">
        <v>12809.15</v>
      </c>
      <c r="H23" s="34">
        <v>18126.55</v>
      </c>
      <c r="I23" s="34">
        <v>3835.9</v>
      </c>
      <c r="J23" s="34">
        <v>7555.25</v>
      </c>
      <c r="K23" s="15">
        <f t="shared" si="10"/>
        <v>5317.4</v>
      </c>
      <c r="L23" s="42">
        <f>I23/G23-1</f>
        <v>-0.70053438362420617</v>
      </c>
      <c r="M23" s="41" t="s">
        <v>84</v>
      </c>
      <c r="N23" s="50">
        <f>1394000</f>
        <v>1394000</v>
      </c>
      <c r="O23" s="34">
        <v>48888</v>
      </c>
      <c r="P23" s="21"/>
      <c r="Q23" s="41">
        <f t="shared" si="6"/>
        <v>1442888</v>
      </c>
      <c r="R23" s="41">
        <f t="shared" si="7"/>
        <v>79.600806551715579</v>
      </c>
      <c r="S23" s="34">
        <f t="shared" si="8"/>
        <v>376.1537057796084</v>
      </c>
      <c r="T23" s="44">
        <v>12184168</v>
      </c>
      <c r="U23" s="29">
        <f t="shared" si="9"/>
        <v>7.444292280481922</v>
      </c>
      <c r="V23" s="21"/>
      <c r="W23" s="22"/>
      <c r="X23" s="64"/>
      <c r="Y23" s="20"/>
    </row>
    <row r="24" spans="1:25" ht="42.75" customHeight="1" x14ac:dyDescent="0.3">
      <c r="A24" s="33">
        <v>23</v>
      </c>
      <c r="B24" s="14">
        <v>2024</v>
      </c>
      <c r="C24" s="10" t="s">
        <v>105</v>
      </c>
      <c r="D24" s="19" t="s">
        <v>82</v>
      </c>
      <c r="E24" s="24" t="s">
        <v>106</v>
      </c>
      <c r="F24" s="10" t="s">
        <v>84</v>
      </c>
      <c r="G24" s="34">
        <v>107.55</v>
      </c>
      <c r="H24" s="34">
        <v>359.55</v>
      </c>
      <c r="I24" s="34">
        <v>139.05000000000001</v>
      </c>
      <c r="J24" s="34">
        <v>280.35000000000002</v>
      </c>
      <c r="K24" s="15">
        <f t="shared" si="10"/>
        <v>252</v>
      </c>
      <c r="L24" s="42">
        <f t="shared" si="5"/>
        <v>0.29288702928870314</v>
      </c>
      <c r="M24" s="41" t="s">
        <v>84</v>
      </c>
      <c r="N24" s="41">
        <f>1927000+697000+328000</f>
        <v>2952000</v>
      </c>
      <c r="O24" s="34">
        <v>48888</v>
      </c>
      <c r="P24" s="21"/>
      <c r="Q24" s="41">
        <f t="shared" si="6"/>
        <v>3000888</v>
      </c>
      <c r="R24" s="41">
        <f t="shared" si="7"/>
        <v>8346.2327909887354</v>
      </c>
      <c r="S24" s="34">
        <f t="shared" si="8"/>
        <v>21581.359223300969</v>
      </c>
      <c r="T24" s="44">
        <v>260713.7</v>
      </c>
      <c r="U24" s="29">
        <f t="shared" si="9"/>
        <v>-0.9131211494730892</v>
      </c>
      <c r="V24" s="21"/>
      <c r="W24" s="22"/>
      <c r="X24" s="64"/>
      <c r="Y24" s="20"/>
    </row>
    <row r="25" spans="1:25" ht="64.5" customHeight="1" x14ac:dyDescent="0.3">
      <c r="A25" s="33">
        <v>24</v>
      </c>
      <c r="B25" s="14">
        <v>2024</v>
      </c>
      <c r="C25" s="10" t="s">
        <v>107</v>
      </c>
      <c r="D25" s="19" t="s">
        <v>97</v>
      </c>
      <c r="E25" s="24" t="s">
        <v>43</v>
      </c>
      <c r="F25" s="10" t="s">
        <v>108</v>
      </c>
      <c r="G25" s="34">
        <v>2227.8200000000002</v>
      </c>
      <c r="H25" s="34">
        <v>3556.36</v>
      </c>
      <c r="I25" s="34">
        <v>5747.89</v>
      </c>
      <c r="J25" s="34">
        <v>2992.77</v>
      </c>
      <c r="K25" s="15">
        <f t="shared" si="10"/>
        <v>1328.54</v>
      </c>
      <c r="L25" s="42">
        <f>I25/G25-1</f>
        <v>1.5800513506477185</v>
      </c>
      <c r="M25" s="41" t="s">
        <v>84</v>
      </c>
      <c r="N25" s="41">
        <v>978586</v>
      </c>
      <c r="O25" s="34">
        <v>48888</v>
      </c>
      <c r="P25" s="51">
        <f>90000+30000</f>
        <v>120000</v>
      </c>
      <c r="Q25" s="41">
        <f t="shared" si="6"/>
        <v>1147474</v>
      </c>
      <c r="R25" s="41">
        <f t="shared" si="7"/>
        <v>322.65406201846832</v>
      </c>
      <c r="S25" s="34">
        <f t="shared" si="8"/>
        <v>199.63395263305316</v>
      </c>
      <c r="T25" s="41">
        <v>4600304</v>
      </c>
      <c r="U25" s="29">
        <f t="shared" si="9"/>
        <v>3.0090703580211837</v>
      </c>
      <c r="V25" s="21"/>
      <c r="W25" s="22" t="s">
        <v>109</v>
      </c>
      <c r="X25" s="64"/>
      <c r="Y25" s="20"/>
    </row>
    <row r="26" spans="1:25" ht="45" customHeight="1" x14ac:dyDescent="0.3">
      <c r="A26" s="33">
        <v>25</v>
      </c>
      <c r="B26" s="14">
        <v>2024</v>
      </c>
      <c r="C26" s="10" t="s">
        <v>110</v>
      </c>
      <c r="D26" s="19" t="s">
        <v>97</v>
      </c>
      <c r="E26" s="24" t="s">
        <v>43</v>
      </c>
      <c r="F26" s="10" t="s">
        <v>111</v>
      </c>
      <c r="G26" s="34">
        <v>3059.14</v>
      </c>
      <c r="H26" s="34">
        <v>4632.67</v>
      </c>
      <c r="I26" s="34">
        <v>2922.42</v>
      </c>
      <c r="J26" s="34">
        <v>2976.79</v>
      </c>
      <c r="K26" s="15">
        <f t="shared" si="10"/>
        <v>1573.5300000000002</v>
      </c>
      <c r="L26" s="42">
        <f>I26/G26-1</f>
        <v>-4.4692299142896297E-2</v>
      </c>
      <c r="M26" s="41" t="s">
        <v>84</v>
      </c>
      <c r="N26" s="41">
        <v>1353000</v>
      </c>
      <c r="O26" s="34">
        <v>48888</v>
      </c>
      <c r="P26" s="51">
        <f>264359+52900</f>
        <v>317259</v>
      </c>
      <c r="Q26" s="41">
        <f t="shared" si="6"/>
        <v>1719147</v>
      </c>
      <c r="R26" s="41">
        <f t="shared" si="7"/>
        <v>371.09204842995507</v>
      </c>
      <c r="S26" s="34">
        <f t="shared" si="8"/>
        <v>588.26144086065653</v>
      </c>
      <c r="T26" s="41">
        <v>5728702.7999999998</v>
      </c>
      <c r="U26" s="29">
        <f t="shared" si="9"/>
        <v>2.3322937480040973</v>
      </c>
      <c r="V26" s="21"/>
      <c r="W26" s="22"/>
      <c r="X26" s="64"/>
      <c r="Y26" s="20"/>
    </row>
    <row r="27" spans="1:25" ht="84.75" customHeight="1" x14ac:dyDescent="0.3">
      <c r="A27" s="33">
        <v>26</v>
      </c>
      <c r="B27" s="14">
        <v>2024</v>
      </c>
      <c r="C27" s="10" t="s">
        <v>112</v>
      </c>
      <c r="D27" s="19" t="s">
        <v>30</v>
      </c>
      <c r="E27" s="24" t="s">
        <v>60</v>
      </c>
      <c r="F27" s="10" t="s">
        <v>113</v>
      </c>
      <c r="G27" s="34">
        <f>21184.13/2</f>
        <v>10592.065000000001</v>
      </c>
      <c r="H27" s="34">
        <v>30462.63</v>
      </c>
      <c r="I27" s="34">
        <v>5630.85</v>
      </c>
      <c r="J27" s="34">
        <v>8340.125</v>
      </c>
      <c r="K27" s="15">
        <f>H27-G27</f>
        <v>19870.565000000002</v>
      </c>
      <c r="L27" s="42">
        <f>I27/G27-1</f>
        <v>-0.46838978046301638</v>
      </c>
      <c r="M27" s="41" t="s">
        <v>84</v>
      </c>
      <c r="N27" s="41">
        <v>3731000</v>
      </c>
      <c r="O27" s="34">
        <v>48888</v>
      </c>
      <c r="P27" s="41">
        <v>3044517</v>
      </c>
      <c r="Q27" s="41">
        <f t="shared" ref="Q27" si="11">SUM(M27:P27)</f>
        <v>6824405</v>
      </c>
      <c r="R27" s="41">
        <f>Q27/H27</f>
        <v>224.02546989540954</v>
      </c>
      <c r="S27" s="34">
        <f t="shared" ref="S27" si="12">Q27/I27</f>
        <v>1211.9671097614037</v>
      </c>
      <c r="T27" s="15">
        <v>22928594.899999999</v>
      </c>
      <c r="U27" s="29">
        <f>(T27-Q27)/Q27</f>
        <v>2.3597939893661057</v>
      </c>
      <c r="V27" s="21"/>
      <c r="W27" s="22"/>
      <c r="X27" s="64"/>
      <c r="Y27" s="20"/>
    </row>
    <row r="28" spans="1:25" ht="96.75" customHeight="1" x14ac:dyDescent="0.3">
      <c r="A28" s="33">
        <v>28</v>
      </c>
      <c r="B28" s="14">
        <v>2024</v>
      </c>
      <c r="C28" s="10" t="s">
        <v>114</v>
      </c>
      <c r="D28" s="53" t="s">
        <v>26</v>
      </c>
      <c r="E28" s="24" t="s">
        <v>60</v>
      </c>
      <c r="F28" s="10" t="s">
        <v>115</v>
      </c>
      <c r="G28" s="34">
        <v>4567.6499999999996</v>
      </c>
      <c r="H28" s="34">
        <v>7135.55</v>
      </c>
      <c r="I28" s="34">
        <v>3982.95</v>
      </c>
      <c r="J28" s="34">
        <v>1933.15</v>
      </c>
      <c r="K28" s="15">
        <f>H28-G28</f>
        <v>2567.9000000000005</v>
      </c>
      <c r="L28" s="42">
        <f>I28/G28-1</f>
        <v>-0.1280089323831729</v>
      </c>
      <c r="M28" s="19" t="s">
        <v>84</v>
      </c>
      <c r="N28" s="41">
        <v>1025000</v>
      </c>
      <c r="O28" s="34">
        <v>48888</v>
      </c>
      <c r="P28" s="34">
        <v>1529980</v>
      </c>
      <c r="Q28" s="41">
        <f>SUM(M28:P28)</f>
        <v>2603868</v>
      </c>
      <c r="R28" s="41">
        <f>Q28/H28</f>
        <v>364.91482786890987</v>
      </c>
      <c r="S28" s="34">
        <f>Q28/I28</f>
        <v>653.75362482582011</v>
      </c>
      <c r="T28" s="15">
        <v>5766068.7000000002</v>
      </c>
      <c r="U28" s="29">
        <f>(T28-Q28)/Q28</f>
        <v>1.2144243486997037</v>
      </c>
      <c r="V28" s="21"/>
      <c r="W28" s="22" t="s">
        <v>116</v>
      </c>
      <c r="X28" s="64"/>
      <c r="Y28" s="20"/>
    </row>
    <row r="29" spans="1:25" ht="83.25" customHeight="1" x14ac:dyDescent="0.3">
      <c r="A29" s="33">
        <v>29</v>
      </c>
      <c r="B29" s="14">
        <v>2024</v>
      </c>
      <c r="C29" s="10" t="s">
        <v>117</v>
      </c>
      <c r="D29" s="53" t="s">
        <v>56</v>
      </c>
      <c r="E29" s="24" t="s">
        <v>101</v>
      </c>
      <c r="F29" s="10" t="s">
        <v>118</v>
      </c>
      <c r="G29" s="34">
        <v>43538.400000000001</v>
      </c>
      <c r="H29" s="34">
        <v>60996.6</v>
      </c>
      <c r="I29" s="34">
        <v>11623.5</v>
      </c>
      <c r="J29" s="34">
        <v>7439.4</v>
      </c>
      <c r="K29" s="15">
        <f t="shared" ref="K29:K33" si="13">H29-G29</f>
        <v>17458.199999999997</v>
      </c>
      <c r="L29" s="42">
        <f t="shared" ref="L29" si="14">I29/G29-1</f>
        <v>-0.73302877459897475</v>
      </c>
      <c r="M29" s="19" t="s">
        <v>84</v>
      </c>
      <c r="N29" s="41">
        <v>2091000</v>
      </c>
      <c r="O29" s="34">
        <v>48888</v>
      </c>
      <c r="P29" s="34">
        <v>841410</v>
      </c>
      <c r="Q29" s="41">
        <f t="shared" ref="Q29:Q33" si="15">SUM(M29:P29)</f>
        <v>2981298</v>
      </c>
      <c r="R29" s="41">
        <f t="shared" ref="R29" si="16">Q29/H29</f>
        <v>48.87646196673257</v>
      </c>
      <c r="S29" s="34">
        <f t="shared" ref="S29" si="17">Q29/I29</f>
        <v>256.48883726932507</v>
      </c>
      <c r="T29" s="15">
        <v>37072190.600000001</v>
      </c>
      <c r="U29" s="29">
        <f t="shared" ref="U29" si="18">(T29-Q29)/Q29</f>
        <v>11.434916133845057</v>
      </c>
      <c r="V29" s="21"/>
      <c r="W29" s="22" t="s">
        <v>119</v>
      </c>
      <c r="X29" s="64"/>
      <c r="Y29" s="20"/>
    </row>
    <row r="30" spans="1:25" ht="51.75" customHeight="1" x14ac:dyDescent="0.3">
      <c r="A30" s="23">
        <v>30</v>
      </c>
      <c r="B30" s="56">
        <v>2024</v>
      </c>
      <c r="C30" s="28" t="s">
        <v>120</v>
      </c>
      <c r="D30" s="53" t="s">
        <v>38</v>
      </c>
      <c r="E30" s="24" t="s">
        <v>121</v>
      </c>
      <c r="F30" s="10" t="s">
        <v>122</v>
      </c>
      <c r="G30" s="34">
        <v>517.4</v>
      </c>
      <c r="H30" s="34">
        <v>1428.15</v>
      </c>
      <c r="I30" s="34">
        <v>659.75</v>
      </c>
      <c r="J30" s="34">
        <v>912.8</v>
      </c>
      <c r="K30" s="15">
        <f t="shared" si="13"/>
        <v>910.75000000000011</v>
      </c>
      <c r="L30" s="42">
        <f>I30/G30-1</f>
        <v>0.27512562814070352</v>
      </c>
      <c r="M30" s="19" t="s">
        <v>84</v>
      </c>
      <c r="N30" s="41">
        <v>697000</v>
      </c>
      <c r="O30" s="34">
        <v>48888</v>
      </c>
      <c r="P30" s="34">
        <v>686056</v>
      </c>
      <c r="Q30" s="41">
        <f t="shared" si="15"/>
        <v>1431944</v>
      </c>
      <c r="R30" s="41">
        <f>Q30/H30</f>
        <v>1002.6565836921891</v>
      </c>
      <c r="S30" s="34">
        <f>Q30/I30</f>
        <v>2170.4342553997726</v>
      </c>
      <c r="T30" s="15">
        <v>1233662.5</v>
      </c>
      <c r="U30" s="29">
        <f>(T30-Q30)/Q30</f>
        <v>-0.13847014967065752</v>
      </c>
      <c r="V30" s="21"/>
      <c r="W30" s="22"/>
      <c r="X30" s="64"/>
      <c r="Y30" s="20"/>
    </row>
    <row r="31" spans="1:25" ht="72" customHeight="1" x14ac:dyDescent="0.3">
      <c r="A31" s="19">
        <v>31</v>
      </c>
      <c r="B31" s="56">
        <v>2024</v>
      </c>
      <c r="C31" s="34" t="s">
        <v>123</v>
      </c>
      <c r="D31" s="54" t="s">
        <v>124</v>
      </c>
      <c r="E31" s="1" t="s">
        <v>125</v>
      </c>
      <c r="F31" s="10" t="s">
        <v>126</v>
      </c>
      <c r="G31" s="34">
        <v>12614.575000000001</v>
      </c>
      <c r="H31" s="34">
        <v>21388.974999999999</v>
      </c>
      <c r="I31" s="34">
        <v>17132</v>
      </c>
      <c r="J31" s="34">
        <v>10540.725</v>
      </c>
      <c r="K31" s="15">
        <f t="shared" si="13"/>
        <v>8774.3999999999978</v>
      </c>
      <c r="L31" s="42">
        <f>I31/G31-1</f>
        <v>0.35811154953694424</v>
      </c>
      <c r="M31" s="41">
        <v>424500</v>
      </c>
      <c r="N31" s="41">
        <v>3556000</v>
      </c>
      <c r="O31" s="34">
        <v>48888</v>
      </c>
      <c r="P31" s="34">
        <f xml:space="preserve"> 1420000+512832</f>
        <v>1932832</v>
      </c>
      <c r="Q31" s="41">
        <f t="shared" si="15"/>
        <v>5962220</v>
      </c>
      <c r="R31" s="41">
        <f>Q31/H31</f>
        <v>278.75202060874824</v>
      </c>
      <c r="S31" s="34">
        <f>Q31/I31</f>
        <v>348.01657716553819</v>
      </c>
      <c r="T31" s="15">
        <v>16315817.9</v>
      </c>
      <c r="U31" s="29">
        <f>(T31-Q31)/Q31</f>
        <v>1.7365340259165212</v>
      </c>
      <c r="V31" s="21"/>
      <c r="W31" s="22"/>
      <c r="X31" s="64"/>
      <c r="Y31" s="20"/>
    </row>
    <row r="32" spans="1:25" ht="51.75" customHeight="1" x14ac:dyDescent="0.3">
      <c r="A32" s="19">
        <v>32</v>
      </c>
      <c r="B32" s="56">
        <v>2024</v>
      </c>
      <c r="C32" s="34" t="s">
        <v>127</v>
      </c>
      <c r="D32" s="54" t="s">
        <v>82</v>
      </c>
      <c r="E32" s="24" t="s">
        <v>128</v>
      </c>
      <c r="F32" s="10" t="s">
        <v>129</v>
      </c>
      <c r="G32" s="34">
        <v>396</v>
      </c>
      <c r="H32" s="34">
        <v>612.9</v>
      </c>
      <c r="I32" s="34">
        <v>189.9</v>
      </c>
      <c r="J32" s="34">
        <v>235.8</v>
      </c>
      <c r="K32" s="15">
        <f t="shared" si="13"/>
        <v>216.89999999999998</v>
      </c>
      <c r="L32" s="42">
        <f>I32/G32-1</f>
        <v>-0.5204545454545455</v>
      </c>
      <c r="M32" s="19" t="s">
        <v>84</v>
      </c>
      <c r="N32" s="41">
        <v>2624000</v>
      </c>
      <c r="O32" s="34">
        <v>48888</v>
      </c>
      <c r="P32" s="60">
        <v>600000</v>
      </c>
      <c r="Q32" s="50">
        <f>SUM(M32:P32)</f>
        <v>3272888</v>
      </c>
      <c r="R32" s="50">
        <f t="shared" ref="R32:R33" si="19">Q32/H32</f>
        <v>5340.0032631750692</v>
      </c>
      <c r="S32" s="60">
        <f t="shared" ref="S32:S33" si="20">Q32/I32</f>
        <v>17234.797261716692</v>
      </c>
      <c r="T32" s="61">
        <v>444420.6</v>
      </c>
      <c r="U32" s="29">
        <f>(T32-Q32)/Q32</f>
        <v>-0.86421148539149517</v>
      </c>
      <c r="V32" s="21"/>
      <c r="W32" s="22"/>
      <c r="X32" s="64"/>
      <c r="Y32" s="20"/>
    </row>
    <row r="33" spans="1:25" ht="99" customHeight="1" x14ac:dyDescent="0.3">
      <c r="A33" s="19">
        <v>33</v>
      </c>
      <c r="B33" s="59">
        <v>2024</v>
      </c>
      <c r="C33" s="34" t="s">
        <v>130</v>
      </c>
      <c r="D33" s="54" t="s">
        <v>26</v>
      </c>
      <c r="E33" s="24" t="s">
        <v>131</v>
      </c>
      <c r="F33" s="10" t="s">
        <v>132</v>
      </c>
      <c r="G33" s="34">
        <v>1175.55</v>
      </c>
      <c r="H33" s="34">
        <v>2163.25</v>
      </c>
      <c r="I33" s="34">
        <v>1468.55</v>
      </c>
      <c r="J33" s="34">
        <v>2106.75</v>
      </c>
      <c r="K33" s="15">
        <f t="shared" si="13"/>
        <v>987.7</v>
      </c>
      <c r="L33" s="58">
        <f t="shared" ref="L33" si="21">I33/G33-1</f>
        <v>0.24924503423929223</v>
      </c>
      <c r="M33" s="19" t="s">
        <v>84</v>
      </c>
      <c r="N33" s="41">
        <v>1025000</v>
      </c>
      <c r="O33" s="34">
        <v>48888</v>
      </c>
      <c r="P33" s="34">
        <v>1290240</v>
      </c>
      <c r="Q33" s="41">
        <f t="shared" si="15"/>
        <v>2364128</v>
      </c>
      <c r="R33" s="41">
        <f t="shared" si="19"/>
        <v>1092.8593551369468</v>
      </c>
      <c r="S33" s="34">
        <f t="shared" si="20"/>
        <v>1609.8382758503285</v>
      </c>
      <c r="T33" s="15">
        <v>1828184.7</v>
      </c>
      <c r="U33" s="29">
        <f t="shared" ref="U33" si="22">(T33-Q33)/Q33</f>
        <v>-0.22669808910515846</v>
      </c>
      <c r="V33" s="21"/>
      <c r="W33" s="22" t="s">
        <v>133</v>
      </c>
      <c r="X33" s="64"/>
      <c r="Y33" s="20"/>
    </row>
    <row r="34" spans="1:25" ht="48.75" customHeight="1" x14ac:dyDescent="0.3">
      <c r="A34" s="66" t="s">
        <v>134</v>
      </c>
      <c r="B34" s="67"/>
      <c r="C34" s="66"/>
      <c r="D34" s="55"/>
      <c r="E34" s="24"/>
      <c r="F34" s="10"/>
      <c r="G34" s="52">
        <f>SUM(G14:G26)</f>
        <v>64756.860000000008</v>
      </c>
      <c r="H34" s="52">
        <f>SUM(H14:H26)</f>
        <v>120237.89499999999</v>
      </c>
      <c r="I34" s="52">
        <f t="shared" ref="I34:J34" si="23">SUM(I14:I26)</f>
        <v>51008.325000000004</v>
      </c>
      <c r="J34" s="52">
        <f t="shared" si="23"/>
        <v>44869.674999999996</v>
      </c>
      <c r="K34" s="20"/>
      <c r="L34" s="57"/>
      <c r="M34" s="20"/>
      <c r="N34" s="20"/>
      <c r="O34" s="20"/>
      <c r="P34" s="20"/>
      <c r="Q34" s="52"/>
      <c r="R34" s="20"/>
      <c r="S34" s="20"/>
      <c r="T34" s="20"/>
      <c r="U34" s="20"/>
      <c r="V34" s="21"/>
      <c r="W34" s="22"/>
      <c r="X34" s="64"/>
      <c r="Y34" s="20"/>
    </row>
    <row r="35" spans="1:25" ht="15" customHeight="1" x14ac:dyDescent="0.3">
      <c r="Q35" s="52"/>
    </row>
    <row r="36" spans="1:25" ht="15" customHeight="1" x14ac:dyDescent="0.3">
      <c r="Q36" s="52"/>
    </row>
  </sheetData>
  <autoFilter ref="A1:V34" xr:uid="{758D48BF-36A3-4D67-B2F1-D4471502A78B}">
    <filterColumn colId="1">
      <filters>
        <filter val="2024"/>
      </filters>
    </filterColumn>
  </autoFilter>
  <mergeCells count="1">
    <mergeCell ref="A34:C34"/>
  </mergeCells>
  <hyperlinks>
    <hyperlink ref="X16" r:id="rId1" xr:uid="{2E23F9ED-004E-4483-A120-24D5A9036A05}"/>
    <hyperlink ref="X19" r:id="rId2" xr:uid="{B1779C72-0E97-4600-8C41-F6CB885C2016}"/>
    <hyperlink ref="X20" r:id="rId3" xr:uid="{4B9F3782-03D2-4507-ADD2-A9A579E63025}"/>
    <hyperlink ref="X21" r:id="rId4" xr:uid="{1E4B0389-0B5B-4E78-8823-FD619ED22AB3}"/>
  </hyperlinks>
  <pageMargins left="0.7" right="0.7" top="0.75" bottom="0.75" header="0.3" footer="0.3"/>
  <customProperties>
    <customPr name="IbpWorksheetKeyString_GUID" r:id="rId5"/>
  </customProperties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1016e4-5329-4d15-86eb-7c202e0bdaac" xsi:nil="true"/>
    <lcf76f155ced4ddcb4097134ff3c332f xmlns="4910628d-f39c-4e4e-a727-85276872aa2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2F21F059210D48863D24F236D1E720" ma:contentTypeVersion="14" ma:contentTypeDescription="Create a new document." ma:contentTypeScope="" ma:versionID="c39c6b4370d3f4026473e9f44987ff3b">
  <xsd:schema xmlns:xsd="http://www.w3.org/2001/XMLSchema" xmlns:xs="http://www.w3.org/2001/XMLSchema" xmlns:p="http://schemas.microsoft.com/office/2006/metadata/properties" xmlns:ns2="4910628d-f39c-4e4e-a727-85276872aa2a" xmlns:ns3="881016e4-5329-4d15-86eb-7c202e0bdaac" targetNamespace="http://schemas.microsoft.com/office/2006/metadata/properties" ma:root="true" ma:fieldsID="36eb0ced4530fff7c3722d8bcdcc4ff5" ns2:_="" ns3:_="">
    <xsd:import namespace="4910628d-f39c-4e4e-a727-85276872aa2a"/>
    <xsd:import namespace="881016e4-5329-4d15-86eb-7c202e0bd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0628d-f39c-4e4e-a727-85276872a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93ba896-1663-4ba7-b57f-482ab7f1f4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1016e4-5329-4d15-86eb-7c202e0bda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fdc84db-77b9-4b9a-ae96-fd300f429c25}" ma:internalName="TaxCatchAll" ma:showField="CatchAllData" ma:web="881016e4-5329-4d15-86eb-7c202e0bd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86C15-783C-4802-9232-AF208BD92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F04D47-E985-4FC8-ADE8-1E62E84E69BF}">
  <ds:schemaRefs>
    <ds:schemaRef ds:uri="http://schemas.microsoft.com/office/2006/metadata/properties"/>
    <ds:schemaRef ds:uri="http://schemas.microsoft.com/office/infopath/2007/PartnerControls"/>
    <ds:schemaRef ds:uri="881016e4-5329-4d15-86eb-7c202e0bdaac"/>
    <ds:schemaRef ds:uri="4910628d-f39c-4e4e-a727-85276872aa2a"/>
  </ds:schemaRefs>
</ds:datastoreItem>
</file>

<file path=customXml/itemProps3.xml><?xml version="1.0" encoding="utf-8"?>
<ds:datastoreItem xmlns:ds="http://schemas.openxmlformats.org/officeDocument/2006/customXml" ds:itemID="{36DF4439-4D6D-4141-AE03-CC12EF8A7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10628d-f39c-4e4e-a727-85276872aa2a"/>
    <ds:schemaRef ds:uri="881016e4-5329-4d15-86eb-7c202e0bd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Ekaterina Tutynina</dc:creator>
  <cp:keywords/>
  <dc:description/>
  <cp:lastModifiedBy>Marketing</cp:lastModifiedBy>
  <cp:revision/>
  <dcterms:created xsi:type="dcterms:W3CDTF">2024-02-13T02:25:51Z</dcterms:created>
  <dcterms:modified xsi:type="dcterms:W3CDTF">2025-05-13T12:04:56Z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d8b7fb-3250-4cb4-a7b9-eb0ab1c88495_Enabled">
    <vt:lpwstr>true</vt:lpwstr>
  </property>
  <property fmtid="{D5CDD505-2E9C-101B-9397-08002B2CF9AE}" pid="3" name="MSIP_Label_87d8b7fb-3250-4cb4-a7b9-eb0ab1c88495_SetDate">
    <vt:lpwstr>2024-02-13T05:22:50Z</vt:lpwstr>
  </property>
  <property fmtid="{D5CDD505-2E9C-101B-9397-08002B2CF9AE}" pid="4" name="MSIP_Label_87d8b7fb-3250-4cb4-a7b9-eb0ab1c88495_Method">
    <vt:lpwstr>Privileged</vt:lpwstr>
  </property>
  <property fmtid="{D5CDD505-2E9C-101B-9397-08002B2CF9AE}" pid="5" name="MSIP_Label_87d8b7fb-3250-4cb4-a7b9-eb0ab1c88495_Name">
    <vt:lpwstr>Конфиденциальные данные</vt:lpwstr>
  </property>
  <property fmtid="{D5CDD505-2E9C-101B-9397-08002B2CF9AE}" pid="6" name="MSIP_Label_87d8b7fb-3250-4cb4-a7b9-eb0ab1c88495_SiteId">
    <vt:lpwstr>e763b98e-4b7c-41f7-9105-0ab753568526</vt:lpwstr>
  </property>
  <property fmtid="{D5CDD505-2E9C-101B-9397-08002B2CF9AE}" pid="7" name="MSIP_Label_87d8b7fb-3250-4cb4-a7b9-eb0ab1c88495_ActionId">
    <vt:lpwstr>318f68d3-fad0-49ec-9eca-60dfb3deb49b</vt:lpwstr>
  </property>
  <property fmtid="{D5CDD505-2E9C-101B-9397-08002B2CF9AE}" pid="8" name="MSIP_Label_87d8b7fb-3250-4cb4-a7b9-eb0ab1c88495_ContentBits">
    <vt:lpwstr>0</vt:lpwstr>
  </property>
  <property fmtid="{D5CDD505-2E9C-101B-9397-08002B2CF9AE}" pid="9" name="ContentTypeId">
    <vt:lpwstr>0x010100D42F21F059210D48863D24F236D1E720</vt:lpwstr>
  </property>
  <property fmtid="{D5CDD505-2E9C-101B-9397-08002B2CF9AE}" pid="10" name="MediaServiceImageTags">
    <vt:lpwstr/>
  </property>
</Properties>
</file>