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230274\Downloads\Work\Work\Projects\TX7364\Customer\General_Items\"/>
    </mc:Choice>
  </mc:AlternateContent>
  <xr:revisionPtr revIDLastSave="0" documentId="13_ncr:1_{89CF77A4-B761-49FD-B291-AB8F8FD3EAB0}" xr6:coauthVersionLast="36" xr6:coauthVersionMax="36" xr10:uidLastSave="{00000000-0000-0000-0000-000000000000}"/>
  <bookViews>
    <workbookView xWindow="0" yWindow="180" windowWidth="16380" windowHeight="8010" tabRatio="226" activeTab="1" xr2:uid="{00000000-000D-0000-FFFF-FFFF00000000}"/>
  </bookViews>
  <sheets>
    <sheet name="PowerCalc" sheetId="1" r:id="rId1"/>
    <sheet name="Example" sheetId="4" r:id="rId2"/>
    <sheet name="Diagram" sheetId="3" r:id="rId3"/>
  </sheets>
  <calcPr calcId="191029"/>
</workbook>
</file>

<file path=xl/calcChain.xml><?xml version="1.0" encoding="utf-8"?>
<calcChain xmlns="http://schemas.openxmlformats.org/spreadsheetml/2006/main">
  <c r="C106" i="4" l="1"/>
  <c r="C101" i="4"/>
  <c r="C111" i="4" s="1"/>
  <c r="C59" i="4"/>
  <c r="C58" i="4"/>
  <c r="C57" i="4"/>
  <c r="C55" i="4"/>
  <c r="C54" i="4"/>
  <c r="C52" i="4"/>
  <c r="C51" i="4"/>
  <c r="C31" i="4"/>
  <c r="C117" i="4" s="1"/>
  <c r="C30" i="4"/>
  <c r="C12" i="4"/>
  <c r="C11" i="4"/>
  <c r="C9" i="4"/>
  <c r="C10" i="4" s="1"/>
  <c r="C53" i="4" l="1"/>
  <c r="C56" i="4"/>
  <c r="C62" i="4" s="1"/>
  <c r="C63" i="4"/>
  <c r="C128" i="4"/>
  <c r="C129" i="4" s="1"/>
  <c r="C99" i="4"/>
  <c r="C98" i="4"/>
  <c r="C97" i="4"/>
  <c r="C61" i="4"/>
  <c r="C64" i="4"/>
  <c r="C33" i="4"/>
  <c r="C36" i="4" s="1"/>
  <c r="C100" i="4"/>
  <c r="C110" i="4" s="1"/>
  <c r="C34" i="4"/>
  <c r="C116" i="4" s="1"/>
  <c r="C126" i="4" s="1"/>
  <c r="C127" i="4" s="1"/>
  <c r="C109" i="4" l="1"/>
  <c r="C130" i="4"/>
  <c r="C37" i="4"/>
  <c r="C108" i="4" s="1"/>
  <c r="C65" i="4"/>
  <c r="C120" i="4"/>
  <c r="C102" i="4"/>
  <c r="C119" i="4"/>
  <c r="C38" i="4" l="1"/>
  <c r="C112" i="4" s="1"/>
  <c r="C113" i="4" s="1"/>
  <c r="C107" i="4"/>
  <c r="C121" i="4"/>
  <c r="C122" i="4" s="1"/>
  <c r="C131" i="4"/>
  <c r="C124" i="4" l="1"/>
  <c r="C132" i="4"/>
  <c r="C106" i="1"/>
  <c r="C31" i="1" l="1"/>
  <c r="C34" i="1" s="1"/>
  <c r="C30" i="1"/>
  <c r="C33" i="1" l="1"/>
  <c r="C117" i="1"/>
  <c r="C130" i="1" l="1"/>
  <c r="C36" i="1"/>
  <c r="C128" i="1"/>
  <c r="C129" i="1" s="1"/>
  <c r="C51" i="1" l="1"/>
  <c r="C11" i="1"/>
  <c r="C12" i="1" s="1"/>
  <c r="C101" i="1" l="1"/>
  <c r="C111" i="1" s="1"/>
  <c r="C59" i="1" l="1"/>
  <c r="C58" i="1"/>
  <c r="C57" i="1"/>
  <c r="C55" i="1"/>
  <c r="C54" i="1"/>
  <c r="C52" i="1"/>
  <c r="C9" i="1" l="1"/>
  <c r="C10" i="1" l="1"/>
  <c r="C100" i="1" s="1"/>
  <c r="C98" i="1" l="1"/>
  <c r="C99" i="1"/>
  <c r="C97" i="1"/>
  <c r="C116" i="1"/>
  <c r="C126" i="1" l="1"/>
  <c r="C127" i="1" s="1"/>
  <c r="C119" i="1"/>
  <c r="C120" i="1"/>
  <c r="C102" i="1"/>
  <c r="C56" i="1"/>
  <c r="C63" i="1" s="1"/>
  <c r="C109" i="1" s="1"/>
  <c r="C53" i="1"/>
  <c r="C64" i="1" s="1"/>
  <c r="C110" i="1" s="1"/>
  <c r="C37" i="1"/>
  <c r="C121" i="1" l="1"/>
  <c r="C122" i="1" s="1"/>
  <c r="C62" i="1"/>
  <c r="C108" i="1" s="1"/>
  <c r="C61" i="1"/>
  <c r="C107" i="1" s="1"/>
  <c r="C38" i="1"/>
  <c r="C65" i="1" l="1"/>
  <c r="C131" i="1" s="1"/>
  <c r="C112" i="1" l="1"/>
  <c r="C113" i="1" s="1"/>
  <c r="C124" i="1" l="1"/>
  <c r="C132" i="1"/>
</calcChain>
</file>

<file path=xl/sharedStrings.xml><?xml version="1.0" encoding="utf-8"?>
<sst xmlns="http://schemas.openxmlformats.org/spreadsheetml/2006/main" count="540" uniqueCount="155">
  <si>
    <t>in V</t>
  </si>
  <si>
    <t>in us</t>
  </si>
  <si>
    <t>PRT</t>
  </si>
  <si>
    <t>Load Resistor</t>
  </si>
  <si>
    <t>in K ohms</t>
  </si>
  <si>
    <t>Load Cap</t>
  </si>
  <si>
    <t>in pF</t>
  </si>
  <si>
    <t>in mA</t>
  </si>
  <si>
    <t>Resistive Current</t>
  </si>
  <si>
    <t>in mW</t>
  </si>
  <si>
    <t>Pulser Supply</t>
  </si>
  <si>
    <t>No. of -HV to +HV transitions</t>
  </si>
  <si>
    <t>No. of +HV to -HV transitions</t>
  </si>
  <si>
    <t>No. of 0V to -HV transitions</t>
  </si>
  <si>
    <t>No. of 0V to +HV transitions</t>
  </si>
  <si>
    <t>+HV duration</t>
  </si>
  <si>
    <t>-HV duration</t>
  </si>
  <si>
    <t>Transmit Phase</t>
  </si>
  <si>
    <t>in ns</t>
  </si>
  <si>
    <t>Board Parasitic Capacitance</t>
  </si>
  <si>
    <t>Internal Parasitic Capacitance</t>
  </si>
  <si>
    <t>Internal Resistor</t>
  </si>
  <si>
    <t>Cgs of HV PMOS</t>
  </si>
  <si>
    <t>Cgs of HV NMOS</t>
  </si>
  <si>
    <t>Capacitive Current for full transition</t>
  </si>
  <si>
    <t>Vgs of HV PMOS</t>
  </si>
  <si>
    <t>Vgs of HV NMOS</t>
  </si>
  <si>
    <t>HV PMOS driver Current</t>
  </si>
  <si>
    <t>HV NMOS driver Current</t>
  </si>
  <si>
    <t>HV PMOS driver Current for -HV to +HV</t>
  </si>
  <si>
    <t>HV PMOS driver Current for 0V to +HV</t>
  </si>
  <si>
    <t>HV NMOS driver Current for +HV to -HV</t>
  </si>
  <si>
    <t>HV NMOS driver Current for 0V to -HV</t>
  </si>
  <si>
    <t>No. of ±HV to 0V transitions</t>
  </si>
  <si>
    <t>Gate Driver Power</t>
  </si>
  <si>
    <t>+HV Contribution</t>
  </si>
  <si>
    <t>-HV Contribution</t>
  </si>
  <si>
    <t>P5 Contribution</t>
  </si>
  <si>
    <t>M5 Contribution</t>
  </si>
  <si>
    <t>M5 Supply</t>
  </si>
  <si>
    <t>P5 Supply</t>
  </si>
  <si>
    <t>LDO_P +HV current during Transmit</t>
  </si>
  <si>
    <t>LDO_M -HV current during Transmit</t>
  </si>
  <si>
    <t>LDO_P +HV current during Receive</t>
  </si>
  <si>
    <t>LDO_M -HV current during Receive</t>
  </si>
  <si>
    <t>LDO_P P5 current during Transmit</t>
  </si>
  <si>
    <t>LDO_P M5 current during Transmit</t>
  </si>
  <si>
    <t>LDO_P P5 current during Receive</t>
  </si>
  <si>
    <t>LDO_P M5 current during Receive</t>
  </si>
  <si>
    <t>LDO_M P5 current during Transmit</t>
  </si>
  <si>
    <t>LDO_M M5 current during Transmit</t>
  </si>
  <si>
    <t>LDO_M P5 current during Receive</t>
  </si>
  <si>
    <t>LDO_M M5 current during Receive</t>
  </si>
  <si>
    <t>Supply detect +HV current</t>
  </si>
  <si>
    <t>Supply detect P5 current</t>
  </si>
  <si>
    <t>POR +HV current during Transmit</t>
  </si>
  <si>
    <t>POR -HV current during Transmit</t>
  </si>
  <si>
    <t>POR P5 current during Transmit</t>
  </si>
  <si>
    <t>POR M5 current during Transmit</t>
  </si>
  <si>
    <t>POR +HV current during Receive</t>
  </si>
  <si>
    <t>POR -HV current during Receive</t>
  </si>
  <si>
    <t>POR P5 current during Receive</t>
  </si>
  <si>
    <t>POR M5 current during Receive</t>
  </si>
  <si>
    <t>Wake-up time</t>
  </si>
  <si>
    <t>LDO Up time</t>
  </si>
  <si>
    <t>LDO Down tme</t>
  </si>
  <si>
    <t>Overhead Power</t>
  </si>
  <si>
    <t>Cgs of TRSW NMOS</t>
  </si>
  <si>
    <t>TRSW NMOS driver Current</t>
  </si>
  <si>
    <t>RTZ duration</t>
  </si>
  <si>
    <t>RTZ NMOS1 driver Current</t>
  </si>
  <si>
    <t>RTZ NMOS2 driver Current</t>
  </si>
  <si>
    <t>Vgs of TRSW NMOS</t>
  </si>
  <si>
    <t>NDAMP REG</t>
  </si>
  <si>
    <t>M1V RTZ REG</t>
  </si>
  <si>
    <t>CLK_SPI BUF</t>
  </si>
  <si>
    <t>Clock tree when alive</t>
  </si>
  <si>
    <t>Clock tree not alive</t>
  </si>
  <si>
    <t>1P8 contribution</t>
  </si>
  <si>
    <t>+HV Power</t>
  </si>
  <si>
    <t>-HV Power</t>
  </si>
  <si>
    <t>P5 Power</t>
  </si>
  <si>
    <t>M5 Power</t>
  </si>
  <si>
    <t>1P8 Power</t>
  </si>
  <si>
    <t>Number of Transmit channels</t>
  </si>
  <si>
    <t>Number of Receive channels</t>
  </si>
  <si>
    <t>Power per channel</t>
  </si>
  <si>
    <t>in mW/ch</t>
  </si>
  <si>
    <t>Temp Shut P5 current</t>
  </si>
  <si>
    <t>Refsys current (1P8)</t>
  </si>
  <si>
    <t>Up time</t>
  </si>
  <si>
    <t>Down time</t>
  </si>
  <si>
    <t>Current through load resistor</t>
  </si>
  <si>
    <t>Current through load capacitor</t>
  </si>
  <si>
    <t>Efficiency</t>
  </si>
  <si>
    <t>in %</t>
  </si>
  <si>
    <t>Load Power (including parasitics)</t>
  </si>
  <si>
    <t>Load Power (excluding parasitics)</t>
  </si>
  <si>
    <t>SYNC</t>
  </si>
  <si>
    <t>TXout1</t>
  </si>
  <si>
    <t>`</t>
  </si>
  <si>
    <t>&lt;      Start Delay      &gt;</t>
  </si>
  <si>
    <t>Start Delay</t>
  </si>
  <si>
    <t>WAKE UP</t>
  </si>
  <si>
    <t>&lt;     Wakeup time   &gt;</t>
  </si>
  <si>
    <t>+HV</t>
  </si>
  <si>
    <t>-HV</t>
  </si>
  <si>
    <t>+HV DUR</t>
  </si>
  <si>
    <t>-HV DUR</t>
  </si>
  <si>
    <t>RTZ DUR</t>
  </si>
  <si>
    <t>100ns</t>
  </si>
  <si>
    <t>Txout10</t>
  </si>
  <si>
    <t>Txout11</t>
  </si>
  <si>
    <t>Txout16</t>
  </si>
  <si>
    <t>Ron of HV MOS</t>
  </si>
  <si>
    <t>Voltage drop across HV diode</t>
  </si>
  <si>
    <t>&lt;                                                 Transmit Duration                                          &gt;</t>
  </si>
  <si>
    <t>&lt;                                                                                PRT                                                                                  &gt;</t>
  </si>
  <si>
    <t>Load resistive power</t>
  </si>
  <si>
    <t>Power dissipated in the device (due to load)</t>
  </si>
  <si>
    <t>Total load power</t>
  </si>
  <si>
    <t>Load resistive power per channel</t>
  </si>
  <si>
    <t>Total capacitive power per channel</t>
  </si>
  <si>
    <t>Load capacitive power per channel</t>
  </si>
  <si>
    <t>Total Power</t>
  </si>
  <si>
    <t>INPUT FIELD</t>
  </si>
  <si>
    <t>OUTPUT FIELD</t>
  </si>
  <si>
    <t>Fixed Field</t>
  </si>
  <si>
    <t>REFER TO THE EXAMPLE and FIGURE IN THE SHEET DIAGRAM TO UNDERSTAND THE VALUES USED HERE</t>
  </si>
  <si>
    <t>Parameter</t>
  </si>
  <si>
    <t>Unit</t>
  </si>
  <si>
    <t>Value</t>
  </si>
  <si>
    <t>Maximum Output voltage</t>
  </si>
  <si>
    <t>V</t>
  </si>
  <si>
    <t>Total power dissipated in the device (Load + device)</t>
  </si>
  <si>
    <t>Comment</t>
  </si>
  <si>
    <t>Enter HV supply level of transmit</t>
  </si>
  <si>
    <t>LV Supply. Keet it fix</t>
  </si>
  <si>
    <t>See Diagram sheet for more details</t>
  </si>
  <si>
    <t>Pulse repetition time
See Diagram sheet for more details</t>
  </si>
  <si>
    <t>Load connected to the pulser</t>
  </si>
  <si>
    <t>Routing parasitic</t>
  </si>
  <si>
    <t>Represent output max swing</t>
  </si>
  <si>
    <t>Number of channels transmitting HV pulses</t>
  </si>
  <si>
    <t>Total power dissipated in the system.</t>
  </si>
  <si>
    <t>Total power per channel</t>
  </si>
  <si>
    <t>Total power dissipated due to load. Includes both resistive and capcitive load switching</t>
  </si>
  <si>
    <t>Power dissipated in the resistor part of the load</t>
  </si>
  <si>
    <t>Power dissipated in the device due to capacitive load</t>
  </si>
  <si>
    <t>Total power dissipated in the device. This can be used for thermal modeling</t>
  </si>
  <si>
    <t>Efficiency tof the pulser</t>
  </si>
  <si>
    <t>Cgs of RTZ PMOS</t>
  </si>
  <si>
    <t>Vgs of RTZ PMOS</t>
  </si>
  <si>
    <t>Cgs of RTZ NMOS</t>
  </si>
  <si>
    <t>Vgs of RTZ NMOS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</si>
</sst>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00B050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3" borderId="0" xfId="0" applyFill="1"/>
    <xf numFmtId="0" fontId="0" fillId="2" borderId="0" xfId="0" applyFill="1"/>
    <xf numFmtId="0" fontId="0" fillId="3" borderId="0" xfId="0" applyFont="1" applyFill="1"/>
    <xf numFmtId="0" fontId="0" fillId="0" borderId="0" xfId="0" quotePrefix="1" applyFont="1"/>
    <xf numFmtId="0" fontId="0" fillId="4" borderId="0" xfId="0" applyFill="1"/>
    <xf numFmtId="2" fontId="0" fillId="0" borderId="0" xfId="0" applyNumberFormat="1" applyFont="1"/>
    <xf numFmtId="0" fontId="0" fillId="0" borderId="0" xfId="0" quotePrefix="1"/>
    <xf numFmtId="2" fontId="0" fillId="0" borderId="0" xfId="0" applyNumberFormat="1"/>
    <xf numFmtId="2" fontId="0" fillId="5" borderId="0" xfId="0" applyNumberFormat="1" applyFill="1"/>
    <xf numFmtId="0" fontId="0" fillId="6" borderId="0" xfId="0" applyFill="1"/>
    <xf numFmtId="0" fontId="0" fillId="0" borderId="0" xfId="0" applyFill="1"/>
    <xf numFmtId="0" fontId="0" fillId="0" borderId="0" xfId="0" applyFont="1" applyFill="1"/>
    <xf numFmtId="2" fontId="0" fillId="5" borderId="0" xfId="0" applyNumberFormat="1" applyFont="1" applyFill="1"/>
    <xf numFmtId="0" fontId="0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5" borderId="0" xfId="0" applyNumberFormat="1" applyFill="1"/>
    <xf numFmtId="164" fontId="0" fillId="0" borderId="0" xfId="0" applyNumberFormat="1"/>
    <xf numFmtId="164" fontId="0" fillId="7" borderId="0" xfId="0" applyNumberFormat="1" applyFill="1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164" fontId="1" fillId="5" borderId="0" xfId="0" applyNumberFormat="1" applyFont="1" applyFill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zoomScaleNormal="100" workbookViewId="0">
      <selection activeCell="A32" sqref="A32:XFD104"/>
    </sheetView>
  </sheetViews>
  <sheetFormatPr defaultRowHeight="12.3" x14ac:dyDescent="0.4"/>
  <cols>
    <col min="1" max="1" width="42.0546875" bestFit="1" customWidth="1"/>
    <col min="2" max="2" width="11.5546875"/>
    <col min="3" max="3" width="10" customWidth="1"/>
    <col min="4" max="4" width="54.27734375" customWidth="1"/>
    <col min="5" max="5" width="97.27734375" bestFit="1" customWidth="1"/>
    <col min="6" max="1004" width="11.5546875"/>
  </cols>
  <sheetData>
    <row r="1" spans="1:5" x14ac:dyDescent="0.4">
      <c r="A1" s="16" t="s">
        <v>129</v>
      </c>
      <c r="B1" s="16" t="s">
        <v>130</v>
      </c>
      <c r="C1" s="16" t="s">
        <v>131</v>
      </c>
      <c r="D1" s="16" t="s">
        <v>135</v>
      </c>
    </row>
    <row r="2" spans="1:5" x14ac:dyDescent="0.4">
      <c r="A2" s="1" t="s">
        <v>10</v>
      </c>
      <c r="B2" s="1" t="s">
        <v>0</v>
      </c>
      <c r="C2" s="2">
        <v>100</v>
      </c>
      <c r="D2" t="s">
        <v>136</v>
      </c>
      <c r="E2" s="16" t="s">
        <v>128</v>
      </c>
    </row>
    <row r="3" spans="1:5" x14ac:dyDescent="0.4">
      <c r="A3" s="1" t="s">
        <v>40</v>
      </c>
      <c r="B3" s="1" t="s">
        <v>0</v>
      </c>
      <c r="C3" s="12">
        <v>5</v>
      </c>
      <c r="D3" t="s">
        <v>137</v>
      </c>
    </row>
    <row r="4" spans="1:5" x14ac:dyDescent="0.4">
      <c r="A4" s="1" t="s">
        <v>39</v>
      </c>
      <c r="B4" s="1" t="s">
        <v>0</v>
      </c>
      <c r="C4" s="12">
        <v>5</v>
      </c>
      <c r="D4" t="s">
        <v>137</v>
      </c>
      <c r="E4" s="2" t="s">
        <v>125</v>
      </c>
    </row>
    <row r="5" spans="1:5" x14ac:dyDescent="0.4">
      <c r="A5" s="1" t="s">
        <v>102</v>
      </c>
      <c r="B5" s="1" t="s">
        <v>1</v>
      </c>
      <c r="C5" s="3">
        <v>0.3</v>
      </c>
      <c r="D5" t="s">
        <v>138</v>
      </c>
      <c r="E5" s="14" t="s">
        <v>126</v>
      </c>
    </row>
    <row r="6" spans="1:5" x14ac:dyDescent="0.4">
      <c r="A6" s="1" t="s">
        <v>17</v>
      </c>
      <c r="B6" s="1" t="s">
        <v>1</v>
      </c>
      <c r="C6" s="2">
        <v>0.2</v>
      </c>
      <c r="D6" t="s">
        <v>138</v>
      </c>
      <c r="E6" t="s">
        <v>127</v>
      </c>
    </row>
    <row r="7" spans="1:5" ht="24.6" x14ac:dyDescent="0.4">
      <c r="A7" s="1" t="s">
        <v>2</v>
      </c>
      <c r="B7" s="1" t="s">
        <v>1</v>
      </c>
      <c r="C7" s="2">
        <v>200</v>
      </c>
      <c r="D7" s="36" t="s">
        <v>139</v>
      </c>
    </row>
    <row r="8" spans="1:5" hidden="1" x14ac:dyDescent="0.4">
      <c r="A8" s="1" t="s">
        <v>63</v>
      </c>
      <c r="B8" s="1" t="s">
        <v>1</v>
      </c>
      <c r="C8" s="11">
        <v>1</v>
      </c>
    </row>
    <row r="9" spans="1:5" hidden="1" x14ac:dyDescent="0.4">
      <c r="A9" s="1" t="s">
        <v>64</v>
      </c>
      <c r="B9" s="1" t="s">
        <v>1</v>
      </c>
      <c r="C9" s="12">
        <f>C8+C5+C6</f>
        <v>1.5</v>
      </c>
    </row>
    <row r="10" spans="1:5" hidden="1" x14ac:dyDescent="0.4">
      <c r="A10" s="1" t="s">
        <v>65</v>
      </c>
      <c r="B10" s="1" t="s">
        <v>1</v>
      </c>
      <c r="C10" s="12">
        <f>C7-C9</f>
        <v>198.5</v>
      </c>
    </row>
    <row r="11" spans="1:5" hidden="1" x14ac:dyDescent="0.4">
      <c r="A11" s="1" t="s">
        <v>90</v>
      </c>
      <c r="B11" s="1" t="s">
        <v>1</v>
      </c>
      <c r="C11" s="12">
        <f>C5+C6</f>
        <v>0.5</v>
      </c>
    </row>
    <row r="12" spans="1:5" hidden="1" x14ac:dyDescent="0.4">
      <c r="A12" s="1" t="s">
        <v>91</v>
      </c>
      <c r="B12" s="1" t="s">
        <v>1</v>
      </c>
      <c r="C12" s="12">
        <f>C7-C11</f>
        <v>199.5</v>
      </c>
    </row>
    <row r="14" spans="1:5" x14ac:dyDescent="0.4">
      <c r="A14" t="s">
        <v>11</v>
      </c>
      <c r="C14" s="2">
        <v>1</v>
      </c>
      <c r="D14" t="s">
        <v>138</v>
      </c>
    </row>
    <row r="15" spans="1:5" x14ac:dyDescent="0.4">
      <c r="A15" t="s">
        <v>12</v>
      </c>
      <c r="C15" s="2">
        <v>0</v>
      </c>
      <c r="D15" t="s">
        <v>138</v>
      </c>
    </row>
    <row r="16" spans="1:5" x14ac:dyDescent="0.4">
      <c r="A16" t="s">
        <v>13</v>
      </c>
      <c r="C16" s="2">
        <v>1</v>
      </c>
      <c r="D16" t="s">
        <v>138</v>
      </c>
    </row>
    <row r="17" spans="1:4" x14ac:dyDescent="0.4">
      <c r="A17" s="1" t="s">
        <v>14</v>
      </c>
      <c r="B17" s="1"/>
      <c r="C17" s="4">
        <v>0</v>
      </c>
      <c r="D17" t="s">
        <v>138</v>
      </c>
    </row>
    <row r="18" spans="1:4" x14ac:dyDescent="0.4">
      <c r="A18" s="1" t="s">
        <v>33</v>
      </c>
      <c r="B18" s="1"/>
      <c r="C18" s="4">
        <v>1</v>
      </c>
      <c r="D18" t="s">
        <v>138</v>
      </c>
    </row>
    <row r="19" spans="1:4" x14ac:dyDescent="0.4">
      <c r="A19" s="5" t="s">
        <v>15</v>
      </c>
      <c r="B19" s="1" t="s">
        <v>18</v>
      </c>
      <c r="C19" s="4">
        <v>100</v>
      </c>
      <c r="D19" t="s">
        <v>138</v>
      </c>
    </row>
    <row r="20" spans="1:4" x14ac:dyDescent="0.4">
      <c r="A20" s="5" t="s">
        <v>16</v>
      </c>
      <c r="B20" s="1" t="s">
        <v>18</v>
      </c>
      <c r="C20" s="4">
        <v>100</v>
      </c>
      <c r="D20" t="s">
        <v>138</v>
      </c>
    </row>
    <row r="21" spans="1:4" x14ac:dyDescent="0.4">
      <c r="A21" s="5" t="s">
        <v>69</v>
      </c>
      <c r="B21" s="1" t="s">
        <v>18</v>
      </c>
      <c r="C21" s="4">
        <v>100</v>
      </c>
      <c r="D21" t="s">
        <v>138</v>
      </c>
    </row>
    <row r="23" spans="1:4" x14ac:dyDescent="0.4">
      <c r="A23" s="1" t="s">
        <v>3</v>
      </c>
      <c r="B23" s="1" t="s">
        <v>4</v>
      </c>
      <c r="C23" s="2">
        <v>0.4</v>
      </c>
      <c r="D23" t="s">
        <v>140</v>
      </c>
    </row>
    <row r="24" spans="1:4" x14ac:dyDescent="0.4">
      <c r="A24" s="1" t="s">
        <v>5</v>
      </c>
      <c r="B24" s="1" t="s">
        <v>6</v>
      </c>
      <c r="C24" s="2">
        <v>110</v>
      </c>
      <c r="D24" t="s">
        <v>140</v>
      </c>
    </row>
    <row r="25" spans="1:4" x14ac:dyDescent="0.4">
      <c r="A25" s="1" t="s">
        <v>19</v>
      </c>
      <c r="B25" s="1" t="s">
        <v>6</v>
      </c>
      <c r="C25" s="2">
        <v>15</v>
      </c>
      <c r="D25" t="s">
        <v>141</v>
      </c>
    </row>
    <row r="26" spans="1:4" hidden="1" x14ac:dyDescent="0.4">
      <c r="A26" s="1" t="s">
        <v>21</v>
      </c>
      <c r="B26" s="1" t="s">
        <v>4</v>
      </c>
      <c r="C26" s="6">
        <v>25</v>
      </c>
    </row>
    <row r="27" spans="1:4" hidden="1" x14ac:dyDescent="0.4">
      <c r="A27" s="1" t="s">
        <v>20</v>
      </c>
      <c r="B27" s="1" t="s">
        <v>6</v>
      </c>
      <c r="C27" s="6">
        <v>15</v>
      </c>
    </row>
    <row r="28" spans="1:4" hidden="1" x14ac:dyDescent="0.4">
      <c r="A28" s="1"/>
      <c r="B28" s="1"/>
    </row>
    <row r="29" spans="1:4" hidden="1" x14ac:dyDescent="0.4">
      <c r="A29" t="s">
        <v>114</v>
      </c>
      <c r="B29" t="s">
        <v>4</v>
      </c>
      <c r="C29">
        <v>0.02</v>
      </c>
    </row>
    <row r="30" spans="1:4" hidden="1" x14ac:dyDescent="0.4">
      <c r="A30" t="s">
        <v>115</v>
      </c>
      <c r="B30" t="s">
        <v>0</v>
      </c>
      <c r="C30">
        <f>0.75</f>
        <v>0.75</v>
      </c>
    </row>
    <row r="31" spans="1:4" x14ac:dyDescent="0.4">
      <c r="A31" s="1" t="s">
        <v>132</v>
      </c>
      <c r="B31" s="1" t="s">
        <v>133</v>
      </c>
      <c r="C31" s="32">
        <f>(C2-C30)*C23/(C23+C29)</f>
        <v>94.523809523809518</v>
      </c>
      <c r="D31" t="s">
        <v>142</v>
      </c>
    </row>
    <row r="32" spans="1:4" hidden="1" x14ac:dyDescent="0.4">
      <c r="A32" s="1"/>
      <c r="B32" s="1"/>
    </row>
    <row r="33" spans="1:3" hidden="1" x14ac:dyDescent="0.4">
      <c r="A33" s="1" t="s">
        <v>24</v>
      </c>
      <c r="B33" s="1" t="s">
        <v>7</v>
      </c>
      <c r="C33" s="1">
        <f>1/C7*POWER(10,6)*(C24+C25+C27)*POWER(10,-12)*2*C31*POWER(10,3)</f>
        <v>0.1323333333333333</v>
      </c>
    </row>
    <row r="34" spans="1:3" hidden="1" x14ac:dyDescent="0.4">
      <c r="A34" s="1" t="s">
        <v>8</v>
      </c>
      <c r="B34" s="1" t="s">
        <v>7</v>
      </c>
      <c r="C34" s="7">
        <f>C31*(C23+C26)/(C23*C26)</f>
        <v>240.09047619047615</v>
      </c>
    </row>
    <row r="35" spans="1:3" hidden="1" x14ac:dyDescent="0.4"/>
    <row r="36" spans="1:3" hidden="1" x14ac:dyDescent="0.4">
      <c r="A36" s="8" t="s">
        <v>35</v>
      </c>
      <c r="B36" t="s">
        <v>9</v>
      </c>
      <c r="C36" s="9">
        <f>(C14*C33+C17*0.5*C33+C34*C19/C7*POWER(10,-3))*C2</f>
        <v>25.237857142857141</v>
      </c>
    </row>
    <row r="37" spans="1:3" hidden="1" x14ac:dyDescent="0.4">
      <c r="A37" s="8" t="s">
        <v>36</v>
      </c>
      <c r="B37" t="s">
        <v>9</v>
      </c>
      <c r="C37" s="9">
        <f>(C15*C33+C16*0.5*C33+C34*C20/C7*POWER(10,-3))*C2</f>
        <v>18.621190476190474</v>
      </c>
    </row>
    <row r="38" spans="1:3" hidden="1" x14ac:dyDescent="0.4">
      <c r="A38" t="s">
        <v>96</v>
      </c>
      <c r="B38" t="s">
        <v>9</v>
      </c>
      <c r="C38" s="10">
        <f>C36+C37</f>
        <v>43.859047619047615</v>
      </c>
    </row>
    <row r="39" spans="1:3" hidden="1" x14ac:dyDescent="0.4"/>
    <row r="40" spans="1:3" hidden="1" x14ac:dyDescent="0.4">
      <c r="A40" s="1" t="s">
        <v>22</v>
      </c>
      <c r="B40" s="1" t="s">
        <v>6</v>
      </c>
      <c r="C40" s="12">
        <v>46</v>
      </c>
    </row>
    <row r="41" spans="1:3" hidden="1" x14ac:dyDescent="0.4">
      <c r="A41" s="1" t="s">
        <v>25</v>
      </c>
      <c r="B41" s="1" t="s">
        <v>0</v>
      </c>
      <c r="C41" s="12">
        <v>5</v>
      </c>
    </row>
    <row r="42" spans="1:3" hidden="1" x14ac:dyDescent="0.4">
      <c r="A42" s="1" t="s">
        <v>23</v>
      </c>
      <c r="B42" s="1" t="s">
        <v>6</v>
      </c>
      <c r="C42" s="12">
        <v>34</v>
      </c>
    </row>
    <row r="43" spans="1:3" hidden="1" x14ac:dyDescent="0.4">
      <c r="A43" s="1" t="s">
        <v>26</v>
      </c>
      <c r="B43" s="1" t="s">
        <v>0</v>
      </c>
      <c r="C43" s="12">
        <v>5</v>
      </c>
    </row>
    <row r="44" spans="1:3" hidden="1" x14ac:dyDescent="0.4">
      <c r="A44" s="1" t="s">
        <v>151</v>
      </c>
      <c r="B44" s="1" t="s">
        <v>6</v>
      </c>
      <c r="C44" s="13">
        <v>30</v>
      </c>
    </row>
    <row r="45" spans="1:3" hidden="1" x14ac:dyDescent="0.4">
      <c r="A45" s="1" t="s">
        <v>152</v>
      </c>
      <c r="B45" s="1" t="s">
        <v>0</v>
      </c>
      <c r="C45" s="13">
        <v>5</v>
      </c>
    </row>
    <row r="46" spans="1:3" hidden="1" x14ac:dyDescent="0.4">
      <c r="A46" s="1" t="s">
        <v>153</v>
      </c>
      <c r="B46" s="1" t="s">
        <v>6</v>
      </c>
      <c r="C46" s="13">
        <v>22</v>
      </c>
    </row>
    <row r="47" spans="1:3" hidden="1" x14ac:dyDescent="0.4">
      <c r="A47" s="1" t="s">
        <v>154</v>
      </c>
      <c r="B47" s="1" t="s">
        <v>0</v>
      </c>
      <c r="C47" s="13">
        <v>4.5</v>
      </c>
    </row>
    <row r="48" spans="1:3" hidden="1" x14ac:dyDescent="0.4">
      <c r="A48" s="1" t="s">
        <v>67</v>
      </c>
      <c r="B48" s="1" t="s">
        <v>6</v>
      </c>
      <c r="C48" s="13">
        <v>22</v>
      </c>
    </row>
    <row r="49" spans="1:3" hidden="1" x14ac:dyDescent="0.4">
      <c r="A49" s="1" t="s">
        <v>72</v>
      </c>
      <c r="B49" s="1" t="s">
        <v>0</v>
      </c>
      <c r="C49" s="13">
        <v>4.5</v>
      </c>
    </row>
    <row r="50" spans="1:3" hidden="1" x14ac:dyDescent="0.4"/>
    <row r="51" spans="1:3" hidden="1" x14ac:dyDescent="0.4">
      <c r="A51" s="8" t="s">
        <v>29</v>
      </c>
      <c r="B51" t="s">
        <v>7</v>
      </c>
      <c r="C51" s="1">
        <f>1/C7*POWER(10,6)*(C40*C41)*POWER(10,-12)*POWER(10,3)</f>
        <v>1.15E-3</v>
      </c>
    </row>
    <row r="52" spans="1:3" hidden="1" x14ac:dyDescent="0.4">
      <c r="A52" s="8" t="s">
        <v>30</v>
      </c>
      <c r="B52" t="s">
        <v>7</v>
      </c>
      <c r="C52" s="1">
        <f>1/C7*POWER(10,6)*(C40*C41)*POWER(10,-12)*POWER(10,3)</f>
        <v>1.15E-3</v>
      </c>
    </row>
    <row r="53" spans="1:3" hidden="1" x14ac:dyDescent="0.4">
      <c r="A53" s="8" t="s">
        <v>27</v>
      </c>
      <c r="B53" s="1" t="s">
        <v>7</v>
      </c>
      <c r="C53" s="1">
        <f>C14*C51+C17*C52</f>
        <v>1.15E-3</v>
      </c>
    </row>
    <row r="54" spans="1:3" hidden="1" x14ac:dyDescent="0.4">
      <c r="A54" s="8" t="s">
        <v>31</v>
      </c>
      <c r="B54" t="s">
        <v>7</v>
      </c>
      <c r="C54" s="1">
        <f>1/C7*POWER(10,6)*(C42*C43)*POWER(10,-12)*POWER(10,3)</f>
        <v>8.5000000000000006E-4</v>
      </c>
    </row>
    <row r="55" spans="1:3" hidden="1" x14ac:dyDescent="0.4">
      <c r="A55" s="8" t="s">
        <v>32</v>
      </c>
      <c r="B55" t="s">
        <v>7</v>
      </c>
      <c r="C55" s="1">
        <f>1/C7*POWER(10,6)*(C42*C43)*POWER(10,-12)*POWER(10,3)</f>
        <v>8.5000000000000006E-4</v>
      </c>
    </row>
    <row r="56" spans="1:3" hidden="1" x14ac:dyDescent="0.4">
      <c r="A56" s="8" t="s">
        <v>28</v>
      </c>
      <c r="B56" s="1" t="s">
        <v>7</v>
      </c>
      <c r="C56" s="1">
        <f>C15*C54+C16*C55</f>
        <v>8.5000000000000006E-4</v>
      </c>
    </row>
    <row r="57" spans="1:3" hidden="1" x14ac:dyDescent="0.4">
      <c r="A57" s="8" t="s">
        <v>70</v>
      </c>
      <c r="B57" s="1" t="s">
        <v>7</v>
      </c>
      <c r="C57" s="15">
        <f>1/C7*POWER(10,6)*C18*C44*C45*POWER(10,-12)*POWER(10,3)</f>
        <v>7.5000000000000002E-4</v>
      </c>
    </row>
    <row r="58" spans="1:3" hidden="1" x14ac:dyDescent="0.4">
      <c r="A58" s="8" t="s">
        <v>71</v>
      </c>
      <c r="B58" s="1" t="s">
        <v>7</v>
      </c>
      <c r="C58" s="1">
        <f>1/C7*POWER(10,6)*C18*C46*C47*POWER(10,-12)*POWER(10,3)</f>
        <v>4.95E-4</v>
      </c>
    </row>
    <row r="59" spans="1:3" hidden="1" x14ac:dyDescent="0.4">
      <c r="A59" s="8" t="s">
        <v>68</v>
      </c>
      <c r="B59" s="1" t="s">
        <v>7</v>
      </c>
      <c r="C59" s="1">
        <f>1/C7*POWER(10,6)*(C48*C49)*POWER(10,-12)*POWER(10,3)</f>
        <v>4.95E-4</v>
      </c>
    </row>
    <row r="60" spans="1:3" hidden="1" x14ac:dyDescent="0.4">
      <c r="A60" s="8"/>
      <c r="B60" s="1"/>
      <c r="C60" s="1"/>
    </row>
    <row r="61" spans="1:3" hidden="1" x14ac:dyDescent="0.4">
      <c r="A61" s="8" t="s">
        <v>35</v>
      </c>
      <c r="B61" s="1" t="s">
        <v>9</v>
      </c>
      <c r="C61" s="1">
        <f>C53*C2</f>
        <v>0.11499999999999999</v>
      </c>
    </row>
    <row r="62" spans="1:3" hidden="1" x14ac:dyDescent="0.4">
      <c r="A62" s="8" t="s">
        <v>36</v>
      </c>
      <c r="B62" s="1" t="s">
        <v>9</v>
      </c>
      <c r="C62" s="1">
        <f>(C56+C59)*C2</f>
        <v>0.13450000000000001</v>
      </c>
    </row>
    <row r="63" spans="1:3" hidden="1" x14ac:dyDescent="0.4">
      <c r="A63" s="8" t="s">
        <v>37</v>
      </c>
      <c r="B63" s="1" t="s">
        <v>9</v>
      </c>
      <c r="C63" s="1">
        <f>(C56+C58+C57)*C3</f>
        <v>1.0475E-2</v>
      </c>
    </row>
    <row r="64" spans="1:3" hidden="1" x14ac:dyDescent="0.4">
      <c r="A64" s="8" t="s">
        <v>38</v>
      </c>
      <c r="B64" s="1" t="s">
        <v>9</v>
      </c>
      <c r="C64" s="1">
        <f>(C53)*C4</f>
        <v>5.7499999999999999E-3</v>
      </c>
    </row>
    <row r="65" spans="1:15" hidden="1" x14ac:dyDescent="0.4">
      <c r="A65" s="8" t="s">
        <v>34</v>
      </c>
      <c r="B65" s="1" t="s">
        <v>9</v>
      </c>
      <c r="C65" s="10">
        <f>SUM(C61:C64)</f>
        <v>0.26572499999999999</v>
      </c>
    </row>
    <row r="66" spans="1:15" hidden="1" x14ac:dyDescent="0.4"/>
    <row r="67" spans="1:15" hidden="1" x14ac:dyDescent="0.4">
      <c r="A67" s="8" t="s">
        <v>41</v>
      </c>
      <c r="B67" t="s">
        <v>7</v>
      </c>
      <c r="C67" s="12">
        <v>0.42</v>
      </c>
    </row>
    <row r="68" spans="1:15" hidden="1" x14ac:dyDescent="0.4">
      <c r="A68" s="8" t="s">
        <v>45</v>
      </c>
      <c r="B68" t="s">
        <v>7</v>
      </c>
      <c r="C68" s="12">
        <v>0.22</v>
      </c>
    </row>
    <row r="69" spans="1:15" hidden="1" x14ac:dyDescent="0.4">
      <c r="A69" s="8" t="s">
        <v>46</v>
      </c>
      <c r="B69" t="s">
        <v>7</v>
      </c>
      <c r="C69" s="12">
        <v>0.64</v>
      </c>
    </row>
    <row r="70" spans="1:15" hidden="1" x14ac:dyDescent="0.4">
      <c r="A70" s="8" t="s">
        <v>43</v>
      </c>
      <c r="B70" t="s">
        <v>7</v>
      </c>
      <c r="C70" s="12">
        <v>0</v>
      </c>
    </row>
    <row r="71" spans="1:15" hidden="1" x14ac:dyDescent="0.4">
      <c r="A71" s="8" t="s">
        <v>47</v>
      </c>
      <c r="B71" t="s">
        <v>7</v>
      </c>
      <c r="C71" s="12">
        <v>0</v>
      </c>
    </row>
    <row r="72" spans="1:15" hidden="1" x14ac:dyDescent="0.4">
      <c r="A72" s="8" t="s">
        <v>48</v>
      </c>
      <c r="B72" t="s">
        <v>7</v>
      </c>
      <c r="C72" s="12">
        <v>0</v>
      </c>
    </row>
    <row r="73" spans="1:15" hidden="1" x14ac:dyDescent="0.4">
      <c r="A73" s="8" t="s">
        <v>42</v>
      </c>
      <c r="B73" t="s">
        <v>7</v>
      </c>
      <c r="C73" s="12">
        <v>0.39</v>
      </c>
    </row>
    <row r="74" spans="1:15" hidden="1" x14ac:dyDescent="0.4">
      <c r="A74" s="8" t="s">
        <v>49</v>
      </c>
      <c r="B74" t="s">
        <v>7</v>
      </c>
      <c r="C74" s="12">
        <v>0.66</v>
      </c>
    </row>
    <row r="75" spans="1:15" hidden="1" x14ac:dyDescent="0.4">
      <c r="A75" s="8" t="s">
        <v>50</v>
      </c>
      <c r="B75" t="s">
        <v>7</v>
      </c>
      <c r="C75" s="12">
        <v>0</v>
      </c>
    </row>
    <row r="76" spans="1:15" hidden="1" x14ac:dyDescent="0.4">
      <c r="A76" s="8" t="s">
        <v>44</v>
      </c>
      <c r="B76" t="s">
        <v>7</v>
      </c>
      <c r="C76" s="12">
        <v>0</v>
      </c>
    </row>
    <row r="77" spans="1:15" hidden="1" x14ac:dyDescent="0.4">
      <c r="A77" s="8" t="s">
        <v>51</v>
      </c>
      <c r="B77" t="s">
        <v>7</v>
      </c>
      <c r="C77" s="12">
        <v>0</v>
      </c>
    </row>
    <row r="78" spans="1:15" hidden="1" x14ac:dyDescent="0.4">
      <c r="A78" s="8" t="s">
        <v>52</v>
      </c>
      <c r="B78" t="s">
        <v>7</v>
      </c>
      <c r="C78" s="12">
        <v>0</v>
      </c>
    </row>
    <row r="79" spans="1:15" hidden="1" x14ac:dyDescent="0.4">
      <c r="A79" s="8" t="s">
        <v>53</v>
      </c>
      <c r="B79" t="s">
        <v>7</v>
      </c>
      <c r="C79" s="12">
        <v>5.0000000000000001E-3</v>
      </c>
    </row>
    <row r="80" spans="1:15" hidden="1" x14ac:dyDescent="0.4">
      <c r="A80" s="8" t="s">
        <v>54</v>
      </c>
      <c r="B80" t="s">
        <v>7</v>
      </c>
      <c r="C80" s="12">
        <v>0.18</v>
      </c>
      <c r="L80" s="16"/>
      <c r="M80" s="16"/>
      <c r="N80" s="16"/>
      <c r="O80" s="16"/>
    </row>
    <row r="81" spans="1:3" hidden="1" x14ac:dyDescent="0.4">
      <c r="A81" s="8" t="s">
        <v>88</v>
      </c>
      <c r="B81" t="s">
        <v>7</v>
      </c>
      <c r="C81" s="12">
        <v>0.108</v>
      </c>
    </row>
    <row r="82" spans="1:3" hidden="1" x14ac:dyDescent="0.4">
      <c r="A82" s="8" t="s">
        <v>55</v>
      </c>
      <c r="B82" t="s">
        <v>7</v>
      </c>
      <c r="C82" s="12">
        <v>6.5000000000000002E-2</v>
      </c>
    </row>
    <row r="83" spans="1:3" hidden="1" x14ac:dyDescent="0.4">
      <c r="A83" s="8" t="s">
        <v>56</v>
      </c>
      <c r="B83" t="s">
        <v>7</v>
      </c>
      <c r="C83" s="12">
        <v>6.5000000000000002E-2</v>
      </c>
    </row>
    <row r="84" spans="1:3" hidden="1" x14ac:dyDescent="0.4">
      <c r="A84" s="8" t="s">
        <v>57</v>
      </c>
      <c r="B84" t="s">
        <v>7</v>
      </c>
      <c r="C84" s="12">
        <v>0.2</v>
      </c>
    </row>
    <row r="85" spans="1:3" hidden="1" x14ac:dyDescent="0.4">
      <c r="A85" s="8" t="s">
        <v>58</v>
      </c>
      <c r="B85" t="s">
        <v>7</v>
      </c>
      <c r="C85" s="12">
        <v>0.1</v>
      </c>
    </row>
    <row r="86" spans="1:3" hidden="1" x14ac:dyDescent="0.4">
      <c r="A86" s="8" t="s">
        <v>59</v>
      </c>
      <c r="B86" t="s">
        <v>7</v>
      </c>
      <c r="C86" s="12">
        <v>0</v>
      </c>
    </row>
    <row r="87" spans="1:3" hidden="1" x14ac:dyDescent="0.4">
      <c r="A87" s="8" t="s">
        <v>60</v>
      </c>
      <c r="B87" t="s">
        <v>7</v>
      </c>
      <c r="C87" s="12">
        <v>0</v>
      </c>
    </row>
    <row r="88" spans="1:3" hidden="1" x14ac:dyDescent="0.4">
      <c r="A88" s="8" t="s">
        <v>61</v>
      </c>
      <c r="B88" t="s">
        <v>7</v>
      </c>
      <c r="C88" s="12">
        <v>0</v>
      </c>
    </row>
    <row r="89" spans="1:3" hidden="1" x14ac:dyDescent="0.4">
      <c r="A89" s="8" t="s">
        <v>62</v>
      </c>
      <c r="B89" t="s">
        <v>7</v>
      </c>
      <c r="C89" s="12">
        <v>0</v>
      </c>
    </row>
    <row r="90" spans="1:3" hidden="1" x14ac:dyDescent="0.4">
      <c r="A90" s="8" t="s">
        <v>76</v>
      </c>
      <c r="B90" t="s">
        <v>7</v>
      </c>
      <c r="C90" s="12">
        <v>28</v>
      </c>
    </row>
    <row r="91" spans="1:3" hidden="1" x14ac:dyDescent="0.4">
      <c r="A91" s="8" t="s">
        <v>77</v>
      </c>
      <c r="B91" t="s">
        <v>7</v>
      </c>
      <c r="C91" s="12">
        <v>0</v>
      </c>
    </row>
    <row r="92" spans="1:3" hidden="1" x14ac:dyDescent="0.4">
      <c r="A92" s="8" t="s">
        <v>89</v>
      </c>
      <c r="B92" t="s">
        <v>7</v>
      </c>
      <c r="C92" s="12">
        <v>3</v>
      </c>
    </row>
    <row r="93" spans="1:3" hidden="1" x14ac:dyDescent="0.4">
      <c r="A93" s="8" t="s">
        <v>74</v>
      </c>
      <c r="B93" t="s">
        <v>7</v>
      </c>
      <c r="C93" s="12">
        <v>0.06</v>
      </c>
    </row>
    <row r="94" spans="1:3" hidden="1" x14ac:dyDescent="0.4">
      <c r="A94" s="8" t="s">
        <v>73</v>
      </c>
      <c r="B94" t="s">
        <v>7</v>
      </c>
      <c r="C94" s="12">
        <v>0.16200000000000001</v>
      </c>
    </row>
    <row r="95" spans="1:3" hidden="1" x14ac:dyDescent="0.4">
      <c r="A95" s="8" t="s">
        <v>75</v>
      </c>
      <c r="B95" t="s">
        <v>7</v>
      </c>
      <c r="C95" s="12">
        <v>9</v>
      </c>
    </row>
    <row r="96" spans="1:3" hidden="1" x14ac:dyDescent="0.4"/>
    <row r="97" spans="1:4" hidden="1" x14ac:dyDescent="0.4">
      <c r="A97" s="8" t="s">
        <v>35</v>
      </c>
      <c r="B97" s="1" t="s">
        <v>9</v>
      </c>
      <c r="C97" s="1">
        <f>(C67*C9/C7+C70*C10/C7+C79+C82*C11/C7+C86*C12/C7)*C2*2</f>
        <v>1.6625000000000001</v>
      </c>
    </row>
    <row r="98" spans="1:4" hidden="1" x14ac:dyDescent="0.4">
      <c r="A98" s="8" t="s">
        <v>36</v>
      </c>
      <c r="B98" s="1" t="s">
        <v>9</v>
      </c>
      <c r="C98" s="1">
        <f>(C73*C9/C7+C76*C10/C7+C83*C11/C7+C87*C12/C7)*C2*2</f>
        <v>0.61749999999999994</v>
      </c>
    </row>
    <row r="99" spans="1:4" hidden="1" x14ac:dyDescent="0.4">
      <c r="A99" s="8" t="s">
        <v>37</v>
      </c>
      <c r="B99" s="1" t="s">
        <v>9</v>
      </c>
      <c r="C99" s="1">
        <f>((C68+C74)*C9/C7+(C71+C77)*C10/C7+C80+C81/2+C84*C11/C7+C88*C12/C7+C94/2)*C3*2</f>
        <v>3.2210000000000001</v>
      </c>
    </row>
    <row r="100" spans="1:4" hidden="1" x14ac:dyDescent="0.4">
      <c r="A100" s="8" t="s">
        <v>38</v>
      </c>
      <c r="B100" s="1" t="s">
        <v>9</v>
      </c>
      <c r="C100" s="1">
        <f>((C69+C75)*C9/C7+(C72+C78)*C10/C7+C85*C11/C7+C89*C12/C7)*C4*2+C93*(C4)</f>
        <v>0.35049999999999998</v>
      </c>
    </row>
    <row r="101" spans="1:4" hidden="1" x14ac:dyDescent="0.4">
      <c r="A101" s="8" t="s">
        <v>78</v>
      </c>
      <c r="B101" s="1" t="s">
        <v>9</v>
      </c>
      <c r="C101" s="1">
        <f>(C95+C92+C90)*1.8</f>
        <v>72</v>
      </c>
    </row>
    <row r="102" spans="1:4" hidden="1" x14ac:dyDescent="0.4">
      <c r="A102" s="8" t="s">
        <v>66</v>
      </c>
      <c r="B102" s="1" t="s">
        <v>9</v>
      </c>
      <c r="C102" s="10">
        <f>SUM(C97:C101)</f>
        <v>77.851500000000001</v>
      </c>
    </row>
    <row r="103" spans="1:4" hidden="1" x14ac:dyDescent="0.4"/>
    <row r="104" spans="1:4" hidden="1" x14ac:dyDescent="0.4"/>
    <row r="105" spans="1:4" x14ac:dyDescent="0.4">
      <c r="A105" t="s">
        <v>84</v>
      </c>
      <c r="C105" s="3">
        <v>64</v>
      </c>
      <c r="D105" t="s">
        <v>143</v>
      </c>
    </row>
    <row r="106" spans="1:4" hidden="1" x14ac:dyDescent="0.4">
      <c r="A106" t="s">
        <v>85</v>
      </c>
      <c r="C106">
        <f>64-C105</f>
        <v>0</v>
      </c>
    </row>
    <row r="107" spans="1:4" hidden="1" x14ac:dyDescent="0.4">
      <c r="A107" s="8" t="s">
        <v>79</v>
      </c>
      <c r="B107" t="s">
        <v>9</v>
      </c>
      <c r="C107">
        <f>C97+(C61+C36)*C105</f>
        <v>1624.2453571428568</v>
      </c>
    </row>
    <row r="108" spans="1:4" hidden="1" x14ac:dyDescent="0.4">
      <c r="A108" s="8" t="s">
        <v>80</v>
      </c>
      <c r="B108" t="s">
        <v>9</v>
      </c>
      <c r="C108">
        <f>C98+(C62+C37)*C105</f>
        <v>1200.9816904761904</v>
      </c>
    </row>
    <row r="109" spans="1:4" hidden="1" x14ac:dyDescent="0.4">
      <c r="A109" t="s">
        <v>81</v>
      </c>
      <c r="B109" t="s">
        <v>9</v>
      </c>
      <c r="C109">
        <f>C99+(C63)*C105</f>
        <v>3.8914</v>
      </c>
    </row>
    <row r="110" spans="1:4" hidden="1" x14ac:dyDescent="0.4">
      <c r="A110" t="s">
        <v>82</v>
      </c>
      <c r="B110" t="s">
        <v>9</v>
      </c>
      <c r="C110">
        <f>C100+(C64)*C105</f>
        <v>0.71849999999999992</v>
      </c>
    </row>
    <row r="111" spans="1:4" hidden="1" x14ac:dyDescent="0.4">
      <c r="A111" t="s">
        <v>83</v>
      </c>
      <c r="B111" t="s">
        <v>9</v>
      </c>
      <c r="C111">
        <f>C101</f>
        <v>72</v>
      </c>
    </row>
    <row r="112" spans="1:4" x14ac:dyDescent="0.4">
      <c r="A112" t="s">
        <v>124</v>
      </c>
      <c r="B112" t="s">
        <v>9</v>
      </c>
      <c r="C112" s="37">
        <f>C102+(C65+C38)*C105</f>
        <v>2901.8369476190478</v>
      </c>
      <c r="D112" t="s">
        <v>144</v>
      </c>
    </row>
    <row r="113" spans="1:4" x14ac:dyDescent="0.4">
      <c r="A113" t="s">
        <v>86</v>
      </c>
      <c r="B113" t="s">
        <v>87</v>
      </c>
      <c r="C113" s="32">
        <f>C112/64</f>
        <v>45.341202306547622</v>
      </c>
      <c r="D113" t="s">
        <v>145</v>
      </c>
    </row>
    <row r="114" spans="1:4" x14ac:dyDescent="0.4">
      <c r="C114" s="33"/>
    </row>
    <row r="115" spans="1:4" ht="12.55" hidden="1" customHeight="1" x14ac:dyDescent="0.4">
      <c r="C115" s="33"/>
    </row>
    <row r="116" spans="1:4" ht="12.55" hidden="1" customHeight="1" x14ac:dyDescent="0.4">
      <c r="A116" t="s">
        <v>92</v>
      </c>
      <c r="C116" s="33">
        <f>C34</f>
        <v>240.09047619047615</v>
      </c>
    </row>
    <row r="117" spans="1:4" ht="12.55" hidden="1" customHeight="1" x14ac:dyDescent="0.4">
      <c r="A117" t="s">
        <v>93</v>
      </c>
      <c r="C117" s="33">
        <f>1/C7*POWER(10,6)*(C24)*POWER(10,-12)*2*C31*POWER(10,3)</f>
        <v>0.10397619047619049</v>
      </c>
    </row>
    <row r="118" spans="1:4" ht="12.55" hidden="1" customHeight="1" x14ac:dyDescent="0.4">
      <c r="C118" s="33"/>
    </row>
    <row r="119" spans="1:4" ht="12.55" hidden="1" customHeight="1" x14ac:dyDescent="0.4">
      <c r="A119" s="8" t="s">
        <v>35</v>
      </c>
      <c r="B119" t="s">
        <v>9</v>
      </c>
      <c r="C119" s="33">
        <f>(C14*C117+C17*0.5*C117+C116*C19/C7*POWER(10,-3))*C2</f>
        <v>22.402142857142856</v>
      </c>
    </row>
    <row r="120" spans="1:4" ht="12.55" hidden="1" customHeight="1" x14ac:dyDescent="0.4">
      <c r="A120" s="8" t="s">
        <v>36</v>
      </c>
      <c r="B120" t="s">
        <v>9</v>
      </c>
      <c r="C120" s="33">
        <f>(C15*C117+C16*0.5*C117+C116*C20/C7*POWER(10,-3))*C2</f>
        <v>17.203333333333333</v>
      </c>
    </row>
    <row r="121" spans="1:4" hidden="1" x14ac:dyDescent="0.4">
      <c r="A121" t="s">
        <v>97</v>
      </c>
      <c r="B121" t="s">
        <v>9</v>
      </c>
      <c r="C121" s="32">
        <f>C119+C120</f>
        <v>39.605476190476189</v>
      </c>
    </row>
    <row r="122" spans="1:4" x14ac:dyDescent="0.4">
      <c r="A122" t="s">
        <v>120</v>
      </c>
      <c r="B122" t="s">
        <v>9</v>
      </c>
      <c r="C122" s="37">
        <f>C121*C105</f>
        <v>2534.7504761904761</v>
      </c>
      <c r="D122" t="s">
        <v>146</v>
      </c>
    </row>
    <row r="123" spans="1:4" hidden="1" x14ac:dyDescent="0.4">
      <c r="C123" s="33"/>
    </row>
    <row r="124" spans="1:4" hidden="1" x14ac:dyDescent="0.4">
      <c r="A124" t="s">
        <v>94</v>
      </c>
      <c r="B124" t="s">
        <v>95</v>
      </c>
      <c r="C124" s="32">
        <f>(C122/C112*100)</f>
        <v>87.349858794452061</v>
      </c>
    </row>
    <row r="125" spans="1:4" hidden="1" x14ac:dyDescent="0.4">
      <c r="C125" s="33"/>
    </row>
    <row r="126" spans="1:4" hidden="1" x14ac:dyDescent="0.4">
      <c r="A126" t="s">
        <v>121</v>
      </c>
      <c r="B126" t="s">
        <v>9</v>
      </c>
      <c r="C126" s="34">
        <f>(C116*(C19+C20)/C7*POWER(10,-3))*C2</f>
        <v>24.009047619047617</v>
      </c>
    </row>
    <row r="127" spans="1:4" x14ac:dyDescent="0.4">
      <c r="A127" s="35" t="s">
        <v>118</v>
      </c>
      <c r="B127" t="s">
        <v>9</v>
      </c>
      <c r="C127" s="32">
        <f>C126*C105</f>
        <v>1536.5790476190475</v>
      </c>
      <c r="D127" t="s">
        <v>147</v>
      </c>
    </row>
    <row r="128" spans="1:4" hidden="1" x14ac:dyDescent="0.4">
      <c r="A128" s="35" t="s">
        <v>123</v>
      </c>
      <c r="B128" t="s">
        <v>9</v>
      </c>
      <c r="C128" s="33">
        <f>(C14*C117+C17*0.5*C117+C15*C117+C16*0.5*C117)*C2</f>
        <v>15.596428571428572</v>
      </c>
    </row>
    <row r="129" spans="1:4" x14ac:dyDescent="0.4">
      <c r="A129" s="35" t="s">
        <v>119</v>
      </c>
      <c r="B129" t="s">
        <v>9</v>
      </c>
      <c r="C129" s="32">
        <f>C128*C105</f>
        <v>998.17142857142858</v>
      </c>
      <c r="D129" s="33" t="s">
        <v>148</v>
      </c>
    </row>
    <row r="130" spans="1:4" hidden="1" x14ac:dyDescent="0.4">
      <c r="A130" t="s">
        <v>122</v>
      </c>
      <c r="B130" t="s">
        <v>9</v>
      </c>
      <c r="C130" s="33">
        <f>(C14*C33+C17*0.5*C33+C15*C33+C16*0.5*C33)*C2</f>
        <v>19.849999999999994</v>
      </c>
    </row>
    <row r="131" spans="1:4" x14ac:dyDescent="0.4">
      <c r="A131" t="s">
        <v>134</v>
      </c>
      <c r="B131" t="s">
        <v>9</v>
      </c>
      <c r="C131" s="37">
        <f>C130*C105+C102+C65*C105</f>
        <v>1365.2578999999996</v>
      </c>
      <c r="D131" t="s">
        <v>149</v>
      </c>
    </row>
    <row r="132" spans="1:4" x14ac:dyDescent="0.4">
      <c r="A132" t="s">
        <v>94</v>
      </c>
      <c r="B132" t="s">
        <v>95</v>
      </c>
      <c r="C132" s="37">
        <f>(C127+C129)/C112*100</f>
        <v>87.349858794452061</v>
      </c>
      <c r="D132" t="s">
        <v>150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tabSelected="1" zoomScaleNormal="100" workbookViewId="0">
      <selection activeCell="A122" sqref="A122"/>
    </sheetView>
  </sheetViews>
  <sheetFormatPr defaultRowHeight="12.3" x14ac:dyDescent="0.4"/>
  <cols>
    <col min="1" max="1" width="42.0546875" bestFit="1" customWidth="1"/>
    <col min="3" max="3" width="10" customWidth="1"/>
    <col min="4" max="4" width="54.27734375" customWidth="1"/>
    <col min="5" max="5" width="97.27734375" bestFit="1" customWidth="1"/>
  </cols>
  <sheetData>
    <row r="1" spans="1:5" x14ac:dyDescent="0.4">
      <c r="A1" s="16" t="s">
        <v>129</v>
      </c>
      <c r="B1" s="16" t="s">
        <v>130</v>
      </c>
      <c r="C1" s="16" t="s">
        <v>131</v>
      </c>
      <c r="D1" s="16" t="s">
        <v>135</v>
      </c>
    </row>
    <row r="2" spans="1:5" x14ac:dyDescent="0.4">
      <c r="A2" s="1" t="s">
        <v>10</v>
      </c>
      <c r="B2" s="1" t="s">
        <v>0</v>
      </c>
      <c r="C2" s="2">
        <v>100</v>
      </c>
      <c r="D2" t="s">
        <v>136</v>
      </c>
      <c r="E2" s="16" t="s">
        <v>128</v>
      </c>
    </row>
    <row r="3" spans="1:5" x14ac:dyDescent="0.4">
      <c r="A3" s="1" t="s">
        <v>40</v>
      </c>
      <c r="B3" s="1" t="s">
        <v>0</v>
      </c>
      <c r="C3" s="12">
        <v>5</v>
      </c>
      <c r="D3" t="s">
        <v>137</v>
      </c>
    </row>
    <row r="4" spans="1:5" x14ac:dyDescent="0.4">
      <c r="A4" s="1" t="s">
        <v>39</v>
      </c>
      <c r="B4" s="1" t="s">
        <v>0</v>
      </c>
      <c r="C4" s="12">
        <v>5</v>
      </c>
      <c r="D4" t="s">
        <v>137</v>
      </c>
      <c r="E4" s="2" t="s">
        <v>125</v>
      </c>
    </row>
    <row r="5" spans="1:5" x14ac:dyDescent="0.4">
      <c r="A5" s="1" t="s">
        <v>102</v>
      </c>
      <c r="B5" s="1" t="s">
        <v>1</v>
      </c>
      <c r="C5" s="3">
        <v>0.3</v>
      </c>
      <c r="D5" t="s">
        <v>138</v>
      </c>
      <c r="E5" s="14" t="s">
        <v>126</v>
      </c>
    </row>
    <row r="6" spans="1:5" x14ac:dyDescent="0.4">
      <c r="A6" s="1" t="s">
        <v>17</v>
      </c>
      <c r="B6" s="1" t="s">
        <v>1</v>
      </c>
      <c r="C6" s="2">
        <v>0.2</v>
      </c>
      <c r="D6" t="s">
        <v>138</v>
      </c>
      <c r="E6" t="s">
        <v>127</v>
      </c>
    </row>
    <row r="7" spans="1:5" ht="24.6" x14ac:dyDescent="0.4">
      <c r="A7" s="1" t="s">
        <v>2</v>
      </c>
      <c r="B7" s="1" t="s">
        <v>1</v>
      </c>
      <c r="C7" s="2">
        <v>200</v>
      </c>
      <c r="D7" s="36" t="s">
        <v>139</v>
      </c>
    </row>
    <row r="8" spans="1:5" hidden="1" x14ac:dyDescent="0.4">
      <c r="A8" s="1" t="s">
        <v>63</v>
      </c>
      <c r="B8" s="1" t="s">
        <v>1</v>
      </c>
      <c r="C8" s="11">
        <v>1</v>
      </c>
    </row>
    <row r="9" spans="1:5" hidden="1" x14ac:dyDescent="0.4">
      <c r="A9" s="1" t="s">
        <v>64</v>
      </c>
      <c r="B9" s="1" t="s">
        <v>1</v>
      </c>
      <c r="C9" s="12">
        <f>C8+C5+C6</f>
        <v>1.5</v>
      </c>
    </row>
    <row r="10" spans="1:5" hidden="1" x14ac:dyDescent="0.4">
      <c r="A10" s="1" t="s">
        <v>65</v>
      </c>
      <c r="B10" s="1" t="s">
        <v>1</v>
      </c>
      <c r="C10" s="12">
        <f>C7-C9</f>
        <v>198.5</v>
      </c>
    </row>
    <row r="11" spans="1:5" hidden="1" x14ac:dyDescent="0.4">
      <c r="A11" s="1" t="s">
        <v>90</v>
      </c>
      <c r="B11" s="1" t="s">
        <v>1</v>
      </c>
      <c r="C11" s="12">
        <f>C5+C6</f>
        <v>0.5</v>
      </c>
    </row>
    <row r="12" spans="1:5" hidden="1" x14ac:dyDescent="0.4">
      <c r="A12" s="1" t="s">
        <v>91</v>
      </c>
      <c r="B12" s="1" t="s">
        <v>1</v>
      </c>
      <c r="C12" s="12">
        <f>C7-C11</f>
        <v>199.5</v>
      </c>
    </row>
    <row r="14" spans="1:5" x14ac:dyDescent="0.4">
      <c r="A14" t="s">
        <v>11</v>
      </c>
      <c r="C14" s="2">
        <v>1</v>
      </c>
      <c r="D14" t="s">
        <v>138</v>
      </c>
    </row>
    <row r="15" spans="1:5" x14ac:dyDescent="0.4">
      <c r="A15" t="s">
        <v>12</v>
      </c>
      <c r="C15" s="2">
        <v>0</v>
      </c>
      <c r="D15" t="s">
        <v>138</v>
      </c>
    </row>
    <row r="16" spans="1:5" x14ac:dyDescent="0.4">
      <c r="A16" t="s">
        <v>13</v>
      </c>
      <c r="C16" s="2">
        <v>1</v>
      </c>
      <c r="D16" t="s">
        <v>138</v>
      </c>
    </row>
    <row r="17" spans="1:4" x14ac:dyDescent="0.4">
      <c r="A17" s="1" t="s">
        <v>14</v>
      </c>
      <c r="B17" s="1"/>
      <c r="C17" s="4">
        <v>0</v>
      </c>
      <c r="D17" t="s">
        <v>138</v>
      </c>
    </row>
    <row r="18" spans="1:4" x14ac:dyDescent="0.4">
      <c r="A18" s="1" t="s">
        <v>33</v>
      </c>
      <c r="B18" s="1"/>
      <c r="C18" s="4">
        <v>1</v>
      </c>
      <c r="D18" t="s">
        <v>138</v>
      </c>
    </row>
    <row r="19" spans="1:4" x14ac:dyDescent="0.4">
      <c r="A19" s="5" t="s">
        <v>15</v>
      </c>
      <c r="B19" s="1" t="s">
        <v>18</v>
      </c>
      <c r="C19" s="4">
        <v>100</v>
      </c>
      <c r="D19" t="s">
        <v>138</v>
      </c>
    </row>
    <row r="20" spans="1:4" x14ac:dyDescent="0.4">
      <c r="A20" s="5" t="s">
        <v>16</v>
      </c>
      <c r="B20" s="1" t="s">
        <v>18</v>
      </c>
      <c r="C20" s="4">
        <v>100</v>
      </c>
      <c r="D20" t="s">
        <v>138</v>
      </c>
    </row>
    <row r="21" spans="1:4" x14ac:dyDescent="0.4">
      <c r="A21" s="5" t="s">
        <v>69</v>
      </c>
      <c r="B21" s="1" t="s">
        <v>18</v>
      </c>
      <c r="C21" s="4">
        <v>100</v>
      </c>
      <c r="D21" t="s">
        <v>138</v>
      </c>
    </row>
    <row r="23" spans="1:4" x14ac:dyDescent="0.4">
      <c r="A23" s="1" t="s">
        <v>3</v>
      </c>
      <c r="B23" s="1" t="s">
        <v>4</v>
      </c>
      <c r="C23" s="2">
        <v>0.4</v>
      </c>
      <c r="D23" t="s">
        <v>140</v>
      </c>
    </row>
    <row r="24" spans="1:4" x14ac:dyDescent="0.4">
      <c r="A24" s="1" t="s">
        <v>5</v>
      </c>
      <c r="B24" s="1" t="s">
        <v>6</v>
      </c>
      <c r="C24" s="2">
        <v>110</v>
      </c>
      <c r="D24" t="s">
        <v>140</v>
      </c>
    </row>
    <row r="25" spans="1:4" x14ac:dyDescent="0.4">
      <c r="A25" s="1" t="s">
        <v>19</v>
      </c>
      <c r="B25" s="1" t="s">
        <v>6</v>
      </c>
      <c r="C25" s="2">
        <v>15</v>
      </c>
      <c r="D25" t="s">
        <v>141</v>
      </c>
    </row>
    <row r="26" spans="1:4" hidden="1" x14ac:dyDescent="0.4">
      <c r="A26" s="1" t="s">
        <v>21</v>
      </c>
      <c r="B26" s="1" t="s">
        <v>4</v>
      </c>
      <c r="C26" s="6">
        <v>25</v>
      </c>
    </row>
    <row r="27" spans="1:4" hidden="1" x14ac:dyDescent="0.4">
      <c r="A27" s="1" t="s">
        <v>20</v>
      </c>
      <c r="B27" s="1" t="s">
        <v>6</v>
      </c>
      <c r="C27" s="6">
        <v>15</v>
      </c>
    </row>
    <row r="28" spans="1:4" hidden="1" x14ac:dyDescent="0.4">
      <c r="A28" s="1"/>
      <c r="B28" s="1"/>
    </row>
    <row r="29" spans="1:4" hidden="1" x14ac:dyDescent="0.4">
      <c r="A29" t="s">
        <v>114</v>
      </c>
      <c r="B29" t="s">
        <v>4</v>
      </c>
      <c r="C29">
        <v>0.02</v>
      </c>
    </row>
    <row r="30" spans="1:4" hidden="1" x14ac:dyDescent="0.4">
      <c r="A30" t="s">
        <v>115</v>
      </c>
      <c r="B30" t="s">
        <v>0</v>
      </c>
      <c r="C30">
        <f>0.75</f>
        <v>0.75</v>
      </c>
    </row>
    <row r="31" spans="1:4" x14ac:dyDescent="0.4">
      <c r="A31" s="1" t="s">
        <v>132</v>
      </c>
      <c r="B31" s="1" t="s">
        <v>133</v>
      </c>
      <c r="C31" s="32">
        <f>(C2-C30)*C23/(C23+C29)</f>
        <v>94.523809523809518</v>
      </c>
      <c r="D31" t="s">
        <v>142</v>
      </c>
    </row>
    <row r="32" spans="1:4" hidden="1" x14ac:dyDescent="0.4">
      <c r="A32" s="1"/>
      <c r="B32" s="1"/>
    </row>
    <row r="33" spans="1:4" hidden="1" x14ac:dyDescent="0.4">
      <c r="A33" s="1" t="s">
        <v>24</v>
      </c>
      <c r="B33" s="1" t="s">
        <v>7</v>
      </c>
      <c r="C33" s="1">
        <f>1/C7*POWER(10,6)*(C24+C25+C27)*POWER(10,-12)*2*C31*POWER(10,3)</f>
        <v>0.1323333333333333</v>
      </c>
    </row>
    <row r="34" spans="1:4" hidden="1" x14ac:dyDescent="0.4">
      <c r="A34" s="1" t="s">
        <v>8</v>
      </c>
      <c r="B34" s="1" t="s">
        <v>7</v>
      </c>
      <c r="C34" s="7">
        <f>C31*(C23+C26)/(C23*C26)</f>
        <v>240.09047619047615</v>
      </c>
    </row>
    <row r="35" spans="1:4" hidden="1" x14ac:dyDescent="0.4"/>
    <row r="36" spans="1:4" hidden="1" x14ac:dyDescent="0.4">
      <c r="A36" s="8" t="s">
        <v>35</v>
      </c>
      <c r="B36" t="s">
        <v>9</v>
      </c>
      <c r="C36" s="9">
        <f>(C14*C33+C17*0.5*C33+C34*C19/C7*POWER(10,-3))*C2</f>
        <v>25.237857142857141</v>
      </c>
      <c r="D36" s="9"/>
    </row>
    <row r="37" spans="1:4" hidden="1" x14ac:dyDescent="0.4">
      <c r="A37" s="8" t="s">
        <v>36</v>
      </c>
      <c r="B37" t="s">
        <v>9</v>
      </c>
      <c r="C37" s="9">
        <f>(C15*C33+C16*0.5*C33+C34*C20/C7*POWER(10,-3))*C2</f>
        <v>18.621190476190474</v>
      </c>
    </row>
    <row r="38" spans="1:4" hidden="1" x14ac:dyDescent="0.4">
      <c r="A38" t="s">
        <v>96</v>
      </c>
      <c r="B38" t="s">
        <v>9</v>
      </c>
      <c r="C38" s="10">
        <f>C36+C37</f>
        <v>43.859047619047615</v>
      </c>
    </row>
    <row r="39" spans="1:4" hidden="1" x14ac:dyDescent="0.4"/>
    <row r="40" spans="1:4" hidden="1" x14ac:dyDescent="0.4">
      <c r="A40" s="1" t="s">
        <v>22</v>
      </c>
      <c r="B40" s="1" t="s">
        <v>6</v>
      </c>
      <c r="C40" s="12">
        <v>46</v>
      </c>
    </row>
    <row r="41" spans="1:4" hidden="1" x14ac:dyDescent="0.4">
      <c r="A41" s="1" t="s">
        <v>25</v>
      </c>
      <c r="B41" s="1" t="s">
        <v>0</v>
      </c>
      <c r="C41" s="12">
        <v>5</v>
      </c>
    </row>
    <row r="42" spans="1:4" hidden="1" x14ac:dyDescent="0.4">
      <c r="A42" s="1" t="s">
        <v>23</v>
      </c>
      <c r="B42" s="1" t="s">
        <v>6</v>
      </c>
      <c r="C42" s="12">
        <v>34</v>
      </c>
    </row>
    <row r="43" spans="1:4" hidden="1" x14ac:dyDescent="0.4">
      <c r="A43" s="1" t="s">
        <v>26</v>
      </c>
      <c r="B43" s="1" t="s">
        <v>0</v>
      </c>
      <c r="C43" s="12">
        <v>5</v>
      </c>
    </row>
    <row r="44" spans="1:4" hidden="1" x14ac:dyDescent="0.4">
      <c r="A44" s="1" t="s">
        <v>151</v>
      </c>
      <c r="B44" s="1" t="s">
        <v>6</v>
      </c>
      <c r="C44" s="13">
        <v>30</v>
      </c>
    </row>
    <row r="45" spans="1:4" hidden="1" x14ac:dyDescent="0.4">
      <c r="A45" s="1" t="s">
        <v>152</v>
      </c>
      <c r="B45" s="1" t="s">
        <v>0</v>
      </c>
      <c r="C45" s="13">
        <v>5</v>
      </c>
    </row>
    <row r="46" spans="1:4" hidden="1" x14ac:dyDescent="0.4">
      <c r="A46" s="1" t="s">
        <v>153</v>
      </c>
      <c r="B46" s="1" t="s">
        <v>6</v>
      </c>
      <c r="C46" s="13">
        <v>22</v>
      </c>
    </row>
    <row r="47" spans="1:4" hidden="1" x14ac:dyDescent="0.4">
      <c r="A47" s="1" t="s">
        <v>154</v>
      </c>
      <c r="B47" s="1" t="s">
        <v>0</v>
      </c>
      <c r="C47" s="13">
        <v>4.5</v>
      </c>
    </row>
    <row r="48" spans="1:4" hidden="1" x14ac:dyDescent="0.4">
      <c r="A48" s="1" t="s">
        <v>67</v>
      </c>
      <c r="B48" s="1" t="s">
        <v>6</v>
      </c>
      <c r="C48" s="13">
        <v>22</v>
      </c>
    </row>
    <row r="49" spans="1:3" hidden="1" x14ac:dyDescent="0.4">
      <c r="A49" s="1" t="s">
        <v>72</v>
      </c>
      <c r="B49" s="1" t="s">
        <v>0</v>
      </c>
      <c r="C49" s="13">
        <v>4.5</v>
      </c>
    </row>
    <row r="50" spans="1:3" hidden="1" x14ac:dyDescent="0.4"/>
    <row r="51" spans="1:3" hidden="1" x14ac:dyDescent="0.4">
      <c r="A51" s="8" t="s">
        <v>29</v>
      </c>
      <c r="B51" t="s">
        <v>7</v>
      </c>
      <c r="C51" s="1">
        <f>1/C7*POWER(10,6)*(C40*C41)*POWER(10,-12)*POWER(10,3)</f>
        <v>1.15E-3</v>
      </c>
    </row>
    <row r="52" spans="1:3" hidden="1" x14ac:dyDescent="0.4">
      <c r="A52" s="8" t="s">
        <v>30</v>
      </c>
      <c r="B52" t="s">
        <v>7</v>
      </c>
      <c r="C52" s="1">
        <f>1/C7*POWER(10,6)*(C40*C41)*POWER(10,-12)*POWER(10,3)</f>
        <v>1.15E-3</v>
      </c>
    </row>
    <row r="53" spans="1:3" hidden="1" x14ac:dyDescent="0.4">
      <c r="A53" s="8" t="s">
        <v>27</v>
      </c>
      <c r="B53" s="1" t="s">
        <v>7</v>
      </c>
      <c r="C53" s="1">
        <f>C14*C51+C17*C52</f>
        <v>1.15E-3</v>
      </c>
    </row>
    <row r="54" spans="1:3" hidden="1" x14ac:dyDescent="0.4">
      <c r="A54" s="8" t="s">
        <v>31</v>
      </c>
      <c r="B54" t="s">
        <v>7</v>
      </c>
      <c r="C54" s="1">
        <f>1/C7*POWER(10,6)*(C42*C43)*POWER(10,-12)*POWER(10,3)</f>
        <v>8.5000000000000006E-4</v>
      </c>
    </row>
    <row r="55" spans="1:3" hidden="1" x14ac:dyDescent="0.4">
      <c r="A55" s="8" t="s">
        <v>32</v>
      </c>
      <c r="B55" t="s">
        <v>7</v>
      </c>
      <c r="C55" s="1">
        <f>1/C7*POWER(10,6)*(C42*C43)*POWER(10,-12)*POWER(10,3)</f>
        <v>8.5000000000000006E-4</v>
      </c>
    </row>
    <row r="56" spans="1:3" hidden="1" x14ac:dyDescent="0.4">
      <c r="A56" s="8" t="s">
        <v>28</v>
      </c>
      <c r="B56" s="1" t="s">
        <v>7</v>
      </c>
      <c r="C56" s="1">
        <f>C15*C54+C16*C55</f>
        <v>8.5000000000000006E-4</v>
      </c>
    </row>
    <row r="57" spans="1:3" hidden="1" x14ac:dyDescent="0.4">
      <c r="A57" s="8" t="s">
        <v>70</v>
      </c>
      <c r="B57" s="1" t="s">
        <v>7</v>
      </c>
      <c r="C57" s="15">
        <f>1/C7*POWER(10,6)*C18*C44*C45*POWER(10,-12)*POWER(10,3)</f>
        <v>7.5000000000000002E-4</v>
      </c>
    </row>
    <row r="58" spans="1:3" hidden="1" x14ac:dyDescent="0.4">
      <c r="A58" s="8" t="s">
        <v>71</v>
      </c>
      <c r="B58" s="1" t="s">
        <v>7</v>
      </c>
      <c r="C58" s="1">
        <f>1/C7*POWER(10,6)*C18*C46*C47*POWER(10,-12)*POWER(10,3)</f>
        <v>4.95E-4</v>
      </c>
    </row>
    <row r="59" spans="1:3" hidden="1" x14ac:dyDescent="0.4">
      <c r="A59" s="8" t="s">
        <v>68</v>
      </c>
      <c r="B59" s="1" t="s">
        <v>7</v>
      </c>
      <c r="C59" s="1">
        <f>1/C7*POWER(10,6)*(C48*C49)*POWER(10,-12)*POWER(10,3)</f>
        <v>4.95E-4</v>
      </c>
    </row>
    <row r="60" spans="1:3" hidden="1" x14ac:dyDescent="0.4">
      <c r="A60" s="8"/>
      <c r="B60" s="1"/>
      <c r="C60" s="1"/>
    </row>
    <row r="61" spans="1:3" hidden="1" x14ac:dyDescent="0.4">
      <c r="A61" s="8" t="s">
        <v>35</v>
      </c>
      <c r="B61" s="1" t="s">
        <v>9</v>
      </c>
      <c r="C61" s="1">
        <f>C53*C2</f>
        <v>0.11499999999999999</v>
      </c>
    </row>
    <row r="62" spans="1:3" hidden="1" x14ac:dyDescent="0.4">
      <c r="A62" s="8" t="s">
        <v>36</v>
      </c>
      <c r="B62" s="1" t="s">
        <v>9</v>
      </c>
      <c r="C62" s="1">
        <f>(C56+C59)*C2</f>
        <v>0.13450000000000001</v>
      </c>
    </row>
    <row r="63" spans="1:3" hidden="1" x14ac:dyDescent="0.4">
      <c r="A63" s="8" t="s">
        <v>37</v>
      </c>
      <c r="B63" s="1" t="s">
        <v>9</v>
      </c>
      <c r="C63" s="1">
        <f>(C56+C58+C57)*C3</f>
        <v>1.0475E-2</v>
      </c>
    </row>
    <row r="64" spans="1:3" hidden="1" x14ac:dyDescent="0.4">
      <c r="A64" s="8" t="s">
        <v>38</v>
      </c>
      <c r="B64" s="1" t="s">
        <v>9</v>
      </c>
      <c r="C64" s="1">
        <f>(C53)*C4</f>
        <v>5.7499999999999999E-3</v>
      </c>
    </row>
    <row r="65" spans="1:15" hidden="1" x14ac:dyDescent="0.4">
      <c r="A65" s="8" t="s">
        <v>34</v>
      </c>
      <c r="B65" s="1" t="s">
        <v>9</v>
      </c>
      <c r="C65" s="10">
        <f>SUM(C61:C64)</f>
        <v>0.26572499999999999</v>
      </c>
    </row>
    <row r="66" spans="1:15" hidden="1" x14ac:dyDescent="0.4"/>
    <row r="67" spans="1:15" hidden="1" x14ac:dyDescent="0.4">
      <c r="A67" s="8" t="s">
        <v>41</v>
      </c>
      <c r="B67" t="s">
        <v>7</v>
      </c>
      <c r="C67" s="12">
        <v>0.42</v>
      </c>
    </row>
    <row r="68" spans="1:15" hidden="1" x14ac:dyDescent="0.4">
      <c r="A68" s="8" t="s">
        <v>45</v>
      </c>
      <c r="B68" t="s">
        <v>7</v>
      </c>
      <c r="C68" s="12">
        <v>0.22</v>
      </c>
    </row>
    <row r="69" spans="1:15" hidden="1" x14ac:dyDescent="0.4">
      <c r="A69" s="8" t="s">
        <v>46</v>
      </c>
      <c r="B69" t="s">
        <v>7</v>
      </c>
      <c r="C69" s="12">
        <v>0.64</v>
      </c>
    </row>
    <row r="70" spans="1:15" hidden="1" x14ac:dyDescent="0.4">
      <c r="A70" s="8" t="s">
        <v>43</v>
      </c>
      <c r="B70" t="s">
        <v>7</v>
      </c>
      <c r="C70" s="12">
        <v>0</v>
      </c>
    </row>
    <row r="71" spans="1:15" hidden="1" x14ac:dyDescent="0.4">
      <c r="A71" s="8" t="s">
        <v>47</v>
      </c>
      <c r="B71" t="s">
        <v>7</v>
      </c>
      <c r="C71" s="12">
        <v>0</v>
      </c>
    </row>
    <row r="72" spans="1:15" hidden="1" x14ac:dyDescent="0.4">
      <c r="A72" s="8" t="s">
        <v>48</v>
      </c>
      <c r="B72" t="s">
        <v>7</v>
      </c>
      <c r="C72" s="12">
        <v>0</v>
      </c>
    </row>
    <row r="73" spans="1:15" hidden="1" x14ac:dyDescent="0.4">
      <c r="A73" s="8" t="s">
        <v>42</v>
      </c>
      <c r="B73" t="s">
        <v>7</v>
      </c>
      <c r="C73" s="12">
        <v>0.39</v>
      </c>
    </row>
    <row r="74" spans="1:15" hidden="1" x14ac:dyDescent="0.4">
      <c r="A74" s="8" t="s">
        <v>49</v>
      </c>
      <c r="B74" t="s">
        <v>7</v>
      </c>
      <c r="C74" s="12">
        <v>0.66</v>
      </c>
    </row>
    <row r="75" spans="1:15" hidden="1" x14ac:dyDescent="0.4">
      <c r="A75" s="8" t="s">
        <v>50</v>
      </c>
      <c r="B75" t="s">
        <v>7</v>
      </c>
      <c r="C75" s="12">
        <v>0</v>
      </c>
    </row>
    <row r="76" spans="1:15" hidden="1" x14ac:dyDescent="0.4">
      <c r="A76" s="8" t="s">
        <v>44</v>
      </c>
      <c r="B76" t="s">
        <v>7</v>
      </c>
      <c r="C76" s="12">
        <v>0</v>
      </c>
    </row>
    <row r="77" spans="1:15" hidden="1" x14ac:dyDescent="0.4">
      <c r="A77" s="8" t="s">
        <v>51</v>
      </c>
      <c r="B77" t="s">
        <v>7</v>
      </c>
      <c r="C77" s="12">
        <v>0</v>
      </c>
    </row>
    <row r="78" spans="1:15" hidden="1" x14ac:dyDescent="0.4">
      <c r="A78" s="8" t="s">
        <v>52</v>
      </c>
      <c r="B78" t="s">
        <v>7</v>
      </c>
      <c r="C78" s="12">
        <v>0</v>
      </c>
    </row>
    <row r="79" spans="1:15" hidden="1" x14ac:dyDescent="0.4">
      <c r="A79" s="8" t="s">
        <v>53</v>
      </c>
      <c r="B79" t="s">
        <v>7</v>
      </c>
      <c r="C79" s="12">
        <v>5.0000000000000001E-3</v>
      </c>
    </row>
    <row r="80" spans="1:15" hidden="1" x14ac:dyDescent="0.4">
      <c r="A80" s="8" t="s">
        <v>54</v>
      </c>
      <c r="B80" t="s">
        <v>7</v>
      </c>
      <c r="C80" s="12">
        <v>0.18</v>
      </c>
      <c r="L80" s="16"/>
      <c r="M80" s="16"/>
      <c r="N80" s="16"/>
      <c r="O80" s="16"/>
    </row>
    <row r="81" spans="1:3" hidden="1" x14ac:dyDescent="0.4">
      <c r="A81" s="8" t="s">
        <v>88</v>
      </c>
      <c r="B81" t="s">
        <v>7</v>
      </c>
      <c r="C81" s="12">
        <v>0.108</v>
      </c>
    </row>
    <row r="82" spans="1:3" hidden="1" x14ac:dyDescent="0.4">
      <c r="A82" s="8" t="s">
        <v>55</v>
      </c>
      <c r="B82" t="s">
        <v>7</v>
      </c>
      <c r="C82" s="12">
        <v>6.5000000000000002E-2</v>
      </c>
    </row>
    <row r="83" spans="1:3" hidden="1" x14ac:dyDescent="0.4">
      <c r="A83" s="8" t="s">
        <v>56</v>
      </c>
      <c r="B83" t="s">
        <v>7</v>
      </c>
      <c r="C83" s="12">
        <v>6.5000000000000002E-2</v>
      </c>
    </row>
    <row r="84" spans="1:3" hidden="1" x14ac:dyDescent="0.4">
      <c r="A84" s="8" t="s">
        <v>57</v>
      </c>
      <c r="B84" t="s">
        <v>7</v>
      </c>
      <c r="C84" s="12">
        <v>0.2</v>
      </c>
    </row>
    <row r="85" spans="1:3" hidden="1" x14ac:dyDescent="0.4">
      <c r="A85" s="8" t="s">
        <v>58</v>
      </c>
      <c r="B85" t="s">
        <v>7</v>
      </c>
      <c r="C85" s="12">
        <v>0.1</v>
      </c>
    </row>
    <row r="86" spans="1:3" hidden="1" x14ac:dyDescent="0.4">
      <c r="A86" s="8" t="s">
        <v>59</v>
      </c>
      <c r="B86" t="s">
        <v>7</v>
      </c>
      <c r="C86" s="12">
        <v>0</v>
      </c>
    </row>
    <row r="87" spans="1:3" hidden="1" x14ac:dyDescent="0.4">
      <c r="A87" s="8" t="s">
        <v>60</v>
      </c>
      <c r="B87" t="s">
        <v>7</v>
      </c>
      <c r="C87" s="12">
        <v>0</v>
      </c>
    </row>
    <row r="88" spans="1:3" hidden="1" x14ac:dyDescent="0.4">
      <c r="A88" s="8" t="s">
        <v>61</v>
      </c>
      <c r="B88" t="s">
        <v>7</v>
      </c>
      <c r="C88" s="12">
        <v>0</v>
      </c>
    </row>
    <row r="89" spans="1:3" hidden="1" x14ac:dyDescent="0.4">
      <c r="A89" s="8" t="s">
        <v>62</v>
      </c>
      <c r="B89" t="s">
        <v>7</v>
      </c>
      <c r="C89" s="12">
        <v>0</v>
      </c>
    </row>
    <row r="90" spans="1:3" hidden="1" x14ac:dyDescent="0.4">
      <c r="A90" s="8" t="s">
        <v>76</v>
      </c>
      <c r="B90" t="s">
        <v>7</v>
      </c>
      <c r="C90" s="12">
        <v>22</v>
      </c>
    </row>
    <row r="91" spans="1:3" hidden="1" x14ac:dyDescent="0.4">
      <c r="A91" s="8" t="s">
        <v>77</v>
      </c>
      <c r="B91" t="s">
        <v>7</v>
      </c>
      <c r="C91" s="12">
        <v>0</v>
      </c>
    </row>
    <row r="92" spans="1:3" hidden="1" x14ac:dyDescent="0.4">
      <c r="A92" s="8" t="s">
        <v>89</v>
      </c>
      <c r="B92" t="s">
        <v>7</v>
      </c>
      <c r="C92" s="12">
        <v>3</v>
      </c>
    </row>
    <row r="93" spans="1:3" hidden="1" x14ac:dyDescent="0.4">
      <c r="A93" s="8" t="s">
        <v>74</v>
      </c>
      <c r="B93" t="s">
        <v>7</v>
      </c>
      <c r="C93" s="12">
        <v>0.06</v>
      </c>
    </row>
    <row r="94" spans="1:3" hidden="1" x14ac:dyDescent="0.4">
      <c r="A94" s="8" t="s">
        <v>73</v>
      </c>
      <c r="B94" t="s">
        <v>7</v>
      </c>
      <c r="C94" s="12">
        <v>0.16200000000000001</v>
      </c>
    </row>
    <row r="95" spans="1:3" hidden="1" x14ac:dyDescent="0.4">
      <c r="A95" s="8" t="s">
        <v>75</v>
      </c>
      <c r="B95" t="s">
        <v>7</v>
      </c>
      <c r="C95" s="12">
        <v>9</v>
      </c>
    </row>
    <row r="96" spans="1:3" hidden="1" x14ac:dyDescent="0.4"/>
    <row r="97" spans="1:4" hidden="1" x14ac:dyDescent="0.4">
      <c r="A97" s="8" t="s">
        <v>35</v>
      </c>
      <c r="B97" s="1" t="s">
        <v>9</v>
      </c>
      <c r="C97" s="1">
        <f>(C67*C9/C7+C70*C10/C7+C79+C82*C11/C7+C86*C12/C7)*C2*2</f>
        <v>1.6625000000000001</v>
      </c>
    </row>
    <row r="98" spans="1:4" hidden="1" x14ac:dyDescent="0.4">
      <c r="A98" s="8" t="s">
        <v>36</v>
      </c>
      <c r="B98" s="1" t="s">
        <v>9</v>
      </c>
      <c r="C98" s="1">
        <f>(C73*C9/C7+C76*C10/C7+C83*C11/C7+C87*C12/C7)*C2*2</f>
        <v>0.61749999999999994</v>
      </c>
    </row>
    <row r="99" spans="1:4" hidden="1" x14ac:dyDescent="0.4">
      <c r="A99" s="8" t="s">
        <v>37</v>
      </c>
      <c r="B99" s="1" t="s">
        <v>9</v>
      </c>
      <c r="C99" s="1">
        <f>((C68+C74)*C9/C7+(C71+C77)*C10/C7+C80+C81/2+C84*C11/C7+C88*C12/C7+C94/2)*C3*2</f>
        <v>3.2210000000000001</v>
      </c>
    </row>
    <row r="100" spans="1:4" hidden="1" x14ac:dyDescent="0.4">
      <c r="A100" s="8" t="s">
        <v>38</v>
      </c>
      <c r="B100" s="1" t="s">
        <v>9</v>
      </c>
      <c r="C100" s="1">
        <f>((C69+C75)*C9/C7+(C72+C78)*C10/C7+C85*C11/C7+C89*C12/C7)*C4*2+C93*(C4)</f>
        <v>0.35049999999999998</v>
      </c>
    </row>
    <row r="101" spans="1:4" hidden="1" x14ac:dyDescent="0.4">
      <c r="A101" s="8" t="s">
        <v>78</v>
      </c>
      <c r="B101" s="1" t="s">
        <v>9</v>
      </c>
      <c r="C101" s="1">
        <f>(C95+C92+C90)*1.8</f>
        <v>61.2</v>
      </c>
    </row>
    <row r="102" spans="1:4" hidden="1" x14ac:dyDescent="0.4">
      <c r="A102" s="8" t="s">
        <v>66</v>
      </c>
      <c r="B102" s="1" t="s">
        <v>9</v>
      </c>
      <c r="C102" s="10">
        <f>SUM(C97:C101)</f>
        <v>67.051500000000004</v>
      </c>
    </row>
    <row r="103" spans="1:4" hidden="1" x14ac:dyDescent="0.4"/>
    <row r="104" spans="1:4" hidden="1" x14ac:dyDescent="0.4"/>
    <row r="105" spans="1:4" x14ac:dyDescent="0.4">
      <c r="A105" t="s">
        <v>84</v>
      </c>
      <c r="C105" s="3">
        <v>64</v>
      </c>
      <c r="D105" t="s">
        <v>143</v>
      </c>
    </row>
    <row r="106" spans="1:4" hidden="1" x14ac:dyDescent="0.4">
      <c r="A106" t="s">
        <v>85</v>
      </c>
      <c r="C106">
        <f>64-C105</f>
        <v>0</v>
      </c>
    </row>
    <row r="107" spans="1:4" hidden="1" x14ac:dyDescent="0.4">
      <c r="A107" s="8" t="s">
        <v>79</v>
      </c>
      <c r="B107" t="s">
        <v>9</v>
      </c>
      <c r="C107">
        <f>C97+(C61+C36)*C105</f>
        <v>1624.2453571428568</v>
      </c>
    </row>
    <row r="108" spans="1:4" hidden="1" x14ac:dyDescent="0.4">
      <c r="A108" s="8" t="s">
        <v>80</v>
      </c>
      <c r="B108" t="s">
        <v>9</v>
      </c>
      <c r="C108">
        <f>C98+(C62+C37)*C105</f>
        <v>1200.9816904761904</v>
      </c>
    </row>
    <row r="109" spans="1:4" hidden="1" x14ac:dyDescent="0.4">
      <c r="A109" t="s">
        <v>81</v>
      </c>
      <c r="B109" t="s">
        <v>9</v>
      </c>
      <c r="C109">
        <f>C99+(C63)*C105</f>
        <v>3.8914</v>
      </c>
    </row>
    <row r="110" spans="1:4" hidden="1" x14ac:dyDescent="0.4">
      <c r="A110" t="s">
        <v>82</v>
      </c>
      <c r="B110" t="s">
        <v>9</v>
      </c>
      <c r="C110">
        <f>C100+(C64)*C105</f>
        <v>0.71849999999999992</v>
      </c>
    </row>
    <row r="111" spans="1:4" hidden="1" x14ac:dyDescent="0.4">
      <c r="A111" t="s">
        <v>83</v>
      </c>
      <c r="B111" t="s">
        <v>9</v>
      </c>
      <c r="C111">
        <f>C101</f>
        <v>61.2</v>
      </c>
    </row>
    <row r="112" spans="1:4" x14ac:dyDescent="0.4">
      <c r="A112" t="s">
        <v>124</v>
      </c>
      <c r="B112" t="s">
        <v>9</v>
      </c>
      <c r="C112" s="37">
        <f>C102+(C65+C38)*C105</f>
        <v>2891.0369476190476</v>
      </c>
      <c r="D112" t="s">
        <v>144</v>
      </c>
    </row>
    <row r="113" spans="1:4" x14ac:dyDescent="0.4">
      <c r="A113" t="s">
        <v>86</v>
      </c>
      <c r="B113" t="s">
        <v>87</v>
      </c>
      <c r="C113" s="32">
        <f>C112/64</f>
        <v>45.172452306547619</v>
      </c>
      <c r="D113" t="s">
        <v>145</v>
      </c>
    </row>
    <row r="114" spans="1:4" x14ac:dyDescent="0.4">
      <c r="C114" s="33"/>
    </row>
    <row r="115" spans="1:4" ht="12.55" hidden="1" customHeight="1" x14ac:dyDescent="0.4">
      <c r="C115" s="33"/>
    </row>
    <row r="116" spans="1:4" ht="12.55" hidden="1" customHeight="1" x14ac:dyDescent="0.4">
      <c r="A116" t="s">
        <v>92</v>
      </c>
      <c r="C116" s="33">
        <f>C34</f>
        <v>240.09047619047615</v>
      </c>
    </row>
    <row r="117" spans="1:4" ht="12.55" hidden="1" customHeight="1" x14ac:dyDescent="0.4">
      <c r="A117" t="s">
        <v>93</v>
      </c>
      <c r="C117" s="33">
        <f>1/C7*POWER(10,6)*(C24)*POWER(10,-12)*2*C31*POWER(10,3)</f>
        <v>0.10397619047619049</v>
      </c>
    </row>
    <row r="118" spans="1:4" ht="12.55" hidden="1" customHeight="1" x14ac:dyDescent="0.4">
      <c r="C118" s="33"/>
    </row>
    <row r="119" spans="1:4" ht="12.55" hidden="1" customHeight="1" x14ac:dyDescent="0.4">
      <c r="A119" s="8" t="s">
        <v>35</v>
      </c>
      <c r="B119" t="s">
        <v>9</v>
      </c>
      <c r="C119" s="33">
        <f>(C14*C117+C17*0.5*C117+C116*C19/C7*POWER(10,-3))*C2</f>
        <v>22.402142857142856</v>
      </c>
    </row>
    <row r="120" spans="1:4" ht="12.55" hidden="1" customHeight="1" x14ac:dyDescent="0.4">
      <c r="A120" s="8" t="s">
        <v>36</v>
      </c>
      <c r="B120" t="s">
        <v>9</v>
      </c>
      <c r="C120" s="33">
        <f>(C15*C117+C16*0.5*C117+C116*C20/C7*POWER(10,-3))*C2</f>
        <v>17.203333333333333</v>
      </c>
    </row>
    <row r="121" spans="1:4" hidden="1" x14ac:dyDescent="0.4">
      <c r="A121" t="s">
        <v>97</v>
      </c>
      <c r="B121" t="s">
        <v>9</v>
      </c>
      <c r="C121" s="32">
        <f>C119+C120</f>
        <v>39.605476190476189</v>
      </c>
    </row>
    <row r="122" spans="1:4" x14ac:dyDescent="0.4">
      <c r="A122" t="s">
        <v>120</v>
      </c>
      <c r="B122" t="s">
        <v>9</v>
      </c>
      <c r="C122" s="37">
        <f>C121*C105</f>
        <v>2534.7504761904761</v>
      </c>
      <c r="D122" t="s">
        <v>146</v>
      </c>
    </row>
    <row r="123" spans="1:4" hidden="1" x14ac:dyDescent="0.4">
      <c r="C123" s="33"/>
    </row>
    <row r="124" spans="1:4" hidden="1" x14ac:dyDescent="0.4">
      <c r="A124" t="s">
        <v>94</v>
      </c>
      <c r="B124" t="s">
        <v>95</v>
      </c>
      <c r="C124" s="32">
        <f>(C122/C112*100)</f>
        <v>87.676170250193593</v>
      </c>
    </row>
    <row r="125" spans="1:4" hidden="1" x14ac:dyDescent="0.4">
      <c r="C125" s="33"/>
    </row>
    <row r="126" spans="1:4" hidden="1" x14ac:dyDescent="0.4">
      <c r="A126" t="s">
        <v>121</v>
      </c>
      <c r="B126" t="s">
        <v>9</v>
      </c>
      <c r="C126" s="34">
        <f>(C116*(C19+C20)/C7*POWER(10,-3))*C2</f>
        <v>24.009047619047617</v>
      </c>
    </row>
    <row r="127" spans="1:4" x14ac:dyDescent="0.4">
      <c r="A127" s="35" t="s">
        <v>118</v>
      </c>
      <c r="B127" t="s">
        <v>9</v>
      </c>
      <c r="C127" s="32">
        <f>C126*C105</f>
        <v>1536.5790476190475</v>
      </c>
      <c r="D127" t="s">
        <v>147</v>
      </c>
    </row>
    <row r="128" spans="1:4" hidden="1" x14ac:dyDescent="0.4">
      <c r="A128" s="35" t="s">
        <v>123</v>
      </c>
      <c r="B128" t="s">
        <v>9</v>
      </c>
      <c r="C128" s="33">
        <f>(C14*C117+C17*0.5*C117+C15*C117+C16*0.5*C117)*C2</f>
        <v>15.596428571428572</v>
      </c>
    </row>
    <row r="129" spans="1:4" x14ac:dyDescent="0.4">
      <c r="A129" s="35" t="s">
        <v>119</v>
      </c>
      <c r="B129" t="s">
        <v>9</v>
      </c>
      <c r="C129" s="32">
        <f>C128*C105</f>
        <v>998.17142857142858</v>
      </c>
      <c r="D129" s="33" t="s">
        <v>148</v>
      </c>
    </row>
    <row r="130" spans="1:4" hidden="1" x14ac:dyDescent="0.4">
      <c r="A130" t="s">
        <v>122</v>
      </c>
      <c r="B130" t="s">
        <v>9</v>
      </c>
      <c r="C130" s="33">
        <f>(C14*C33+C17*0.5*C33+C15*C33+C16*0.5*C33)*C2</f>
        <v>19.849999999999994</v>
      </c>
    </row>
    <row r="131" spans="1:4" x14ac:dyDescent="0.4">
      <c r="A131" t="s">
        <v>134</v>
      </c>
      <c r="B131" t="s">
        <v>9</v>
      </c>
      <c r="C131" s="37">
        <f>C130*C105+C102+C65*C105</f>
        <v>1354.4578999999997</v>
      </c>
      <c r="D131" t="s">
        <v>149</v>
      </c>
    </row>
    <row r="132" spans="1:4" x14ac:dyDescent="0.4">
      <c r="A132" t="s">
        <v>94</v>
      </c>
      <c r="B132" t="s">
        <v>95</v>
      </c>
      <c r="C132" s="37">
        <f>(C127+C129)/C112*100</f>
        <v>87.676170250193593</v>
      </c>
      <c r="D132" t="s">
        <v>150</v>
      </c>
    </row>
    <row r="133" spans="1:4" hidden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V38"/>
  <sheetViews>
    <sheetView topLeftCell="D1" workbookViewId="0">
      <selection activeCell="L30" sqref="L30:R30"/>
    </sheetView>
  </sheetViews>
  <sheetFormatPr defaultRowHeight="12.3" x14ac:dyDescent="0.4"/>
  <cols>
    <col min="10" max="10" width="9.609375" customWidth="1"/>
    <col min="12" max="12" width="10.71875" customWidth="1"/>
    <col min="13" max="13" width="10.83203125" customWidth="1"/>
    <col min="14" max="14" width="10.609375" customWidth="1"/>
    <col min="15" max="15" width="9.609375" customWidth="1"/>
  </cols>
  <sheetData>
    <row r="1" spans="6:22" x14ac:dyDescent="0.4">
      <c r="J1" s="39" t="s">
        <v>117</v>
      </c>
      <c r="K1" s="38"/>
      <c r="L1" s="38"/>
      <c r="M1" s="38"/>
      <c r="N1" s="38"/>
      <c r="O1" s="38"/>
      <c r="P1" s="38"/>
      <c r="Q1" s="38"/>
      <c r="R1" s="38"/>
      <c r="S1" s="38"/>
      <c r="T1" s="22"/>
    </row>
    <row r="2" spans="6:22" x14ac:dyDescent="0.4">
      <c r="I2" s="21"/>
      <c r="J2" s="38" t="s">
        <v>101</v>
      </c>
      <c r="K2" s="38"/>
      <c r="L2" s="22"/>
    </row>
    <row r="3" spans="6:22" ht="12.6" thickBot="1" x14ac:dyDescent="0.45"/>
    <row r="4" spans="6:22" ht="12.9" thickTop="1" thickBot="1" x14ac:dyDescent="0.45">
      <c r="F4" t="s">
        <v>98</v>
      </c>
      <c r="G4" s="17"/>
      <c r="H4" s="17"/>
      <c r="I4" s="18"/>
      <c r="J4" s="19"/>
      <c r="K4" s="20"/>
      <c r="L4" s="17"/>
      <c r="M4" s="17"/>
      <c r="N4" s="17"/>
      <c r="O4" s="17"/>
      <c r="P4" s="17"/>
      <c r="Q4" s="17"/>
      <c r="R4" s="17"/>
      <c r="T4" s="17"/>
      <c r="U4" s="19"/>
      <c r="V4" s="20"/>
    </row>
    <row r="5" spans="6:22" ht="12.9" thickTop="1" thickBot="1" x14ac:dyDescent="0.45">
      <c r="S5" s="29"/>
    </row>
    <row r="6" spans="6:22" ht="12.9" thickTop="1" thickBot="1" x14ac:dyDescent="0.45">
      <c r="F6" t="s">
        <v>103</v>
      </c>
      <c r="G6" s="17"/>
      <c r="H6" s="17"/>
      <c r="I6" s="19"/>
      <c r="J6" s="25"/>
      <c r="K6" s="17"/>
      <c r="L6" s="17"/>
      <c r="M6" s="17"/>
      <c r="N6" s="17"/>
      <c r="O6" s="17"/>
      <c r="P6" s="17"/>
      <c r="Q6" s="17"/>
      <c r="R6" s="17"/>
      <c r="T6" s="19"/>
      <c r="U6" s="25"/>
      <c r="V6" s="17"/>
    </row>
    <row r="7" spans="6:22" ht="12.6" thickTop="1" x14ac:dyDescent="0.4">
      <c r="S7" s="29"/>
    </row>
    <row r="8" spans="6:22" x14ac:dyDescent="0.4">
      <c r="I8" s="39" t="s">
        <v>104</v>
      </c>
      <c r="J8" s="38"/>
      <c r="K8" s="22"/>
    </row>
    <row r="9" spans="6:22" ht="12.6" thickBot="1" x14ac:dyDescent="0.45">
      <c r="L9" s="27" t="s">
        <v>105</v>
      </c>
      <c r="N9" s="27" t="s">
        <v>105</v>
      </c>
    </row>
    <row r="10" spans="6:22" ht="12.6" thickTop="1" x14ac:dyDescent="0.4">
      <c r="K10" s="21"/>
      <c r="L10" s="19"/>
      <c r="M10" s="22"/>
      <c r="N10" s="19"/>
      <c r="O10" s="22"/>
    </row>
    <row r="11" spans="6:22" x14ac:dyDescent="0.4">
      <c r="L11" s="23"/>
      <c r="N11" s="23"/>
    </row>
    <row r="12" spans="6:22" ht="12.6" thickBot="1" x14ac:dyDescent="0.45">
      <c r="F12" t="s">
        <v>99</v>
      </c>
      <c r="G12" s="17"/>
      <c r="H12" s="17"/>
      <c r="I12" s="17"/>
      <c r="J12" s="17"/>
      <c r="K12" s="17"/>
      <c r="L12" s="22"/>
      <c r="M12" s="22"/>
      <c r="N12" s="22"/>
      <c r="O12" s="22"/>
      <c r="P12" s="17"/>
      <c r="Q12" s="17"/>
      <c r="R12" s="17"/>
    </row>
    <row r="13" spans="6:22" ht="12.6" thickTop="1" x14ac:dyDescent="0.4">
      <c r="L13" s="21"/>
      <c r="M13" s="23"/>
      <c r="N13" s="21"/>
      <c r="O13" s="23"/>
    </row>
    <row r="14" spans="6:22" x14ac:dyDescent="0.4">
      <c r="L14" s="21"/>
      <c r="M14" s="23"/>
      <c r="N14" s="21"/>
      <c r="O14" s="23"/>
    </row>
    <row r="15" spans="6:22" ht="12.6" thickBot="1" x14ac:dyDescent="0.45">
      <c r="F15" s="30"/>
      <c r="L15" s="21"/>
      <c r="M15" s="24"/>
      <c r="N15" s="21"/>
      <c r="O15" s="24"/>
    </row>
    <row r="16" spans="6:22" ht="12.6" thickTop="1" x14ac:dyDescent="0.4">
      <c r="F16" s="30"/>
      <c r="M16" s="27" t="s">
        <v>106</v>
      </c>
      <c r="O16" s="27" t="s">
        <v>106</v>
      </c>
    </row>
    <row r="17" spans="6:19" x14ac:dyDescent="0.4">
      <c r="F17" s="30"/>
      <c r="L17" s="28" t="s">
        <v>107</v>
      </c>
      <c r="M17" s="28" t="s">
        <v>108</v>
      </c>
      <c r="N17" s="28" t="s">
        <v>107</v>
      </c>
      <c r="O17" s="28" t="s">
        <v>108</v>
      </c>
      <c r="P17" s="28" t="s">
        <v>109</v>
      </c>
    </row>
    <row r="18" spans="6:19" x14ac:dyDescent="0.4">
      <c r="F18" s="30"/>
      <c r="L18" s="26"/>
      <c r="M18" s="26"/>
      <c r="N18" s="26"/>
    </row>
    <row r="19" spans="6:19" x14ac:dyDescent="0.4">
      <c r="F19" s="30"/>
      <c r="L19" s="26" t="s">
        <v>110</v>
      </c>
      <c r="M19" s="26" t="s">
        <v>110</v>
      </c>
      <c r="N19" s="26" t="s">
        <v>110</v>
      </c>
      <c r="O19" s="26" t="s">
        <v>110</v>
      </c>
      <c r="P19" s="26" t="s">
        <v>110</v>
      </c>
    </row>
    <row r="20" spans="6:19" x14ac:dyDescent="0.4">
      <c r="F20" s="30"/>
    </row>
    <row r="21" spans="6:19" ht="12.6" thickBot="1" x14ac:dyDescent="0.45">
      <c r="F21" s="30"/>
      <c r="N21" s="27" t="s">
        <v>105</v>
      </c>
      <c r="P21" s="27" t="s">
        <v>105</v>
      </c>
      <c r="R21" t="s">
        <v>100</v>
      </c>
    </row>
    <row r="22" spans="6:19" ht="12.6" thickTop="1" x14ac:dyDescent="0.4">
      <c r="F22" s="30"/>
      <c r="M22" s="21"/>
      <c r="N22" s="25"/>
      <c r="O22" s="21"/>
      <c r="P22" s="25"/>
    </row>
    <row r="23" spans="6:19" x14ac:dyDescent="0.4">
      <c r="M23" s="21"/>
      <c r="N23" s="21"/>
      <c r="O23" s="21"/>
      <c r="P23" s="21"/>
    </row>
    <row r="24" spans="6:19" ht="12.6" thickBot="1" x14ac:dyDescent="0.45">
      <c r="F24" t="s">
        <v>111</v>
      </c>
      <c r="G24" s="17"/>
      <c r="H24" s="17"/>
      <c r="I24" s="17"/>
      <c r="J24" s="17"/>
      <c r="K24" s="17"/>
      <c r="L24" s="17"/>
      <c r="M24" s="18"/>
      <c r="N24" s="21"/>
      <c r="O24" s="21"/>
      <c r="P24" s="21"/>
      <c r="R24" s="17"/>
    </row>
    <row r="25" spans="6:19" ht="12.6" thickTop="1" x14ac:dyDescent="0.4">
      <c r="N25" s="21"/>
      <c r="O25" s="23"/>
      <c r="P25" s="21"/>
      <c r="Q25" s="23"/>
    </row>
    <row r="26" spans="6:19" x14ac:dyDescent="0.4">
      <c r="N26" s="21"/>
      <c r="O26" s="23"/>
      <c r="P26" s="21"/>
      <c r="Q26" s="23"/>
    </row>
    <row r="27" spans="6:19" ht="12.6" thickBot="1" x14ac:dyDescent="0.45">
      <c r="N27" s="21"/>
      <c r="O27" s="24"/>
      <c r="P27" s="21"/>
      <c r="Q27" s="24"/>
    </row>
    <row r="28" spans="6:19" ht="12.6" thickTop="1" x14ac:dyDescent="0.4">
      <c r="O28" s="27" t="s">
        <v>106</v>
      </c>
      <c r="Q28" s="27" t="s">
        <v>106</v>
      </c>
    </row>
    <row r="29" spans="6:19" x14ac:dyDescent="0.4">
      <c r="N29" s="26" t="s">
        <v>110</v>
      </c>
      <c r="O29" s="26" t="s">
        <v>110</v>
      </c>
      <c r="P29" s="26" t="s">
        <v>110</v>
      </c>
      <c r="Q29" s="26" t="s">
        <v>110</v>
      </c>
      <c r="R29" s="26" t="s">
        <v>110</v>
      </c>
    </row>
    <row r="30" spans="6:19" x14ac:dyDescent="0.4">
      <c r="L30" s="39" t="s">
        <v>116</v>
      </c>
      <c r="M30" s="38"/>
      <c r="N30" s="38"/>
      <c r="O30" s="38"/>
      <c r="P30" s="38"/>
      <c r="Q30" s="38"/>
      <c r="R30" s="38"/>
      <c r="S30" s="22"/>
    </row>
    <row r="33" spans="6:18" ht="12.6" thickBot="1" x14ac:dyDescent="0.45">
      <c r="F33" t="s">
        <v>112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6:18" ht="12.6" thickTop="1" x14ac:dyDescent="0.4"/>
    <row r="35" spans="6:18" x14ac:dyDescent="0.4">
      <c r="F35" s="30"/>
    </row>
    <row r="36" spans="6:18" x14ac:dyDescent="0.4">
      <c r="G36" s="31"/>
    </row>
    <row r="37" spans="6:18" ht="12.6" thickBot="1" x14ac:dyDescent="0.45">
      <c r="F37" t="s">
        <v>113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6:18" ht="12.6" thickTop="1" x14ac:dyDescent="0.4"/>
  </sheetData>
  <mergeCells count="4">
    <mergeCell ref="J2:K2"/>
    <mergeCell ref="I8:J8"/>
    <mergeCell ref="L30:R30"/>
    <mergeCell ref="J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PowerCalc</vt:lpstr>
      <vt:lpstr>Example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Miriyala, Aravind</dc:creator>
  <cp:lastModifiedBy>Divakar, Roshan</cp:lastModifiedBy>
  <cp:revision>0</cp:revision>
  <dcterms:created xsi:type="dcterms:W3CDTF">2018-08-27T14:42:28Z</dcterms:created>
  <dcterms:modified xsi:type="dcterms:W3CDTF">2024-05-06T08:56:46Z</dcterms:modified>
  <dc:language>en-US</dc:language>
</cp:coreProperties>
</file>