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mmunwon/Dropbox/PhD/Research/Published/2212_QR/Publication/"/>
    </mc:Choice>
  </mc:AlternateContent>
  <xr:revisionPtr revIDLastSave="0" documentId="13_ncr:1_{EA828B4B-1DF9-5A4D-BC88-1443C8868065}" xr6:coauthVersionLast="47" xr6:coauthVersionMax="47" xr10:uidLastSave="{00000000-0000-0000-0000-000000000000}"/>
  <bookViews>
    <workbookView xWindow="0" yWindow="500" windowWidth="28800" windowHeight="17500" activeTab="9" xr2:uid="{00000000-000D-0000-FFFF-FFFF00000000}"/>
  </bookViews>
  <sheets>
    <sheet name="table1" sheetId="1" r:id="rId1"/>
    <sheet name="table2" sheetId="2" r:id="rId2"/>
    <sheet name="table3" sheetId="3" r:id="rId3"/>
    <sheet name="table4" sheetId="4" r:id="rId4"/>
    <sheet name="table5" sheetId="5" r:id="rId5"/>
    <sheet name="table6" sheetId="6" r:id="rId6"/>
    <sheet name="table7" sheetId="7" r:id="rId7"/>
    <sheet name="table8" sheetId="8" r:id="rId8"/>
    <sheet name="table9" sheetId="9" r:id="rId9"/>
    <sheet name="table10" sheetId="10" r:id="rId10"/>
  </sheets>
  <definedNames>
    <definedName name="_xlnm._FilterDatabase" localSheetId="0" hidden="1">table1!$B$2:$B$4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I16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5" i="10"/>
  <c r="I14" i="10"/>
  <c r="I13" i="10"/>
  <c r="I12" i="10"/>
  <c r="I11" i="10"/>
  <c r="I10" i="10"/>
  <c r="I5" i="10"/>
  <c r="I9" i="10"/>
  <c r="I8" i="10"/>
  <c r="I7" i="10"/>
  <c r="I6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I9" i="7"/>
  <c r="H9" i="7"/>
  <c r="G9" i="7"/>
  <c r="F9" i="7"/>
  <c r="E9" i="7"/>
  <c r="D9" i="7"/>
  <c r="C9" i="7"/>
  <c r="I21" i="2"/>
  <c r="H21" i="2"/>
  <c r="G21" i="2"/>
  <c r="F21" i="2"/>
  <c r="E21" i="2"/>
  <c r="D21" i="2"/>
  <c r="I15" i="2"/>
  <c r="H15" i="2"/>
  <c r="G15" i="2"/>
  <c r="F15" i="2"/>
  <c r="E15" i="2"/>
  <c r="D15" i="2"/>
  <c r="I9" i="2"/>
  <c r="H9" i="2"/>
  <c r="G9" i="2"/>
  <c r="F9" i="2"/>
  <c r="E9" i="2"/>
  <c r="D9" i="2"/>
  <c r="I5" i="2"/>
  <c r="H5" i="2"/>
  <c r="G5" i="2"/>
  <c r="F5" i="2"/>
  <c r="E5" i="2"/>
  <c r="D5" i="2"/>
  <c r="I11" i="1"/>
  <c r="H11" i="1"/>
  <c r="G11" i="1"/>
  <c r="F11" i="1"/>
  <c r="E11" i="1"/>
  <c r="D11" i="1"/>
  <c r="C11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<sst xmlns="http://schemas.openxmlformats.org/spreadsheetml/2006/main" count="398" uniqueCount="228">
  <si>
    <t>Proposed</t>
    <phoneticPr fontId="1" type="noConversion"/>
  </si>
  <si>
    <t>theta_1</t>
    <phoneticPr fontId="1" type="noConversion"/>
  </si>
  <si>
    <t>theta_0</t>
    <phoneticPr fontId="1" type="noConversion"/>
  </si>
  <si>
    <t>theta_2</t>
    <phoneticPr fontId="1" type="noConversion"/>
  </si>
  <si>
    <t xml:space="preserve">0.5341	</t>
  </si>
  <si>
    <t xml:space="preserve">	0.5966	</t>
  </si>
  <si>
    <t xml:space="preserve">	0.6010	</t>
  </si>
  <si>
    <t xml:space="preserve">	0.6565	</t>
  </si>
  <si>
    <t xml:space="preserve">	0.7052	</t>
  </si>
  <si>
    <t xml:space="preserve">	0.7051	</t>
  </si>
  <si>
    <t xml:space="preserve">	0.7179</t>
  </si>
  <si>
    <t>sigma_vareps</t>
    <phoneticPr fontId="1" type="noConversion"/>
  </si>
  <si>
    <t xml:space="preserve">0.0647	</t>
  </si>
  <si>
    <t xml:space="preserve">	0.0651	</t>
  </si>
  <si>
    <t xml:space="preserve">	0.0671	</t>
  </si>
  <si>
    <t xml:space="preserve">	0.0800	</t>
  </si>
  <si>
    <t xml:space="preserve">	0.0654	</t>
  </si>
  <si>
    <t xml:space="preserve">	0.0587	</t>
  </si>
  <si>
    <t xml:space="preserve">	0.0707 </t>
  </si>
  <si>
    <t>MAE</t>
    <phoneticPr fontId="1" type="noConversion"/>
  </si>
  <si>
    <t>RMSE</t>
    <phoneticPr fontId="1" type="noConversion"/>
  </si>
  <si>
    <t xml:space="preserve">0.2243	</t>
  </si>
  <si>
    <t xml:space="preserve">	0.1940	</t>
  </si>
  <si>
    <t xml:space="preserve">	0.1375	</t>
  </si>
  <si>
    <t xml:space="preserve">	0.1199	</t>
  </si>
  <si>
    <t xml:space="preserve">	0.1389	</t>
  </si>
  <si>
    <t xml:space="preserve">	0.1700	</t>
  </si>
  <si>
    <t xml:space="preserve">	0.2353 </t>
  </si>
  <si>
    <t xml:space="preserve">0.2664	</t>
  </si>
  <si>
    <t xml:space="preserve">	0.2337	</t>
  </si>
  <si>
    <t xml:space="preserve">	0.1783	</t>
  </si>
  <si>
    <t xml:space="preserve">	0.1600	</t>
  </si>
  <si>
    <t xml:space="preserve">	0.1795	</t>
  </si>
  <si>
    <t xml:space="preserve">	0.2090	</t>
  </si>
  <si>
    <t xml:space="preserve">	0.2720</t>
  </si>
  <si>
    <t xml:space="preserve">4.2499	</t>
  </si>
  <si>
    <t xml:space="preserve">	4.2579	</t>
  </si>
  <si>
    <t xml:space="preserve">	4.4309	</t>
  </si>
  <si>
    <t xml:space="preserve">	4.4926	</t>
  </si>
  <si>
    <t xml:space="preserve">	4.5240	</t>
  </si>
  <si>
    <t xml:space="preserve">	4.5853	</t>
  </si>
  <si>
    <t xml:space="preserve">	4.5909</t>
  </si>
  <si>
    <t>sigma_eps</t>
    <phoneticPr fontId="1" type="noConversion"/>
  </si>
  <si>
    <t xml:space="preserve">0.5173	</t>
  </si>
  <si>
    <t xml:space="preserve">	0.5786	</t>
  </si>
  <si>
    <t xml:space="preserve">	0.5844	</t>
  </si>
  <si>
    <t xml:space="preserve">	0.6572	</t>
  </si>
  <si>
    <t xml:space="preserve">	0.7067	</t>
  </si>
  <si>
    <t xml:space="preserve">	0.7096	</t>
  </si>
  <si>
    <t xml:space="preserve">	0.7144</t>
  </si>
  <si>
    <t xml:space="preserve">0.3046	</t>
  </si>
  <si>
    <t xml:space="preserve">	0.2695	</t>
  </si>
  <si>
    <t xml:space="preserve">	0.1931	</t>
  </si>
  <si>
    <t xml:space="preserve">	0.1599	</t>
  </si>
  <si>
    <t xml:space="preserve">	0.1843	</t>
  </si>
  <si>
    <t xml:space="preserve">	0.2752	</t>
  </si>
  <si>
    <t xml:space="preserve">	0.2942</t>
  </si>
  <si>
    <t xml:space="preserve">0.2617	</t>
  </si>
  <si>
    <t xml:space="preserve">	0.2285	</t>
  </si>
  <si>
    <t xml:space="preserve">	0.1505	</t>
  </si>
  <si>
    <t xml:space="preserve">	0.1439	</t>
  </si>
  <si>
    <t xml:space="preserve">	0.2281	</t>
  </si>
  <si>
    <t xml:space="preserve">	0.2459</t>
  </si>
  <si>
    <t>General</t>
    <phoneticPr fontId="1" type="noConversion"/>
  </si>
  <si>
    <t>Quantile</t>
    <phoneticPr fontId="1" type="noConversion"/>
  </si>
  <si>
    <t>Table 1: The comparison of parameter estimates and modeling accuracies of the nonlinear QR models for adhesive bond B ADDT data.</t>
    <phoneticPr fontId="1" type="noConversion"/>
  </si>
  <si>
    <t>Table 2: Standard errors and 95% confidence intervals (CIs) of parameter estimates for adhesive bond B data.</t>
    <phoneticPr fontId="1" type="noConversion"/>
  </si>
  <si>
    <t>(3.0855,5.5599)</t>
  </si>
  <si>
    <t>(3.2837,5.6349)</t>
  </si>
  <si>
    <t>(1.6728,7.3154)</t>
  </si>
  <si>
    <t>(2.0697,7.0071)</t>
  </si>
  <si>
    <t>(1.7429,7.4036)</t>
  </si>
  <si>
    <t>(0.5429,0.6503)</t>
  </si>
  <si>
    <t>(0.5535,0.6486)</t>
  </si>
  <si>
    <t>(0.5357,0.7774)</t>
  </si>
  <si>
    <t>(0.593,0.8175)</t>
  </si>
  <si>
    <t>(4.2646,4.3809)</t>
  </si>
  <si>
    <t>(4.3806,4.5381)</t>
  </si>
  <si>
    <t>(4.4453,4.5429)</t>
  </si>
  <si>
    <t>(4.4840,4.5928)</t>
  </si>
  <si>
    <t>(0.5927, 0.6005)</t>
  </si>
  <si>
    <t>(0.5388,0.6633)</t>
  </si>
  <si>
    <t>(0.5833, 0.7298)</t>
  </si>
  <si>
    <t>(0.6484, 0.7621)</t>
  </si>
  <si>
    <t>(4.1691,4.4764)</t>
  </si>
  <si>
    <t>(4.3510,4.5676)</t>
  </si>
  <si>
    <t>(4.4483,4.5400)</t>
  </si>
  <si>
    <t>(4.4848,4.5920)</t>
  </si>
  <si>
    <t>(4.5004,4.6460)</t>
  </si>
  <si>
    <t>(0.4996,0.6936)</t>
  </si>
  <si>
    <t>(0.5215,0.6806)</t>
  </si>
  <si>
    <t>(0.5912,0.7219)</t>
  </si>
  <si>
    <t>(0.6432,0.7673)</t>
  </si>
  <si>
    <t>MLE</t>
    <phoneticPr fontId="1" type="noConversion"/>
  </si>
  <si>
    <t>OSE</t>
    <phoneticPr fontId="1" type="noConversion"/>
  </si>
  <si>
    <t>DMBE</t>
    <phoneticPr fontId="1" type="noConversion"/>
  </si>
  <si>
    <t>EBE</t>
    <phoneticPr fontId="1" type="noConversion"/>
  </si>
  <si>
    <t>s.e.</t>
    <phoneticPr fontId="1" type="noConversion"/>
  </si>
  <si>
    <t>CI</t>
    <phoneticPr fontId="1" type="noConversion"/>
  </si>
  <si>
    <t>(2.9463,5.6449)</t>
  </si>
  <si>
    <t>(0.4761,0.5922)</t>
  </si>
  <si>
    <t>(0.5714,0.8388)</t>
  </si>
  <si>
    <t>(4.2156,4.3756)</t>
  </si>
  <si>
    <t>(4.4968, 4.6496)</t>
  </si>
  <si>
    <t>(0.5290, 0.5393)</t>
  </si>
  <si>
    <t>(0.6619, 0.7483</t>
  </si>
  <si>
    <t>(4.1176,4.4736)</t>
  </si>
  <si>
    <t xml:space="preserve"> (0.4295,0.6388)</t>
  </si>
  <si>
    <t>(0.6624,0.7478)</t>
  </si>
  <si>
    <t xml:space="preserve">(-2.70*10^7,-2.70*10^7)  </t>
    <phoneticPr fontId="1" type="noConversion"/>
  </si>
  <si>
    <t>(-2.28*10^8,-2.28*10^8)</t>
  </si>
  <si>
    <t>(-2.86*10^8,-2.86*10^8)</t>
  </si>
  <si>
    <t>(-1.81*10^9,-1.81*10^9)</t>
  </si>
  <si>
    <t>(-9.01*10^9,-9.01*10^9)</t>
  </si>
  <si>
    <t>(-8.63*10^9,-8.63*10^9)</t>
  </si>
  <si>
    <t>(-3.07*10^7,-2.33*10^7)</t>
  </si>
  <si>
    <t>(-2.31*10^8,-2.26*10^8)</t>
  </si>
  <si>
    <t>(-7.78*10^9,7.21*10^9)</t>
  </si>
  <si>
    <t>(-1.07*10^10,7.09*10^9)</t>
  </si>
  <si>
    <t>(-1.76*10^10,-4.59*10^8)</t>
  </si>
  <si>
    <t>(-1.57*10^10,-1.56*10^9)</t>
  </si>
  <si>
    <t>(-5.43*10^9,5.38*10^9)</t>
  </si>
  <si>
    <t>(-4.91*10^9,4.45*10^9)</t>
  </si>
  <si>
    <t>(-4.87*10^9,4.30*10^9)</t>
  </si>
  <si>
    <t>(-8.19*10^9,4.58*10^9)</t>
  </si>
  <si>
    <t>(-1.55*10^10,-2.51*10^9)</t>
  </si>
  <si>
    <t>(-1.35*10^10,-3.71*10^9)</t>
  </si>
  <si>
    <t>Table 3: The comparison of failure-times and 95% confidence intervals of two QR ADDT models for adhesive bond B data.</t>
    <phoneticPr fontId="1" type="noConversion"/>
  </si>
  <si>
    <t xml:space="preserve"> Estimate </t>
  </si>
  <si>
    <t xml:space="preserve"> 95% lower CI </t>
  </si>
  <si>
    <t xml:space="preserve"> 95% lower CI </t>
    <phoneticPr fontId="1" type="noConversion"/>
  </si>
  <si>
    <t xml:space="preserve"> 95% upper CI </t>
  </si>
  <si>
    <t xml:space="preserve"> 95% upper CI </t>
    <phoneticPr fontId="1" type="noConversion"/>
  </si>
  <si>
    <t>Proposed 
QR ADDT
Model</t>
    <phoneticPr fontId="1" type="noConversion"/>
  </si>
  <si>
    <t>General
QR ADDT
Model</t>
    <phoneticPr fontId="1" type="noConversion"/>
  </si>
  <si>
    <t>Table 4: Goodness-of-fit test results from four degradation models for the bi-functional return-spring data.</t>
    <phoneticPr fontId="1" type="noConversion"/>
  </si>
  <si>
    <t xml:space="preserve">Power </t>
  </si>
  <si>
    <t xml:space="preserve"> AIC </t>
  </si>
  <si>
    <t xml:space="preserve"> BIC </t>
  </si>
  <si>
    <t>Exponential</t>
  </si>
  <si>
    <t>Logarithmic</t>
  </si>
  <si>
    <t>Logistic</t>
  </si>
  <si>
    <t>Table 5: Comparison of the parameter estimates and prediction accuracies of the power QR ADDT models for bi-functional return-spring data.</t>
    <phoneticPr fontId="1" type="noConversion"/>
  </si>
  <si>
    <t xml:space="preserve">MAE </t>
  </si>
  <si>
    <t xml:space="preserve">RMSE </t>
  </si>
  <si>
    <t>Proposed 
QR ADDT 
model</t>
    <phoneticPr fontId="1" type="noConversion"/>
  </si>
  <si>
    <t xml:space="preserve">General 
QR ADDT
model </t>
    <phoneticPr fontId="1" type="noConversion"/>
  </si>
  <si>
    <t>Table 6: Standard errors and 95% confidence intervals (CIs) of parameter estimates for the return-spring data.</t>
    <phoneticPr fontId="1" type="noConversion"/>
  </si>
  <si>
    <t>Table 7: Comparison of failure-times and 95% confidence intervals of two QR ADDT models for return-spring data.</t>
    <phoneticPr fontId="1" type="noConversion"/>
  </si>
  <si>
    <t xml:space="preserve">MLE </t>
  </si>
  <si>
    <t xml:space="preserve"> SE </t>
  </si>
  <si>
    <t xml:space="preserve"> CI </t>
  </si>
  <si>
    <t xml:space="preserve"> (-0.237,0.197)</t>
  </si>
  <si>
    <t>(-0.138,0.106)</t>
  </si>
  <si>
    <t>(-0.056,0.028)</t>
  </si>
  <si>
    <t>(-0.062,0.035)</t>
  </si>
  <si>
    <t>(-0.101,0.076)</t>
  </si>
  <si>
    <t>(-0.063,0.038)</t>
  </si>
  <si>
    <t>OSE</t>
  </si>
  <si>
    <t xml:space="preserve"> (-3.637,3.921)</t>
  </si>
  <si>
    <t>(-2.384,2.793)</t>
  </si>
  <si>
    <t>(-0.784,1.290)</t>
  </si>
  <si>
    <t>(-0.993,1.475)</t>
  </si>
  <si>
    <t>(-2.210,2.630)</t>
  </si>
  <si>
    <t>(-1.195,1.620)</t>
  </si>
  <si>
    <t xml:space="preserve"> (-0.387,0.347)</t>
  </si>
  <si>
    <t>(-0.381,0.349)</t>
  </si>
  <si>
    <t>(-0.411,0.383)</t>
  </si>
  <si>
    <t>(-0.382,0.355)</t>
  </si>
  <si>
    <t>(-0.358,0.333)</t>
  </si>
  <si>
    <t>(-0.349,0.324)</t>
  </si>
  <si>
    <t>DMBE</t>
  </si>
  <si>
    <t xml:space="preserve"> (-0.234,0.517)</t>
  </si>
  <si>
    <t>(-0.170,0.579)</t>
  </si>
  <si>
    <t>(-0.149,0.655)</t>
  </si>
  <si>
    <t>(-0.134,0.616)</t>
  </si>
  <si>
    <t>(-0.150,0.570)</t>
  </si>
  <si>
    <t>(-0.150,0.575)</t>
  </si>
  <si>
    <t xml:space="preserve"> (-0.385,0.354)</t>
  </si>
  <si>
    <t>(-0.376,0.350)</t>
  </si>
  <si>
    <t>(-0.414,0.386)</t>
  </si>
  <si>
    <t xml:space="preserve"> (-0.380,0.353)</t>
  </si>
  <si>
    <t>(-0.357,0.337)</t>
  </si>
  <si>
    <t>(-0.359,0.334)</t>
  </si>
  <si>
    <t>EBE</t>
  </si>
  <si>
    <t xml:space="preserve"> (-0.132,0.628)</t>
  </si>
  <si>
    <t>(-0.069,0.679)</t>
  </si>
  <si>
    <t>(-0.151,0.657)</t>
  </si>
  <si>
    <t xml:space="preserve"> (-0.133,0.615)</t>
  </si>
  <si>
    <t>(-0.057,0.661)</t>
  </si>
  <si>
    <t>(-0.159,0.583)</t>
  </si>
  <si>
    <t>(-0.103,0.079)</t>
  </si>
  <si>
    <t xml:space="preserve">(-0.342,0.319) </t>
  </si>
  <si>
    <t xml:space="preserve"> (-0.340,0.315) </t>
  </si>
  <si>
    <t xml:space="preserve">(-2.437,2.918) </t>
  </si>
  <si>
    <t xml:space="preserve">(-0.143,0.624) </t>
  </si>
  <si>
    <t xml:space="preserve">(-0.155,0.581) </t>
  </si>
  <si>
    <t>Proposed
QR ADDT
Model</t>
    <phoneticPr fontId="1" type="noConversion"/>
  </si>
  <si>
    <t>Table 8: Summary of simulated ADDT scenarios.</t>
    <phoneticPr fontId="1" type="noConversion"/>
  </si>
  <si>
    <t>Temperature settings</t>
  </si>
  <si>
    <t xml:space="preserve">Setting 1 </t>
  </si>
  <si>
    <t xml:space="preserve">Setting 2 </t>
  </si>
  <si>
    <t xml:space="preserve">Time point settings </t>
  </si>
  <si>
    <t>Setting 3</t>
    <phoneticPr fontId="1" type="noConversion"/>
  </si>
  <si>
    <t xml:space="preserve"> # of time points (T_l)</t>
    <phoneticPr fontId="1" type="noConversion"/>
  </si>
  <si>
    <t xml:space="preserve"> # of temperature levels (l)  </t>
    <phoneticPr fontId="1" type="noConversion"/>
  </si>
  <si>
    <t xml:space="preserve"> 50, 65, 80 </t>
  </si>
  <si>
    <t xml:space="preserve"> 30, 40, 50, 60, 70, 80 </t>
  </si>
  <si>
    <t xml:space="preserve"> 8,25,75,130,170 </t>
  </si>
  <si>
    <t xml:space="preserve"> 5, 10, 30, 50, 70, 90, 110, 130, 150, 170 </t>
  </si>
  <si>
    <t xml:space="preserve"> 10, 30, 40, 50, 60, 70, 80, 90, </t>
  </si>
  <si>
    <t xml:space="preserve"> Time points (Days)  </t>
  </si>
  <si>
    <t xml:space="preserve"> 100, 110, 120, 130, 140, 150, 170  </t>
  </si>
  <si>
    <t xml:space="preserve"> Temperature levels (℃)  </t>
    <phoneticPr fontId="1" type="noConversion"/>
  </si>
  <si>
    <t>Table 9: MSEs of quantile estimates under three error distributions.</t>
    <phoneticPr fontId="1" type="noConversion"/>
  </si>
  <si>
    <t xml:space="preserve"> Proposed </t>
  </si>
  <si>
    <t xml:space="preserve"> General </t>
  </si>
  <si>
    <t>l</t>
    <phoneticPr fontId="1" type="noConversion"/>
  </si>
  <si>
    <t>T_l</t>
    <phoneticPr fontId="1" type="noConversion"/>
  </si>
  <si>
    <t>Model</t>
    <phoneticPr fontId="1" type="noConversion"/>
  </si>
  <si>
    <t>Normal</t>
    <phoneticPr fontId="1" type="noConversion"/>
  </si>
  <si>
    <t>Student-t</t>
    <phoneticPr fontId="1" type="noConversion"/>
  </si>
  <si>
    <t>Laplace</t>
    <phoneticPr fontId="1" type="noConversion"/>
  </si>
  <si>
    <t>Error
Distribution</t>
    <phoneticPr fontId="1" type="noConversion"/>
  </si>
  <si>
    <t>Table 10: Standard errors (SEs) of parameter estimates for QR ADDT models under three error distributions.</t>
    <phoneticPr fontId="1" type="noConversion"/>
  </si>
  <si>
    <t>tau_0</t>
    <phoneticPr fontId="1" type="noConversion"/>
  </si>
  <si>
    <t>tau_1</t>
    <phoneticPr fontId="1" type="noConversion"/>
  </si>
  <si>
    <t>tau_2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</si>
</sst>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.E+00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Normal="100" workbookViewId="0"/>
  </sheetViews>
  <sheetFormatPr baseColWidth="10" defaultColWidth="8.83203125" defaultRowHeight="17"/>
  <cols>
    <col min="1" max="1" width="10.6640625" customWidth="1"/>
    <col min="2" max="2" width="14" bestFit="1" customWidth="1"/>
    <col min="3" max="3" width="10.1640625" bestFit="1" customWidth="1"/>
    <col min="4" max="5" width="11.33203125" bestFit="1" customWidth="1"/>
    <col min="6" max="8" width="12.5" bestFit="1" customWidth="1"/>
    <col min="9" max="9" width="13.6640625" bestFit="1" customWidth="1"/>
  </cols>
  <sheetData>
    <row r="1" spans="1:9">
      <c r="A1" t="s">
        <v>65</v>
      </c>
    </row>
    <row r="2" spans="1:9">
      <c r="A2" s="8"/>
      <c r="B2" s="9"/>
      <c r="C2" s="7" t="s">
        <v>64</v>
      </c>
      <c r="D2" s="7"/>
      <c r="E2" s="7"/>
      <c r="F2" s="7"/>
      <c r="G2" s="7"/>
      <c r="H2" s="7"/>
      <c r="I2" s="7"/>
    </row>
    <row r="3" spans="1:9">
      <c r="A3" s="10"/>
      <c r="B3" s="11"/>
      <c r="C3" s="5">
        <v>0.05</v>
      </c>
      <c r="D3" s="5">
        <v>0.1</v>
      </c>
      <c r="E3" s="5">
        <v>0.25</v>
      </c>
      <c r="F3" s="5">
        <v>0.5</v>
      </c>
      <c r="G3" s="5">
        <v>0.75</v>
      </c>
      <c r="H3" s="5">
        <v>0.9</v>
      </c>
      <c r="I3" s="5">
        <v>0.95</v>
      </c>
    </row>
    <row r="4" spans="1:9">
      <c r="A4" s="7" t="s">
        <v>0</v>
      </c>
      <c r="B4" s="5" t="s">
        <v>2</v>
      </c>
      <c r="C4" s="2">
        <v>4.2956000000000003</v>
      </c>
      <c r="D4" s="2">
        <v>4.3227000000000002</v>
      </c>
      <c r="E4" s="2">
        <v>4.4592999999999998</v>
      </c>
      <c r="F4" s="2">
        <v>4.4941000000000004</v>
      </c>
      <c r="G4" s="2">
        <v>4.5384000000000002</v>
      </c>
      <c r="H4" s="2">
        <v>4.5731999999999999</v>
      </c>
      <c r="I4" s="2">
        <v>4.6516000000000002</v>
      </c>
    </row>
    <row r="5" spans="1:9">
      <c r="A5" s="7"/>
      <c r="B5" s="5" t="s">
        <v>1</v>
      </c>
      <c r="C5" s="3">
        <f>-2.7*10^7</f>
        <v>-27000000</v>
      </c>
      <c r="D5" s="3">
        <f>-2.28*10^8</f>
        <v>-227999999.99999997</v>
      </c>
      <c r="E5" s="3">
        <f>-2.86*10^8</f>
        <v>-286000000</v>
      </c>
      <c r="F5" s="3">
        <f>1.81*10^9</f>
        <v>1810000000</v>
      </c>
      <c r="G5" s="3">
        <f>-9.01*10^9</f>
        <v>-9010000000</v>
      </c>
      <c r="H5" s="3">
        <f>-8.63*10^9</f>
        <v>-8630000000</v>
      </c>
      <c r="I5" s="3">
        <f>-1.32*10^10</f>
        <v>-13200000000</v>
      </c>
    </row>
    <row r="6" spans="1:9">
      <c r="A6" s="7"/>
      <c r="B6" s="5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</row>
    <row r="7" spans="1:9">
      <c r="A7" s="7"/>
      <c r="B7" s="5" t="s">
        <v>11</v>
      </c>
      <c r="C7" s="2" t="s">
        <v>12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</row>
    <row r="8" spans="1:9">
      <c r="A8" s="7"/>
      <c r="B8" s="5" t="s">
        <v>19</v>
      </c>
      <c r="C8" s="2" t="s">
        <v>21</v>
      </c>
      <c r="D8" s="2" t="s">
        <v>22</v>
      </c>
      <c r="E8" s="2" t="s">
        <v>23</v>
      </c>
      <c r="F8" s="2" t="s">
        <v>24</v>
      </c>
      <c r="G8" s="2" t="s">
        <v>25</v>
      </c>
      <c r="H8" s="2" t="s">
        <v>26</v>
      </c>
      <c r="I8" s="2" t="s">
        <v>27</v>
      </c>
    </row>
    <row r="9" spans="1:9">
      <c r="A9" s="7"/>
      <c r="B9" s="5" t="s">
        <v>20</v>
      </c>
      <c r="C9" s="2" t="s">
        <v>28</v>
      </c>
      <c r="D9" s="2" t="s">
        <v>29</v>
      </c>
      <c r="E9" s="2" t="s">
        <v>30</v>
      </c>
      <c r="F9" s="2" t="s">
        <v>31</v>
      </c>
      <c r="G9" s="2" t="s">
        <v>32</v>
      </c>
      <c r="H9" s="2" t="s">
        <v>33</v>
      </c>
      <c r="I9" s="2" t="s">
        <v>34</v>
      </c>
    </row>
    <row r="10" spans="1:9">
      <c r="A10" s="7" t="s">
        <v>63</v>
      </c>
      <c r="B10" s="5" t="s">
        <v>2</v>
      </c>
      <c r="C10" s="2" t="s">
        <v>35</v>
      </c>
      <c r="D10" s="2" t="s">
        <v>36</v>
      </c>
      <c r="E10" s="2" t="s">
        <v>37</v>
      </c>
      <c r="F10" s="2" t="s">
        <v>38</v>
      </c>
      <c r="G10" s="2" t="s">
        <v>39</v>
      </c>
      <c r="H10" s="2" t="s">
        <v>40</v>
      </c>
      <c r="I10" s="2" t="s">
        <v>41</v>
      </c>
    </row>
    <row r="11" spans="1:9">
      <c r="A11" s="7"/>
      <c r="B11" s="5" t="s">
        <v>1</v>
      </c>
      <c r="C11" s="3">
        <f>-1.51*10^7</f>
        <v>-15100000</v>
      </c>
      <c r="D11" s="3">
        <f>-1.18*10^8</f>
        <v>-118000000</v>
      </c>
      <c r="E11" s="3">
        <f>-1.61*10^8</f>
        <v>-161000000</v>
      </c>
      <c r="F11" s="3">
        <f>-1.85*10^9</f>
        <v>-1850000000</v>
      </c>
      <c r="G11" s="3">
        <f>-9.01*10^9</f>
        <v>-9010000000</v>
      </c>
      <c r="H11" s="3">
        <f>-8.63*10^9</f>
        <v>-8630000000</v>
      </c>
      <c r="I11" s="3">
        <f>-9.83*10^9</f>
        <v>-9830000000</v>
      </c>
    </row>
    <row r="12" spans="1:9">
      <c r="A12" s="7"/>
      <c r="B12" s="5" t="s">
        <v>3</v>
      </c>
      <c r="C12" s="2" t="s">
        <v>43</v>
      </c>
      <c r="D12" s="2" t="s">
        <v>44</v>
      </c>
      <c r="E12" s="2" t="s">
        <v>45</v>
      </c>
      <c r="F12" s="2" t="s">
        <v>46</v>
      </c>
      <c r="G12" s="2" t="s">
        <v>47</v>
      </c>
      <c r="H12" s="2" t="s">
        <v>48</v>
      </c>
      <c r="I12" s="2" t="s">
        <v>49</v>
      </c>
    </row>
    <row r="13" spans="1:9">
      <c r="A13" s="7"/>
      <c r="B13" s="5" t="s">
        <v>42</v>
      </c>
      <c r="C13" s="2" t="s">
        <v>50</v>
      </c>
      <c r="D13" s="2" t="s">
        <v>51</v>
      </c>
      <c r="E13" s="2" t="s">
        <v>52</v>
      </c>
      <c r="F13" s="2" t="s">
        <v>53</v>
      </c>
      <c r="G13" s="2" t="s">
        <v>54</v>
      </c>
      <c r="H13" s="2" t="s">
        <v>55</v>
      </c>
      <c r="I13" s="2" t="s">
        <v>56</v>
      </c>
    </row>
    <row r="14" spans="1:9">
      <c r="A14" s="7"/>
      <c r="B14" s="5" t="s">
        <v>19</v>
      </c>
      <c r="C14" s="2" t="s">
        <v>57</v>
      </c>
      <c r="D14" s="2" t="s">
        <v>58</v>
      </c>
      <c r="E14" s="2" t="s">
        <v>59</v>
      </c>
      <c r="F14" s="2" t="s">
        <v>24</v>
      </c>
      <c r="G14" s="2" t="s">
        <v>60</v>
      </c>
      <c r="H14" s="2" t="s">
        <v>61</v>
      </c>
      <c r="I14" s="2" t="s">
        <v>62</v>
      </c>
    </row>
    <row r="15" spans="1:9">
      <c r="A15" s="7"/>
      <c r="B15" s="5" t="s">
        <v>20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54</v>
      </c>
      <c r="H15" s="2" t="s">
        <v>55</v>
      </c>
      <c r="I15" s="2" t="s">
        <v>56</v>
      </c>
    </row>
  </sheetData>
  <mergeCells count="4">
    <mergeCell ref="A4:A9"/>
    <mergeCell ref="A10:A15"/>
    <mergeCell ref="C2:I2"/>
    <mergeCell ref="A2:B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D0BD-BB27-A549-9C9A-E6C5BF2B564D}">
  <dimension ref="A1:J40"/>
  <sheetViews>
    <sheetView tabSelected="1" workbookViewId="0"/>
  </sheetViews>
  <sheetFormatPr baseColWidth="10" defaultRowHeight="17"/>
  <sheetData>
    <row r="1" spans="1:10">
      <c r="A1" t="s">
        <v>224</v>
      </c>
    </row>
    <row r="2" spans="1:10">
      <c r="A2" s="14"/>
      <c r="B2" s="14" t="s">
        <v>217</v>
      </c>
      <c r="C2" s="14" t="s">
        <v>218</v>
      </c>
      <c r="D2" s="14" t="s">
        <v>219</v>
      </c>
      <c r="E2" s="7" t="s">
        <v>64</v>
      </c>
      <c r="F2" s="7"/>
      <c r="G2" s="7"/>
      <c r="H2" s="7"/>
      <c r="I2" s="7"/>
      <c r="J2" s="7"/>
    </row>
    <row r="3" spans="1:10">
      <c r="A3" s="15"/>
      <c r="B3" s="15"/>
      <c r="C3" s="15"/>
      <c r="D3" s="15"/>
      <c r="E3" s="7">
        <v>0.1</v>
      </c>
      <c r="F3" s="7"/>
      <c r="G3" s="7"/>
      <c r="H3" s="7">
        <v>0.9</v>
      </c>
      <c r="I3" s="7"/>
      <c r="J3" s="7"/>
    </row>
    <row r="4" spans="1:10">
      <c r="A4" s="16"/>
      <c r="B4" s="16"/>
      <c r="C4" s="16"/>
      <c r="D4" s="16"/>
      <c r="E4" s="5" t="s">
        <v>225</v>
      </c>
      <c r="F4" s="5" t="s">
        <v>226</v>
      </c>
      <c r="G4" s="5" t="s">
        <v>227</v>
      </c>
      <c r="H4" s="5" t="s">
        <v>225</v>
      </c>
      <c r="I4" s="5" t="s">
        <v>226</v>
      </c>
      <c r="J4" s="5" t="s">
        <v>227</v>
      </c>
    </row>
    <row r="5" spans="1:10">
      <c r="A5" s="13" t="s">
        <v>220</v>
      </c>
      <c r="B5" s="13">
        <v>3</v>
      </c>
      <c r="C5" s="13">
        <v>5</v>
      </c>
      <c r="D5" s="2" t="s">
        <v>215</v>
      </c>
      <c r="E5" s="2">
        <v>2.9399999999999999E-2</v>
      </c>
      <c r="F5" s="3">
        <f>5.78*10^(-12)</f>
        <v>5.78E-12</v>
      </c>
      <c r="G5" s="2">
        <v>0.11899999999999999</v>
      </c>
      <c r="H5" s="2">
        <v>0.1704</v>
      </c>
      <c r="I5" s="3">
        <f xml:space="preserve"> 2.99 * 10^(-11)</f>
        <v>2.9900000000000001E-11</v>
      </c>
      <c r="J5" s="2">
        <v>0.68710000000000004</v>
      </c>
    </row>
    <row r="6" spans="1:10">
      <c r="A6" s="13"/>
      <c r="B6" s="13"/>
      <c r="C6" s="13"/>
      <c r="D6" s="2" t="s">
        <v>216</v>
      </c>
      <c r="E6" s="2">
        <v>3.9399999999999998E-2</v>
      </c>
      <c r="F6" s="3">
        <f>1.81*10^(-12)</f>
        <v>1.81E-12</v>
      </c>
      <c r="G6" s="2">
        <v>0.1361</v>
      </c>
      <c r="H6" s="2">
        <v>0.2354</v>
      </c>
      <c r="I6" s="3">
        <f xml:space="preserve"> 9.44 * 10^(-12)</f>
        <v>9.4399999999999985E-12</v>
      </c>
      <c r="J6" s="2">
        <v>0.79659999999999997</v>
      </c>
    </row>
    <row r="7" spans="1:10">
      <c r="A7" s="13"/>
      <c r="B7" s="13">
        <v>3</v>
      </c>
      <c r="C7" s="13">
        <v>10</v>
      </c>
      <c r="D7" s="2" t="s">
        <v>215</v>
      </c>
      <c r="E7" s="2">
        <v>4.3999999999999997E-2</v>
      </c>
      <c r="F7" s="3">
        <f>6.86 * 10^(-12)</f>
        <v>6.8600000000000003E-12</v>
      </c>
      <c r="G7" s="2">
        <v>0.1406</v>
      </c>
      <c r="H7" s="2">
        <v>0.19700000000000001</v>
      </c>
      <c r="I7" s="3">
        <f xml:space="preserve"> 2.72* 10^(-11)</f>
        <v>2.72E-11</v>
      </c>
      <c r="J7" s="2">
        <v>0.62739999999999996</v>
      </c>
    </row>
    <row r="8" spans="1:10">
      <c r="A8" s="13"/>
      <c r="B8" s="13"/>
      <c r="C8" s="13"/>
      <c r="D8" s="2" t="s">
        <v>216</v>
      </c>
      <c r="E8" s="2">
        <v>5.8299999999999998E-2</v>
      </c>
      <c r="F8" s="3">
        <f xml:space="preserve"> 2.03* 10^(-12)</f>
        <v>2.0299999999999996E-12</v>
      </c>
      <c r="G8" s="2">
        <v>0.15890000000000001</v>
      </c>
      <c r="H8" s="2">
        <v>0.26790000000000003</v>
      </c>
      <c r="I8" s="3">
        <f xml:space="preserve"> 8.13* 10^(-12)</f>
        <v>8.1300000000000003E-12</v>
      </c>
      <c r="J8" s="2">
        <v>0.71709999999999996</v>
      </c>
    </row>
    <row r="9" spans="1:10">
      <c r="A9" s="13"/>
      <c r="B9" s="13">
        <v>3</v>
      </c>
      <c r="C9" s="13">
        <v>15</v>
      </c>
      <c r="D9" s="2" t="s">
        <v>215</v>
      </c>
      <c r="E9" s="2">
        <v>2.1399999999999999E-2</v>
      </c>
      <c r="F9" s="3">
        <f xml:space="preserve"> 4.8* 10^(-12)</f>
        <v>4.7999999999999997E-12</v>
      </c>
      <c r="G9" s="2">
        <v>9.7500000000000003E-2</v>
      </c>
      <c r="H9" s="2">
        <v>7.5800000000000006E-2</v>
      </c>
      <c r="I9" s="3">
        <f xml:space="preserve"> 1.5* 10^(-11)</f>
        <v>1.5E-11</v>
      </c>
      <c r="J9" s="2">
        <v>0.34179999999999999</v>
      </c>
    </row>
    <row r="10" spans="1:10">
      <c r="A10" s="13"/>
      <c r="B10" s="13"/>
      <c r="C10" s="13"/>
      <c r="D10" s="2" t="s">
        <v>216</v>
      </c>
      <c r="E10" s="2">
        <v>2.9899999999999999E-2</v>
      </c>
      <c r="F10" s="3">
        <f xml:space="preserve"> 1.37* 10^(-12)</f>
        <v>1.37E-12</v>
      </c>
      <c r="G10" s="2">
        <v>0.1137</v>
      </c>
      <c r="H10" s="2">
        <v>0.1087</v>
      </c>
      <c r="I10" s="3">
        <f xml:space="preserve"> 3.98 * 10^(-12)</f>
        <v>3.9799999999999996E-12</v>
      </c>
      <c r="J10" s="2">
        <v>0.40429999999999999</v>
      </c>
    </row>
    <row r="11" spans="1:10">
      <c r="A11" s="13"/>
      <c r="B11" s="13">
        <v>6</v>
      </c>
      <c r="C11" s="13">
        <v>5</v>
      </c>
      <c r="D11" s="2" t="s">
        <v>215</v>
      </c>
      <c r="E11" s="2">
        <v>0.19969999999999999</v>
      </c>
      <c r="F11" s="3">
        <f xml:space="preserve"> 9.19* 10^(-12)</f>
        <v>9.1899999999999994E-12</v>
      </c>
      <c r="G11" s="2">
        <v>0.19470000000000001</v>
      </c>
      <c r="H11" s="2">
        <v>1.7984</v>
      </c>
      <c r="I11" s="3">
        <f xml:space="preserve"> 7.64* 10^(-11)</f>
        <v>7.6399999999999989E-11</v>
      </c>
      <c r="J11" s="2">
        <v>1.7589999999999999</v>
      </c>
    </row>
    <row r="12" spans="1:10">
      <c r="A12" s="13"/>
      <c r="B12" s="13"/>
      <c r="C12" s="13"/>
      <c r="D12" s="2" t="s">
        <v>216</v>
      </c>
      <c r="E12" s="2">
        <v>0.2417</v>
      </c>
      <c r="F12" s="3">
        <f xml:space="preserve"> 2.95* 10^(-12)</f>
        <v>2.9500000000000002E-12</v>
      </c>
      <c r="G12" s="2">
        <v>0.188</v>
      </c>
      <c r="H12" s="2">
        <v>2.2511000000000001</v>
      </c>
      <c r="I12" s="3">
        <f xml:space="preserve"> 2.29* 10^(-11)</f>
        <v>2.29E-11</v>
      </c>
      <c r="J12" s="2">
        <v>1.6789000000000001</v>
      </c>
    </row>
    <row r="13" spans="1:10">
      <c r="A13" s="13"/>
      <c r="B13" s="13">
        <v>6</v>
      </c>
      <c r="C13" s="13">
        <v>10</v>
      </c>
      <c r="D13" s="2" t="s">
        <v>215</v>
      </c>
      <c r="E13" s="2">
        <v>0.23860000000000001</v>
      </c>
      <c r="F13" s="3">
        <f xml:space="preserve"> 8.54* 10^(-12)</f>
        <v>8.5399999999999987E-12</v>
      </c>
      <c r="G13" s="2">
        <v>0.1835</v>
      </c>
      <c r="H13" s="2">
        <v>2.4344999999999999</v>
      </c>
      <c r="I13" s="3">
        <f xml:space="preserve"> 7.84* 10^(-11)</f>
        <v>7.8399999999999996E-11</v>
      </c>
      <c r="J13" s="2">
        <v>1.8754</v>
      </c>
    </row>
    <row r="14" spans="1:10">
      <c r="A14" s="13"/>
      <c r="B14" s="13"/>
      <c r="C14" s="13"/>
      <c r="D14" s="2" t="s">
        <v>216</v>
      </c>
      <c r="E14" s="2">
        <v>0.2757</v>
      </c>
      <c r="F14" s="3">
        <f xml:space="preserve"> 2.43* 10^(-12)</f>
        <v>2.4299999999999999E-12</v>
      </c>
      <c r="G14" s="2">
        <v>0.1686</v>
      </c>
      <c r="H14" s="2">
        <v>2.8721000000000001</v>
      </c>
      <c r="I14" s="3">
        <f xml:space="preserve"> 2.16* 10^(-11)</f>
        <v>2.1600000000000002E-11</v>
      </c>
      <c r="J14" s="2">
        <v>1.6914</v>
      </c>
    </row>
    <row r="15" spans="1:10">
      <c r="A15" s="13"/>
      <c r="B15" s="13">
        <v>6</v>
      </c>
      <c r="C15" s="13">
        <v>15</v>
      </c>
      <c r="D15" s="2" t="s">
        <v>215</v>
      </c>
      <c r="E15" s="2">
        <v>0.1895</v>
      </c>
      <c r="F15" s="3">
        <f xml:space="preserve"> 9.57* 10^(-12)</f>
        <v>9.5700000000000006E-12</v>
      </c>
      <c r="G15" s="2">
        <v>0.2069</v>
      </c>
      <c r="H15" s="2">
        <v>1.8480000000000001</v>
      </c>
      <c r="I15" s="3">
        <f xml:space="preserve"> 8.22* 10^(-11)</f>
        <v>8.2199999999999998E-11</v>
      </c>
      <c r="J15" s="2">
        <v>2.0091000000000001</v>
      </c>
    </row>
    <row r="16" spans="1:10">
      <c r="A16" s="13"/>
      <c r="B16" s="13"/>
      <c r="C16" s="13"/>
      <c r="D16" s="2" t="s">
        <v>216</v>
      </c>
      <c r="E16" s="2">
        <v>0.24</v>
      </c>
      <c r="F16" s="3">
        <f xml:space="preserve"> 2.75* 10^(-12)</f>
        <v>2.7499999999999998E-12</v>
      </c>
      <c r="G16" s="2">
        <v>0.20430000000000001</v>
      </c>
      <c r="H16" s="2">
        <v>2.3902999999999999</v>
      </c>
      <c r="I16" s="3">
        <f xml:space="preserve"> 2.45* 10^(-11)</f>
        <v>2.4499999999999999E-11</v>
      </c>
      <c r="J16" s="2">
        <v>1.9683999999999999</v>
      </c>
    </row>
    <row r="17" spans="1:10">
      <c r="A17" s="13" t="s">
        <v>221</v>
      </c>
      <c r="B17" s="13">
        <v>3</v>
      </c>
      <c r="C17" s="13">
        <v>5</v>
      </c>
      <c r="D17" s="2" t="s">
        <v>215</v>
      </c>
      <c r="E17" s="2">
        <v>7.3899999999999993E-2</v>
      </c>
      <c r="F17" s="3">
        <f xml:space="preserve"> 1.95 * 10^(-11)</f>
        <v>1.9499999999999997E-11</v>
      </c>
      <c r="G17" s="2">
        <v>0.40689999999999998</v>
      </c>
      <c r="H17" s="2">
        <v>0.49199999999999999</v>
      </c>
      <c r="I17" s="3">
        <f xml:space="preserve"> 4.96* 10^(-11)</f>
        <v>4.9599999999999995E-11</v>
      </c>
      <c r="J17" s="2">
        <v>1.1022000000000001</v>
      </c>
    </row>
    <row r="18" spans="1:10">
      <c r="A18" s="13"/>
      <c r="B18" s="13"/>
      <c r="C18" s="13"/>
      <c r="D18" s="2" t="s">
        <v>216</v>
      </c>
      <c r="E18" s="2">
        <v>7.4899999999999994E-2</v>
      </c>
      <c r="F18" s="3">
        <f xml:space="preserve"> 5.75* 10^(-11)</f>
        <v>5.7499999999999995E-11</v>
      </c>
      <c r="G18" s="2">
        <v>0.33260000000000001</v>
      </c>
      <c r="H18" s="2">
        <v>1.1188</v>
      </c>
      <c r="I18" s="3">
        <f xml:space="preserve"> 4.84* 10^(-12)</f>
        <v>4.8399999999999996E-12</v>
      </c>
      <c r="J18" s="2">
        <v>1.3238000000000001</v>
      </c>
    </row>
    <row r="19" spans="1:10">
      <c r="A19" s="13"/>
      <c r="B19" s="13">
        <v>3</v>
      </c>
      <c r="C19" s="13">
        <v>10</v>
      </c>
      <c r="D19" s="2" t="s">
        <v>215</v>
      </c>
      <c r="E19" s="2">
        <v>0.1065</v>
      </c>
      <c r="F19" s="3">
        <f xml:space="preserve"> 2.28* 10^(-11)</f>
        <v>2.2799999999999998E-11</v>
      </c>
      <c r="G19" s="2">
        <v>0.47339999999999999</v>
      </c>
      <c r="H19" s="2">
        <v>0.75070000000000003</v>
      </c>
      <c r="I19" s="3">
        <f xml:space="preserve"> 6.09* 10^(-11)</f>
        <v>6.0899999999999991E-11</v>
      </c>
      <c r="J19" s="2">
        <v>1.2574000000000001</v>
      </c>
    </row>
    <row r="20" spans="1:10">
      <c r="A20" s="13"/>
      <c r="B20" s="13"/>
      <c r="C20" s="13"/>
      <c r="D20" s="2" t="s">
        <v>216</v>
      </c>
      <c r="E20" s="2">
        <v>7.9500000000000001E-2</v>
      </c>
      <c r="F20" s="3">
        <f xml:space="preserve"> 6.41* 10^(-11)</f>
        <v>6.4100000000000004E-11</v>
      </c>
      <c r="G20" s="2">
        <v>0.39689999999999998</v>
      </c>
      <c r="H20" s="2">
        <v>1.2696000000000001</v>
      </c>
      <c r="I20" s="3">
        <f xml:space="preserve"> 4.4* 10^(-12)</f>
        <v>4.4000000000000006E-12</v>
      </c>
      <c r="J20" s="2">
        <v>1.4534</v>
      </c>
    </row>
    <row r="21" spans="1:10">
      <c r="A21" s="13"/>
      <c r="B21" s="13">
        <v>3</v>
      </c>
      <c r="C21" s="13">
        <v>15</v>
      </c>
      <c r="D21" s="2" t="s">
        <v>215</v>
      </c>
      <c r="E21" s="2">
        <v>5.3100000000000001E-2</v>
      </c>
      <c r="F21" s="3">
        <f xml:space="preserve"> 1.61* 10^(-11)</f>
        <v>1.6100000000000001E-11</v>
      </c>
      <c r="G21" s="2">
        <v>0.33600000000000002</v>
      </c>
      <c r="H21" s="2">
        <v>0.39169999999999999</v>
      </c>
      <c r="I21" s="3">
        <f xml:space="preserve"> 4.13* 10^(-11)</f>
        <v>4.1299999999999996E-11</v>
      </c>
      <c r="J21" s="2">
        <v>0.91869999999999996</v>
      </c>
    </row>
    <row r="22" spans="1:10">
      <c r="A22" s="13"/>
      <c r="B22" s="13"/>
      <c r="C22" s="13"/>
      <c r="D22" s="2" t="s">
        <v>216</v>
      </c>
      <c r="E22" s="2">
        <v>3.7999999999999999E-2</v>
      </c>
      <c r="F22" s="3">
        <f xml:space="preserve"> 4.61 * 10^(-11)</f>
        <v>4.6100000000000001E-11</v>
      </c>
      <c r="G22" s="2">
        <v>0.28499999999999998</v>
      </c>
      <c r="H22" s="2">
        <v>0.63439999999999996</v>
      </c>
      <c r="I22" s="3">
        <f xml:space="preserve"> 3.45 * 10^(-11)</f>
        <v>3.4499999999999997E-11</v>
      </c>
      <c r="J22" s="2">
        <v>1.139</v>
      </c>
    </row>
    <row r="23" spans="1:10">
      <c r="A23" s="13"/>
      <c r="B23" s="13">
        <v>6</v>
      </c>
      <c r="C23" s="13">
        <v>5</v>
      </c>
      <c r="D23" s="2" t="s">
        <v>215</v>
      </c>
      <c r="E23" s="2">
        <v>0.7228</v>
      </c>
      <c r="F23" s="3">
        <f xml:space="preserve"> 4.62* 10^(-11)</f>
        <v>4.6199999999999999E-11</v>
      </c>
      <c r="G23" s="2">
        <v>1.0276000000000001</v>
      </c>
      <c r="H23" s="2">
        <v>2.5463</v>
      </c>
      <c r="I23" s="3">
        <f xml:space="preserve"> 5.46* 10^(-11)</f>
        <v>5.4599999999999998E-11</v>
      </c>
      <c r="J23" s="2">
        <v>1.2499</v>
      </c>
    </row>
    <row r="24" spans="1:10">
      <c r="A24" s="13"/>
      <c r="B24" s="13"/>
      <c r="C24" s="13"/>
      <c r="D24" s="2" t="s">
        <v>216</v>
      </c>
      <c r="E24" s="2">
        <v>0.47889999999999999</v>
      </c>
      <c r="F24" s="3">
        <f xml:space="preserve"> 1.44* 10^(-10)</f>
        <v>1.4399999999999999E-10</v>
      </c>
      <c r="G24" s="2">
        <v>0.86260000000000003</v>
      </c>
      <c r="H24" s="2">
        <v>3.1511</v>
      </c>
      <c r="I24" s="3">
        <f xml:space="preserve"> 9.32* 10^(-13)</f>
        <v>9.3200000000000007E-13</v>
      </c>
      <c r="J24" s="2">
        <v>0.32490000000000002</v>
      </c>
    </row>
    <row r="25" spans="1:10">
      <c r="A25" s="13"/>
      <c r="B25" s="13">
        <v>6</v>
      </c>
      <c r="C25" s="13">
        <v>10</v>
      </c>
      <c r="D25" s="2" t="s">
        <v>215</v>
      </c>
      <c r="E25" s="2">
        <v>0.91900000000000004</v>
      </c>
      <c r="F25" s="3">
        <f xml:space="preserve"> 4.68* 10^(-11)</f>
        <v>4.6799999999999996E-11</v>
      </c>
      <c r="G25" s="2">
        <v>1.0457000000000001</v>
      </c>
      <c r="H25" s="2">
        <v>2.6385000000000001</v>
      </c>
      <c r="I25" s="3">
        <f xml:space="preserve"> 4.73* 10^(-11)</f>
        <v>4.7300000000000001E-11</v>
      </c>
      <c r="J25" s="2">
        <v>1.0065999999999999</v>
      </c>
    </row>
    <row r="26" spans="1:10">
      <c r="A26" s="13"/>
      <c r="B26" s="13"/>
      <c r="C26" s="13"/>
      <c r="D26" s="2" t="s">
        <v>216</v>
      </c>
      <c r="E26" s="2">
        <v>0.60509999999999997</v>
      </c>
      <c r="F26" s="3">
        <f xml:space="preserve"> 1.88* 10^(-10)</f>
        <v>1.88E-10</v>
      </c>
      <c r="G26" s="2">
        <v>0.93830000000000002</v>
      </c>
      <c r="H26" s="2">
        <v>3.0257999999999998</v>
      </c>
      <c r="I26" s="3">
        <f xml:space="preserve"> 5.98* 10^(-13)</f>
        <v>5.9800000000000008E-13</v>
      </c>
      <c r="J26" s="2">
        <v>0.21410000000000001</v>
      </c>
    </row>
    <row r="27" spans="1:10">
      <c r="A27" s="13"/>
      <c r="B27" s="13">
        <v>6</v>
      </c>
      <c r="C27" s="13">
        <v>15</v>
      </c>
      <c r="D27" s="2" t="s">
        <v>215</v>
      </c>
      <c r="E27" s="2">
        <v>0.61260000000000003</v>
      </c>
      <c r="F27" s="3">
        <f xml:space="preserve"> 4.27 * 10^(-11)</f>
        <v>4.2699999999999992E-11</v>
      </c>
      <c r="G27" s="2">
        <v>0.98329999999999995</v>
      </c>
      <c r="H27" s="2">
        <v>2.4030999999999998</v>
      </c>
      <c r="I27" s="3">
        <f xml:space="preserve"> 5.88* 10^(-11)</f>
        <v>5.8799999999999993E-11</v>
      </c>
      <c r="J27" s="2">
        <v>1.2256</v>
      </c>
    </row>
    <row r="28" spans="1:10">
      <c r="A28" s="13"/>
      <c r="B28" s="13"/>
      <c r="C28" s="13"/>
      <c r="D28" s="2" t="s">
        <v>216</v>
      </c>
      <c r="E28" s="2">
        <v>0.38240000000000002</v>
      </c>
      <c r="F28" s="3">
        <f xml:space="preserve"> 1.42* 10^(-10)</f>
        <v>1.42E-10</v>
      </c>
      <c r="G28" s="2">
        <v>0.82120000000000004</v>
      </c>
      <c r="H28" s="2">
        <v>2.9363999999999999</v>
      </c>
      <c r="I28" s="3">
        <f xml:space="preserve"> 1.62* 10^(-12)</f>
        <v>1.6200000000000002E-12</v>
      </c>
      <c r="J28" s="2">
        <v>0.5877</v>
      </c>
    </row>
    <row r="29" spans="1:10">
      <c r="A29" s="13" t="s">
        <v>222</v>
      </c>
      <c r="B29" s="13">
        <v>3</v>
      </c>
      <c r="C29" s="13">
        <v>5</v>
      </c>
      <c r="D29" s="2" t="s">
        <v>215</v>
      </c>
      <c r="E29" s="2">
        <v>3.32E-2</v>
      </c>
      <c r="F29" s="3">
        <f xml:space="preserve"> 6.33* 10^(-12)</f>
        <v>6.3299999999999999E-12</v>
      </c>
      <c r="G29" s="2">
        <v>0.13400000000000001</v>
      </c>
      <c r="H29" s="2">
        <v>0.17069999999999999</v>
      </c>
      <c r="I29" s="3">
        <f xml:space="preserve"> 2.92* 10^(-11)</f>
        <v>2.92E-11</v>
      </c>
      <c r="J29" s="2">
        <v>0.68430000000000002</v>
      </c>
    </row>
    <row r="30" spans="1:10">
      <c r="A30" s="13"/>
      <c r="B30" s="13"/>
      <c r="C30" s="13"/>
      <c r="D30" s="2" t="s">
        <v>216</v>
      </c>
      <c r="E30" s="2">
        <v>4.4999999999999998E-2</v>
      </c>
      <c r="F30" s="3">
        <f xml:space="preserve"> 2.23* 10^(-12)</f>
        <v>2.23E-12</v>
      </c>
      <c r="G30" s="2">
        <v>0.15379999999999999</v>
      </c>
      <c r="H30" s="2">
        <v>0.23619999999999999</v>
      </c>
      <c r="I30" s="3">
        <f xml:space="preserve"> 9.8* 10^(-12)</f>
        <v>9.8000000000000011E-12</v>
      </c>
      <c r="J30" s="2">
        <v>0.79320000000000002</v>
      </c>
    </row>
    <row r="31" spans="1:10">
      <c r="A31" s="13"/>
      <c r="B31" s="13">
        <v>3</v>
      </c>
      <c r="C31" s="13">
        <v>10</v>
      </c>
      <c r="D31" s="2" t="s">
        <v>215</v>
      </c>
      <c r="E31" s="2">
        <v>5.0099999999999999E-2</v>
      </c>
      <c r="F31" s="3">
        <f xml:space="preserve"> 8.02* 10^(-12)</f>
        <v>8.0200000000000002E-12</v>
      </c>
      <c r="G31" s="2">
        <v>0.1608</v>
      </c>
      <c r="H31" s="2">
        <v>0.20150000000000001</v>
      </c>
      <c r="I31" s="3">
        <f xml:space="preserve"> 2.8* 10^(-11)</f>
        <v>2.7999999999999997E-11</v>
      </c>
      <c r="J31" s="2">
        <v>0.63849999999999996</v>
      </c>
    </row>
    <row r="32" spans="1:10">
      <c r="A32" s="13"/>
      <c r="B32" s="13"/>
      <c r="C32" s="13"/>
      <c r="D32" s="2" t="s">
        <v>216</v>
      </c>
      <c r="E32" s="2">
        <v>6.6699999999999995E-2</v>
      </c>
      <c r="F32" s="3">
        <f xml:space="preserve"> 2.83* 10^(-12)</f>
        <v>2.8299999999999999E-12</v>
      </c>
      <c r="G32" s="2">
        <v>0.182</v>
      </c>
      <c r="H32" s="2">
        <v>0.27150000000000002</v>
      </c>
      <c r="I32" s="3">
        <f xml:space="preserve"> 8.96* 10^(-12)</f>
        <v>8.9600000000000006E-12</v>
      </c>
      <c r="J32" s="2">
        <v>0.72650000000000003</v>
      </c>
    </row>
    <row r="33" spans="1:10">
      <c r="A33" s="13"/>
      <c r="B33" s="13">
        <v>3</v>
      </c>
      <c r="C33" s="13">
        <v>15</v>
      </c>
      <c r="D33" s="2" t="s">
        <v>215</v>
      </c>
      <c r="E33" s="2">
        <v>2.4899999999999999E-2</v>
      </c>
      <c r="F33" s="3">
        <f xml:space="preserve"> 5.67* 10^(-12)</f>
        <v>5.6699999999999999E-12</v>
      </c>
      <c r="G33" s="2">
        <v>0.1133</v>
      </c>
      <c r="H33" s="2">
        <v>7.8700000000000006E-2</v>
      </c>
      <c r="I33" s="3">
        <f xml:space="preserve"> 1.53* 10^(-11)</f>
        <v>1.5299999999999998E-11</v>
      </c>
      <c r="J33" s="2">
        <v>0.35310000000000002</v>
      </c>
    </row>
    <row r="34" spans="1:10">
      <c r="A34" s="13"/>
      <c r="B34" s="13"/>
      <c r="C34" s="13"/>
      <c r="D34" s="2" t="s">
        <v>216</v>
      </c>
      <c r="E34" s="2">
        <v>3.4599999999999999E-2</v>
      </c>
      <c r="F34" s="3">
        <f xml:space="preserve"> 1.74* 10^(-12)</f>
        <v>1.7399999999999999E-12</v>
      </c>
      <c r="G34" s="2">
        <v>0.1321</v>
      </c>
      <c r="H34" s="2">
        <v>0.1115</v>
      </c>
      <c r="I34" s="3">
        <f xml:space="preserve"> 4.7* 10^(-12)</f>
        <v>4.6999999999999998E-12</v>
      </c>
      <c r="J34" s="2">
        <v>0.41510000000000002</v>
      </c>
    </row>
    <row r="35" spans="1:10">
      <c r="A35" s="13"/>
      <c r="B35" s="13">
        <v>6</v>
      </c>
      <c r="C35" s="13">
        <v>5</v>
      </c>
      <c r="D35" s="2" t="s">
        <v>215</v>
      </c>
      <c r="E35" s="2">
        <v>0.25459999999999999</v>
      </c>
      <c r="F35" s="3">
        <f xml:space="preserve"> 1.17 * 10^(-11)</f>
        <v>1.1699999999999999E-11</v>
      </c>
      <c r="G35" s="2">
        <v>0.2492</v>
      </c>
      <c r="H35" s="2">
        <v>1.8904000000000001</v>
      </c>
      <c r="I35" s="3">
        <f xml:space="preserve"> 7.76* 10^(-11)</f>
        <v>7.7599999999999996E-11</v>
      </c>
      <c r="J35" s="2">
        <v>1.8442000000000001</v>
      </c>
    </row>
    <row r="36" spans="1:10">
      <c r="A36" s="13"/>
      <c r="B36" s="13"/>
      <c r="C36" s="13"/>
      <c r="D36" s="2" t="s">
        <v>216</v>
      </c>
      <c r="E36" s="2">
        <v>0.30969999999999998</v>
      </c>
      <c r="F36" s="3">
        <f xml:space="preserve"> 4.73 * 10^(-12)</f>
        <v>4.7300000000000002E-12</v>
      </c>
      <c r="G36" s="2">
        <v>0.2397</v>
      </c>
      <c r="H36" s="2">
        <v>2.3519999999999999</v>
      </c>
      <c r="I36" s="3">
        <f xml:space="preserve"> 2.82* 10^(-11)</f>
        <v>2.8199999999999997E-11</v>
      </c>
      <c r="J36" s="2">
        <v>1.7586999999999999</v>
      </c>
    </row>
    <row r="37" spans="1:10">
      <c r="A37" s="13"/>
      <c r="B37" s="13">
        <v>6</v>
      </c>
      <c r="C37" s="13">
        <v>10</v>
      </c>
      <c r="D37" s="2" t="s">
        <v>215</v>
      </c>
      <c r="E37" s="2">
        <v>0.29770000000000002</v>
      </c>
      <c r="F37" s="3">
        <f xml:space="preserve"> 1.08* 10^(-11)</f>
        <v>1.0800000000000001E-11</v>
      </c>
      <c r="G37" s="2">
        <v>0.23069999999999999</v>
      </c>
      <c r="H37" s="2">
        <v>2.4123999999999999</v>
      </c>
      <c r="I37" s="3">
        <f xml:space="preserve"> 7.69* 10^(-11)</f>
        <v>7.6900000000000001E-11</v>
      </c>
      <c r="J37" s="2">
        <v>1.8527</v>
      </c>
    </row>
    <row r="38" spans="1:10">
      <c r="A38" s="13"/>
      <c r="B38" s="13"/>
      <c r="C38" s="13"/>
      <c r="D38" s="2" t="s">
        <v>216</v>
      </c>
      <c r="E38" s="2">
        <v>0.3473</v>
      </c>
      <c r="F38" s="3">
        <f xml:space="preserve"> 3.09* 10^(-12)</f>
        <v>3.09E-12</v>
      </c>
      <c r="G38" s="2">
        <v>0.21060000000000001</v>
      </c>
      <c r="H38" s="2">
        <v>2.8403999999999998</v>
      </c>
      <c r="I38" s="3">
        <f xml:space="preserve"> 2.28* 10^(-11)</f>
        <v>2.2799999999999998E-11</v>
      </c>
      <c r="J38" s="2">
        <v>1.6696</v>
      </c>
    </row>
    <row r="39" spans="1:10">
      <c r="A39" s="13"/>
      <c r="B39" s="13">
        <v>6</v>
      </c>
      <c r="C39" s="13">
        <v>15</v>
      </c>
      <c r="D39" s="2" t="s">
        <v>215</v>
      </c>
      <c r="E39" s="2">
        <v>0.22239999999999999</v>
      </c>
      <c r="F39" s="3">
        <f xml:space="preserve"> 1.15 * 10^(-11)</f>
        <v>1.1499999999999999E-11</v>
      </c>
      <c r="G39" s="2">
        <v>0.2437</v>
      </c>
      <c r="H39" s="2">
        <v>1.7559</v>
      </c>
      <c r="I39" s="3">
        <f xml:space="preserve"> 8.07* 10^(-11)</f>
        <v>8.0700000000000003E-11</v>
      </c>
      <c r="J39" s="2">
        <v>1.9115</v>
      </c>
    </row>
    <row r="40" spans="1:10">
      <c r="A40" s="13"/>
      <c r="B40" s="13"/>
      <c r="C40" s="13"/>
      <c r="D40" s="2" t="s">
        <v>216</v>
      </c>
      <c r="E40" s="2">
        <v>0.28389999999999999</v>
      </c>
      <c r="F40" s="3">
        <f xml:space="preserve"> 3.82* 10^(-12)</f>
        <v>3.8199999999999995E-12</v>
      </c>
      <c r="G40" s="2">
        <v>0.2402</v>
      </c>
      <c r="H40" s="2">
        <v>2.2812999999999999</v>
      </c>
      <c r="I40" s="3">
        <f xml:space="preserve"> 2.4* 10^(-11)</f>
        <v>2.3999999999999998E-11</v>
      </c>
      <c r="J40" s="2">
        <v>1.871</v>
      </c>
    </row>
  </sheetData>
  <mergeCells count="46">
    <mergeCell ref="A2:A4"/>
    <mergeCell ref="B37:B38"/>
    <mergeCell ref="C37:C38"/>
    <mergeCell ref="B39:B40"/>
    <mergeCell ref="C39:C40"/>
    <mergeCell ref="D2:D4"/>
    <mergeCell ref="C2:C4"/>
    <mergeCell ref="B2:B4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C27:C28"/>
    <mergeCell ref="B29:B30"/>
    <mergeCell ref="C29:C30"/>
    <mergeCell ref="B19:B20"/>
    <mergeCell ref="C19:C20"/>
    <mergeCell ref="B21:B22"/>
    <mergeCell ref="C21:C22"/>
    <mergeCell ref="B23:B24"/>
    <mergeCell ref="C23:C24"/>
    <mergeCell ref="C11:C12"/>
    <mergeCell ref="B13:B14"/>
    <mergeCell ref="C13:C14"/>
    <mergeCell ref="B15:B16"/>
    <mergeCell ref="C15:C16"/>
    <mergeCell ref="B17:B18"/>
    <mergeCell ref="C17:C18"/>
    <mergeCell ref="A5:A16"/>
    <mergeCell ref="A17:A28"/>
    <mergeCell ref="A29:A40"/>
    <mergeCell ref="B5:B6"/>
    <mergeCell ref="C5:C6"/>
    <mergeCell ref="B7:B8"/>
    <mergeCell ref="C7:C8"/>
    <mergeCell ref="B9:B10"/>
    <mergeCell ref="C9:C10"/>
    <mergeCell ref="B11:B12"/>
    <mergeCell ref="E3:G3"/>
    <mergeCell ref="H3:J3"/>
    <mergeCell ref="E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D91-45C3-DC49-A8BA-594445811901}">
  <dimension ref="A1:I24"/>
  <sheetViews>
    <sheetView zoomScaleNormal="100" workbookViewId="0"/>
  </sheetViews>
  <sheetFormatPr baseColWidth="10" defaultRowHeight="17"/>
  <cols>
    <col min="4" max="4" width="24.83203125" bestFit="1" customWidth="1"/>
    <col min="5" max="6" width="23.33203125" bestFit="1" customWidth="1"/>
    <col min="7" max="7" width="23.6640625" bestFit="1" customWidth="1"/>
    <col min="8" max="9" width="24.5" bestFit="1" customWidth="1"/>
  </cols>
  <sheetData>
    <row r="1" spans="1:9">
      <c r="A1" t="s">
        <v>66</v>
      </c>
    </row>
    <row r="2" spans="1:9">
      <c r="A2" s="7"/>
      <c r="B2" s="7"/>
      <c r="C2" s="7"/>
      <c r="D2" s="7" t="s">
        <v>64</v>
      </c>
      <c r="E2" s="7"/>
      <c r="F2" s="7"/>
      <c r="G2" s="7"/>
      <c r="H2" s="7"/>
      <c r="I2" s="7"/>
    </row>
    <row r="3" spans="1:9">
      <c r="A3" s="7"/>
      <c r="B3" s="7"/>
      <c r="C3" s="7"/>
      <c r="D3" s="5">
        <v>0.05</v>
      </c>
      <c r="E3" s="5">
        <v>0.1</v>
      </c>
      <c r="F3" s="5">
        <v>0.25</v>
      </c>
      <c r="G3" s="5">
        <v>0.5</v>
      </c>
      <c r="H3" s="5">
        <v>0.75</v>
      </c>
      <c r="I3" s="5">
        <v>0.9</v>
      </c>
    </row>
    <row r="4" spans="1:9">
      <c r="A4" s="7" t="s">
        <v>93</v>
      </c>
      <c r="B4" s="7" t="s">
        <v>2</v>
      </c>
      <c r="C4" s="7"/>
      <c r="D4" s="2">
        <v>4.2956000000000003</v>
      </c>
      <c r="E4" s="2">
        <v>4.3227000000000002</v>
      </c>
      <c r="F4" s="2">
        <v>4.4592999999999998</v>
      </c>
      <c r="G4" s="2">
        <v>4.4941000000000004</v>
      </c>
      <c r="H4" s="2">
        <v>4.5384000000000002</v>
      </c>
      <c r="I4" s="2">
        <v>4.5731999999999999</v>
      </c>
    </row>
    <row r="5" spans="1:9">
      <c r="A5" s="7"/>
      <c r="B5" s="7" t="s">
        <v>1</v>
      </c>
      <c r="C5" s="7"/>
      <c r="D5" s="3">
        <f>-2.7*10^7</f>
        <v>-27000000</v>
      </c>
      <c r="E5" s="3">
        <f>-2.28 *10^8</f>
        <v>-227999999.99999997</v>
      </c>
      <c r="F5" s="3">
        <f>-2.86*10^8</f>
        <v>-286000000</v>
      </c>
      <c r="G5" s="3">
        <f>-1.81*10^9</f>
        <v>-1810000000</v>
      </c>
      <c r="H5" s="3">
        <f>-9.01*10^9</f>
        <v>-9010000000</v>
      </c>
      <c r="I5" s="3">
        <f>-8.63 *10^9</f>
        <v>-8630000000</v>
      </c>
    </row>
    <row r="6" spans="1:9">
      <c r="A6" s="7"/>
      <c r="B6" s="7" t="s">
        <v>3</v>
      </c>
      <c r="C6" s="7"/>
      <c r="D6" s="2">
        <v>0.53410000000000002</v>
      </c>
      <c r="E6" s="2">
        <v>0.59660000000000002</v>
      </c>
      <c r="F6" s="2">
        <v>0.60099999999999998</v>
      </c>
      <c r="G6" s="2">
        <v>0.65649999999999997</v>
      </c>
      <c r="H6" s="2">
        <v>0.70520000000000005</v>
      </c>
      <c r="I6" s="2">
        <v>0.70509999999999995</v>
      </c>
    </row>
    <row r="7" spans="1:9">
      <c r="A7" s="7" t="s">
        <v>94</v>
      </c>
      <c r="B7" s="7" t="s">
        <v>2</v>
      </c>
      <c r="C7" s="5" t="s">
        <v>97</v>
      </c>
      <c r="D7" s="2">
        <v>0.68840000000000001</v>
      </c>
      <c r="E7" s="2">
        <v>0.63119999999999998</v>
      </c>
      <c r="F7" s="2">
        <v>0.5998</v>
      </c>
      <c r="G7" s="2">
        <v>1.4394</v>
      </c>
      <c r="H7" s="2">
        <v>1.2595000000000001</v>
      </c>
      <c r="I7" s="2">
        <v>1.4440999999999999</v>
      </c>
    </row>
    <row r="8" spans="1:9">
      <c r="A8" s="7"/>
      <c r="B8" s="7"/>
      <c r="C8" s="5" t="s">
        <v>98</v>
      </c>
      <c r="D8" s="2" t="s">
        <v>67</v>
      </c>
      <c r="E8" s="2" t="s">
        <v>99</v>
      </c>
      <c r="F8" s="2" t="s">
        <v>68</v>
      </c>
      <c r="G8" s="2" t="s">
        <v>69</v>
      </c>
      <c r="H8" s="2" t="s">
        <v>70</v>
      </c>
      <c r="I8" s="2" t="s">
        <v>71</v>
      </c>
    </row>
    <row r="9" spans="1:9">
      <c r="A9" s="7"/>
      <c r="B9" s="7" t="s">
        <v>1</v>
      </c>
      <c r="C9" s="5" t="s">
        <v>97</v>
      </c>
      <c r="D9" s="2">
        <f>3.94 * 10^-10</f>
        <v>3.9399999999999998E-10</v>
      </c>
      <c r="E9" s="2">
        <f>4.21 * 10^-11</f>
        <v>4.2099999999999995E-11</v>
      </c>
      <c r="F9" s="2">
        <f>3.4 * 10^-11</f>
        <v>3.3999999999999999E-11</v>
      </c>
      <c r="G9" s="2">
        <f>1.2 * 10^-11</f>
        <v>1.1999999999999999E-11</v>
      </c>
      <c r="H9" s="2">
        <f>1.94 * 10^-12</f>
        <v>1.9399999999999998E-12</v>
      </c>
      <c r="I9" s="2">
        <f>2.25 * 10^-12</f>
        <v>2.2499999999999999E-12</v>
      </c>
    </row>
    <row r="10" spans="1:9">
      <c r="A10" s="7"/>
      <c r="B10" s="7"/>
      <c r="C10" s="5" t="s">
        <v>98</v>
      </c>
      <c r="D10" s="2" t="s">
        <v>109</v>
      </c>
      <c r="E10" s="2" t="s">
        <v>110</v>
      </c>
      <c r="F10" s="2" t="s">
        <v>111</v>
      </c>
      <c r="G10" s="2" t="s">
        <v>112</v>
      </c>
      <c r="H10" s="2" t="s">
        <v>113</v>
      </c>
      <c r="I10" s="2" t="s">
        <v>114</v>
      </c>
    </row>
    <row r="11" spans="1:9">
      <c r="A11" s="7"/>
      <c r="B11" s="7" t="s">
        <v>3</v>
      </c>
      <c r="C11" s="5" t="s">
        <v>97</v>
      </c>
      <c r="D11" s="2">
        <v>2.9600000000000001E-2</v>
      </c>
      <c r="E11" s="2">
        <v>2.7400000000000001E-2</v>
      </c>
      <c r="F11" s="2">
        <v>2.4299999999999999E-2</v>
      </c>
      <c r="G11" s="2">
        <v>6.1699999999999998E-2</v>
      </c>
      <c r="H11" s="2">
        <v>5.7299999999999997E-2</v>
      </c>
      <c r="I11" s="2">
        <v>6.8199999999999997E-2</v>
      </c>
    </row>
    <row r="12" spans="1:9">
      <c r="A12" s="7"/>
      <c r="B12" s="7"/>
      <c r="C12" s="5" t="s">
        <v>98</v>
      </c>
      <c r="D12" s="2" t="s">
        <v>100</v>
      </c>
      <c r="E12" s="2" t="s">
        <v>72</v>
      </c>
      <c r="F12" s="2" t="s">
        <v>73</v>
      </c>
      <c r="G12" s="2" t="s">
        <v>74</v>
      </c>
      <c r="H12" s="2" t="s">
        <v>75</v>
      </c>
      <c r="I12" s="2" t="s">
        <v>101</v>
      </c>
    </row>
    <row r="13" spans="1:9">
      <c r="A13" s="7" t="s">
        <v>95</v>
      </c>
      <c r="B13" s="7" t="s">
        <v>2</v>
      </c>
      <c r="C13" s="5" t="s">
        <v>97</v>
      </c>
      <c r="D13" s="2">
        <v>4.0800000000000003E-2</v>
      </c>
      <c r="E13" s="2">
        <v>2.9700000000000001E-2</v>
      </c>
      <c r="F13" s="2">
        <v>4.02E-2</v>
      </c>
      <c r="G13" s="2">
        <v>2.4899999999999999E-2</v>
      </c>
      <c r="H13" s="2">
        <v>2.7699999999999999E-2</v>
      </c>
      <c r="I13" s="2">
        <v>3.9E-2</v>
      </c>
    </row>
    <row r="14" spans="1:9">
      <c r="A14" s="7"/>
      <c r="B14" s="7"/>
      <c r="C14" s="5" t="s">
        <v>98</v>
      </c>
      <c r="D14" s="2" t="s">
        <v>102</v>
      </c>
      <c r="E14" s="2" t="s">
        <v>76</v>
      </c>
      <c r="F14" s="2" t="s">
        <v>77</v>
      </c>
      <c r="G14" s="2" t="s">
        <v>78</v>
      </c>
      <c r="H14" s="2" t="s">
        <v>79</v>
      </c>
      <c r="I14" s="2" t="s">
        <v>103</v>
      </c>
    </row>
    <row r="15" spans="1:9">
      <c r="A15" s="7"/>
      <c r="B15" s="7" t="s">
        <v>1</v>
      </c>
      <c r="C15" s="5" t="s">
        <v>97</v>
      </c>
      <c r="D15" s="3">
        <f>1.9 * 10^6</f>
        <v>1900000</v>
      </c>
      <c r="E15" s="3">
        <f>1.39 * 10^6</f>
        <v>1390000</v>
      </c>
      <c r="F15" s="3">
        <f>3.82 * 10^9</f>
        <v>3820000000</v>
      </c>
      <c r="G15" s="3">
        <f>4.54 * 10^9</f>
        <v>4540000000</v>
      </c>
      <c r="H15" s="3">
        <f>4.36 * 10^9</f>
        <v>4360000000</v>
      </c>
      <c r="I15" s="3">
        <f>3.61 * 10^9</f>
        <v>3610000000</v>
      </c>
    </row>
    <row r="16" spans="1:9">
      <c r="A16" s="7"/>
      <c r="B16" s="7"/>
      <c r="C16" s="5" t="s">
        <v>98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</row>
    <row r="17" spans="1:9">
      <c r="A17" s="7"/>
      <c r="B17" s="7" t="s">
        <v>3</v>
      </c>
      <c r="C17" s="5" t="s">
        <v>97</v>
      </c>
      <c r="D17" s="2">
        <v>2.5999999999999999E-3</v>
      </c>
      <c r="E17" s="2">
        <v>2E-3</v>
      </c>
      <c r="F17" s="2">
        <v>3.1800000000000002E-2</v>
      </c>
      <c r="G17" s="2">
        <v>3.7400000000000003E-2</v>
      </c>
      <c r="H17" s="2">
        <v>2.9000000000000001E-2</v>
      </c>
      <c r="I17" s="2">
        <v>2.2100000000000002E-2</v>
      </c>
    </row>
    <row r="18" spans="1:9">
      <c r="A18" s="7"/>
      <c r="B18" s="7"/>
      <c r="C18" s="5" t="s">
        <v>98</v>
      </c>
      <c r="D18" s="2" t="s">
        <v>104</v>
      </c>
      <c r="E18" s="2" t="s">
        <v>80</v>
      </c>
      <c r="F18" s="2" t="s">
        <v>81</v>
      </c>
      <c r="G18" s="2" t="s">
        <v>82</v>
      </c>
      <c r="H18" s="2" t="s">
        <v>83</v>
      </c>
      <c r="I18" s="2" t="s">
        <v>105</v>
      </c>
    </row>
    <row r="19" spans="1:9">
      <c r="A19" s="7" t="s">
        <v>96</v>
      </c>
      <c r="B19" s="7" t="s">
        <v>2</v>
      </c>
      <c r="C19" s="5" t="s">
        <v>97</v>
      </c>
      <c r="D19" s="2">
        <v>9.0800000000000006E-2</v>
      </c>
      <c r="E19" s="2">
        <v>7.8399999999999997E-2</v>
      </c>
      <c r="F19" s="2">
        <v>5.5300000000000002E-2</v>
      </c>
      <c r="G19" s="2">
        <v>2.3400000000000001E-2</v>
      </c>
      <c r="H19" s="2">
        <v>2.7400000000000001E-2</v>
      </c>
      <c r="I19" s="2">
        <v>3.7199999999999997E-2</v>
      </c>
    </row>
    <row r="20" spans="1:9">
      <c r="A20" s="7"/>
      <c r="B20" s="7"/>
      <c r="C20" s="5" t="s">
        <v>98</v>
      </c>
      <c r="D20" s="2" t="s">
        <v>106</v>
      </c>
      <c r="E20" s="2" t="s">
        <v>84</v>
      </c>
      <c r="F20" s="2" t="s">
        <v>85</v>
      </c>
      <c r="G20" s="2" t="s">
        <v>86</v>
      </c>
      <c r="H20" s="2" t="s">
        <v>87</v>
      </c>
      <c r="I20" s="2" t="s">
        <v>88</v>
      </c>
    </row>
    <row r="21" spans="1:9">
      <c r="A21" s="7"/>
      <c r="B21" s="7" t="s">
        <v>1</v>
      </c>
      <c r="C21" s="5" t="s">
        <v>97</v>
      </c>
      <c r="D21" s="3">
        <f>2.76 * 10^9</f>
        <v>2760000000</v>
      </c>
      <c r="E21" s="3">
        <f>2.39 * 10^9</f>
        <v>2390000000</v>
      </c>
      <c r="F21" s="3">
        <f>2.34 * 10^9</f>
        <v>2340000000</v>
      </c>
      <c r="G21" s="3">
        <f>3.26 * 10^9</f>
        <v>3260000000</v>
      </c>
      <c r="H21" s="3">
        <f>3.31 * 10^9</f>
        <v>3310000000</v>
      </c>
      <c r="I21" s="3">
        <f>2.51 * 10^9</f>
        <v>2510000000</v>
      </c>
    </row>
    <row r="22" spans="1:9">
      <c r="A22" s="7"/>
      <c r="B22" s="7"/>
      <c r="C22" s="5" t="s">
        <v>98</v>
      </c>
      <c r="D22" s="2" t="s">
        <v>121</v>
      </c>
      <c r="E22" s="2" t="s">
        <v>122</v>
      </c>
      <c r="F22" s="2" t="s">
        <v>123</v>
      </c>
      <c r="G22" s="2" t="s">
        <v>124</v>
      </c>
      <c r="H22" s="2" t="s">
        <v>125</v>
      </c>
      <c r="I22" s="2" t="s">
        <v>126</v>
      </c>
    </row>
    <row r="23" spans="1:9">
      <c r="A23" s="7"/>
      <c r="B23" s="7" t="s">
        <v>3</v>
      </c>
      <c r="C23" s="5" t="s">
        <v>97</v>
      </c>
      <c r="D23" s="2">
        <v>5.3400000000000003E-2</v>
      </c>
      <c r="E23" s="2">
        <v>4.9500000000000002E-2</v>
      </c>
      <c r="F23" s="2">
        <v>4.0599999999999997E-2</v>
      </c>
      <c r="G23" s="2">
        <v>3.3399999999999999E-2</v>
      </c>
      <c r="H23" s="2">
        <v>3.1600000000000003E-2</v>
      </c>
      <c r="I23" s="2">
        <v>2.18E-2</v>
      </c>
    </row>
    <row r="24" spans="1:9">
      <c r="A24" s="7"/>
      <c r="B24" s="7"/>
      <c r="C24" s="5" t="s">
        <v>98</v>
      </c>
      <c r="D24" s="2" t="s">
        <v>107</v>
      </c>
      <c r="E24" s="2" t="s">
        <v>89</v>
      </c>
      <c r="F24" s="2" t="s">
        <v>90</v>
      </c>
      <c r="G24" s="2" t="s">
        <v>91</v>
      </c>
      <c r="H24" s="2" t="s">
        <v>92</v>
      </c>
      <c r="I24" s="2" t="s">
        <v>108</v>
      </c>
    </row>
  </sheetData>
  <mergeCells count="18">
    <mergeCell ref="D2:I2"/>
    <mergeCell ref="A2:C3"/>
    <mergeCell ref="B23:B24"/>
    <mergeCell ref="B11:B12"/>
    <mergeCell ref="B13:B14"/>
    <mergeCell ref="B15:B16"/>
    <mergeCell ref="B17:B18"/>
    <mergeCell ref="B19:B20"/>
    <mergeCell ref="B21:B22"/>
    <mergeCell ref="A4:A6"/>
    <mergeCell ref="A7:A12"/>
    <mergeCell ref="A13:A18"/>
    <mergeCell ref="A19:A24"/>
    <mergeCell ref="B4:C4"/>
    <mergeCell ref="B5:C5"/>
    <mergeCell ref="B6:C6"/>
    <mergeCell ref="B7:B8"/>
    <mergeCell ref="B9:B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C182-01FC-7840-812D-FB007EB7CC7C}">
  <dimension ref="A1:I9"/>
  <sheetViews>
    <sheetView workbookViewId="0"/>
  </sheetViews>
  <sheetFormatPr baseColWidth="10" defaultRowHeight="17"/>
  <cols>
    <col min="2" max="2" width="15.5" bestFit="1" customWidth="1"/>
  </cols>
  <sheetData>
    <row r="1" spans="1:9">
      <c r="A1" t="s">
        <v>127</v>
      </c>
    </row>
    <row r="2" spans="1:9">
      <c r="A2" s="7"/>
      <c r="B2" s="7"/>
      <c r="C2" s="7" t="s">
        <v>64</v>
      </c>
      <c r="D2" s="7"/>
      <c r="E2" s="7"/>
      <c r="F2" s="7"/>
      <c r="G2" s="7"/>
      <c r="H2" s="7"/>
      <c r="I2" s="7"/>
    </row>
    <row r="3" spans="1:9">
      <c r="A3" s="7"/>
      <c r="B3" s="7"/>
      <c r="C3" s="5">
        <v>0.05</v>
      </c>
      <c r="D3" s="5">
        <v>0.1</v>
      </c>
      <c r="E3" s="5">
        <v>0.25</v>
      </c>
      <c r="F3" s="5">
        <v>0.5</v>
      </c>
      <c r="G3" s="5">
        <v>0.75</v>
      </c>
      <c r="H3" s="5">
        <v>0.9</v>
      </c>
      <c r="I3" s="5">
        <v>0.95</v>
      </c>
    </row>
    <row r="4" spans="1:9">
      <c r="A4" s="12" t="s">
        <v>133</v>
      </c>
      <c r="B4" s="5" t="s">
        <v>128</v>
      </c>
      <c r="C4" s="2">
        <v>24.325299999999999</v>
      </c>
      <c r="D4" s="2">
        <v>33.816600000000001</v>
      </c>
      <c r="E4" s="2">
        <v>56.959899999999998</v>
      </c>
      <c r="F4" s="2">
        <v>63.6175</v>
      </c>
      <c r="G4" s="2">
        <v>74.957999999999998</v>
      </c>
      <c r="H4" s="2">
        <v>81.457999999999998</v>
      </c>
      <c r="I4" s="2">
        <v>86.704999999999998</v>
      </c>
    </row>
    <row r="5" spans="1:9">
      <c r="A5" s="7"/>
      <c r="B5" s="5" t="s">
        <v>130</v>
      </c>
      <c r="C5" s="2">
        <v>22.866599999999998</v>
      </c>
      <c r="D5" s="2">
        <v>31.882000000000001</v>
      </c>
      <c r="E5" s="2">
        <v>36.482199999999999</v>
      </c>
      <c r="F5" s="2">
        <v>42.768500000000003</v>
      </c>
      <c r="G5" s="2">
        <v>62.135300000000001</v>
      </c>
      <c r="H5" s="2">
        <v>63.859000000000002</v>
      </c>
      <c r="I5" s="2">
        <v>95.915999999999997</v>
      </c>
    </row>
    <row r="6" spans="1:9">
      <c r="A6" s="7"/>
      <c r="B6" s="5" t="s">
        <v>132</v>
      </c>
      <c r="C6" s="2">
        <v>26.535299999999999</v>
      </c>
      <c r="D6" s="2">
        <v>34.576099999999997</v>
      </c>
      <c r="E6" s="2">
        <v>37.168100000000003</v>
      </c>
      <c r="F6" s="2">
        <v>68.081900000000005</v>
      </c>
      <c r="G6" s="2">
        <v>89.708100000000002</v>
      </c>
      <c r="H6" s="2">
        <v>104.6784</v>
      </c>
      <c r="I6" s="2">
        <v>116.9453</v>
      </c>
    </row>
    <row r="7" spans="1:9" ht="17" customHeight="1">
      <c r="A7" s="12" t="s">
        <v>134</v>
      </c>
      <c r="B7" s="5" t="s">
        <v>128</v>
      </c>
      <c r="C7" s="2">
        <v>21.930199999999999</v>
      </c>
      <c r="D7" s="2">
        <v>30.5444</v>
      </c>
      <c r="E7" s="2">
        <v>34.311999999999998</v>
      </c>
      <c r="F7" s="2">
        <v>55.609099999999998</v>
      </c>
      <c r="G7" s="2">
        <v>82.062600000000003</v>
      </c>
      <c r="H7" s="2">
        <v>102.73480000000001</v>
      </c>
      <c r="I7" s="2">
        <v>111.6382</v>
      </c>
    </row>
    <row r="8" spans="1:9">
      <c r="A8" s="7"/>
      <c r="B8" s="5" t="s">
        <v>130</v>
      </c>
      <c r="C8" s="2">
        <v>10.0001</v>
      </c>
      <c r="D8" s="2">
        <v>10.0001</v>
      </c>
      <c r="E8" s="2">
        <v>18.369800000000001</v>
      </c>
      <c r="F8" s="2">
        <v>36.918199999999999</v>
      </c>
      <c r="G8" s="2">
        <v>47.444099999999999</v>
      </c>
      <c r="H8" s="2">
        <v>35.919699999999999</v>
      </c>
      <c r="I8" s="2">
        <v>39.150300000000001</v>
      </c>
    </row>
    <row r="9" spans="1:9">
      <c r="A9" s="7"/>
      <c r="B9" s="5" t="s">
        <v>132</v>
      </c>
      <c r="C9" s="2">
        <v>43.430599999999998</v>
      </c>
      <c r="D9" s="2">
        <v>57.516100000000002</v>
      </c>
      <c r="E9" s="2">
        <v>52.881999999999998</v>
      </c>
      <c r="F9" s="2">
        <v>77.898600000000002</v>
      </c>
      <c r="G9" s="2">
        <v>116.4379</v>
      </c>
      <c r="H9" s="2">
        <v>162.21520000000001</v>
      </c>
      <c r="I9" s="2">
        <v>178.3655</v>
      </c>
    </row>
  </sheetData>
  <mergeCells count="4">
    <mergeCell ref="C2:I2"/>
    <mergeCell ref="A4:A6"/>
    <mergeCell ref="A7:A9"/>
    <mergeCell ref="A2:B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4FE3-4B78-7B45-AC3A-53467428D04A}">
  <dimension ref="A1:I11"/>
  <sheetViews>
    <sheetView workbookViewId="0"/>
  </sheetViews>
  <sheetFormatPr baseColWidth="10" defaultRowHeight="17"/>
  <sheetData>
    <row r="1" spans="1:9">
      <c r="A1" t="s">
        <v>135</v>
      </c>
    </row>
    <row r="2" spans="1:9">
      <c r="A2" s="8"/>
      <c r="B2" s="9"/>
      <c r="C2" s="7" t="s">
        <v>64</v>
      </c>
      <c r="D2" s="7"/>
      <c r="E2" s="7"/>
      <c r="F2" s="7"/>
      <c r="G2" s="7"/>
      <c r="H2" s="7"/>
      <c r="I2" s="7"/>
    </row>
    <row r="3" spans="1:9">
      <c r="A3" s="10"/>
      <c r="B3" s="11"/>
      <c r="C3" s="5">
        <v>0.05</v>
      </c>
      <c r="D3" s="5">
        <v>0.1</v>
      </c>
      <c r="E3" s="5">
        <v>0.25</v>
      </c>
      <c r="F3" s="5">
        <v>0.5</v>
      </c>
      <c r="G3" s="5">
        <v>0.75</v>
      </c>
      <c r="H3" s="5">
        <v>0.9</v>
      </c>
      <c r="I3" s="5">
        <v>0.95</v>
      </c>
    </row>
    <row r="4" spans="1:9">
      <c r="A4" s="7" t="s">
        <v>136</v>
      </c>
      <c r="B4" s="5" t="s">
        <v>137</v>
      </c>
      <c r="C4" s="4">
        <v>-759.31230000000005</v>
      </c>
      <c r="D4" s="4">
        <v>-691.37850000000003</v>
      </c>
      <c r="E4" s="4">
        <v>-618.08389999999997</v>
      </c>
      <c r="F4" s="4">
        <v>-587.95299999999997</v>
      </c>
      <c r="G4" s="4">
        <v>-606.77120000000002</v>
      </c>
      <c r="H4" s="4">
        <v>-669.11369999999999</v>
      </c>
      <c r="I4" s="4">
        <v>-706.31039999999996</v>
      </c>
    </row>
    <row r="5" spans="1:9">
      <c r="A5" s="7"/>
      <c r="B5" s="5" t="s">
        <v>138</v>
      </c>
      <c r="C5" s="4">
        <v>-755.13109999999995</v>
      </c>
      <c r="D5" s="4">
        <v>-687.19730000000004</v>
      </c>
      <c r="E5" s="4">
        <v>-613.90269999999998</v>
      </c>
      <c r="F5" s="4">
        <v>-583.77170000000001</v>
      </c>
      <c r="G5" s="4">
        <v>-602.58989999999994</v>
      </c>
      <c r="H5" s="4">
        <v>-664.9325</v>
      </c>
      <c r="I5" s="4">
        <v>-702.12919999999997</v>
      </c>
    </row>
    <row r="6" spans="1:9">
      <c r="A6" s="7" t="s">
        <v>139</v>
      </c>
      <c r="B6" s="5" t="s">
        <v>137</v>
      </c>
      <c r="C6" s="4">
        <v>-376.06389999999999</v>
      </c>
      <c r="D6" s="4">
        <v>-292.88619999999997</v>
      </c>
      <c r="E6" s="4">
        <v>-182.93129999999999</v>
      </c>
      <c r="F6" s="4">
        <v>-99.753699999999995</v>
      </c>
      <c r="G6" s="4">
        <v>-51.097799999999999</v>
      </c>
      <c r="H6" s="4">
        <v>-29.2193</v>
      </c>
      <c r="I6" s="4">
        <v>-22.731200000000001</v>
      </c>
    </row>
    <row r="7" spans="1:9">
      <c r="A7" s="7"/>
      <c r="B7" s="5" t="s">
        <v>138</v>
      </c>
      <c r="C7" s="4">
        <v>-371.88260000000002</v>
      </c>
      <c r="D7" s="4">
        <v>-288.70499999999998</v>
      </c>
      <c r="E7" s="4">
        <v>-178.7501</v>
      </c>
      <c r="F7" s="4">
        <v>-95.572400000000002</v>
      </c>
      <c r="G7" s="4">
        <v>-46.916600000000003</v>
      </c>
      <c r="H7" s="4">
        <v>-25.038</v>
      </c>
      <c r="I7" s="4">
        <v>-18.55</v>
      </c>
    </row>
    <row r="8" spans="1:9">
      <c r="A8" s="7" t="s">
        <v>140</v>
      </c>
      <c r="B8" s="5" t="s">
        <v>137</v>
      </c>
      <c r="C8" s="4">
        <v>-376.06389999999999</v>
      </c>
      <c r="D8" s="4">
        <v>-292.88619999999997</v>
      </c>
      <c r="E8" s="4">
        <v>-182.93129999999999</v>
      </c>
      <c r="F8" s="4">
        <v>-99.753699999999995</v>
      </c>
      <c r="G8" s="4">
        <v>-51.097799999999999</v>
      </c>
      <c r="H8" s="4">
        <v>-29.2193</v>
      </c>
      <c r="I8" s="4">
        <v>-22.731200000000001</v>
      </c>
    </row>
    <row r="9" spans="1:9">
      <c r="A9" s="7"/>
      <c r="B9" s="5" t="s">
        <v>138</v>
      </c>
      <c r="C9" s="4">
        <v>-371.88260000000002</v>
      </c>
      <c r="D9" s="4">
        <v>-288.70499999999998</v>
      </c>
      <c r="E9" s="4">
        <v>-178.7501</v>
      </c>
      <c r="F9" s="4">
        <v>-95.572400000000002</v>
      </c>
      <c r="G9" s="4">
        <v>-46.916600000000003</v>
      </c>
      <c r="H9" s="4">
        <v>-25.038</v>
      </c>
      <c r="I9" s="4">
        <v>-18.55</v>
      </c>
    </row>
    <row r="10" spans="1:9">
      <c r="A10" s="7" t="s">
        <v>141</v>
      </c>
      <c r="B10" s="5" t="s">
        <v>137</v>
      </c>
      <c r="C10" s="4">
        <v>-509.90339999999998</v>
      </c>
      <c r="D10" s="4">
        <v>-444.08280000000002</v>
      </c>
      <c r="E10" s="4">
        <v>-338.31079999999997</v>
      </c>
      <c r="F10" s="4">
        <v>-352.74579999999997</v>
      </c>
      <c r="G10" s="4">
        <v>-203.6498</v>
      </c>
      <c r="H10" s="4">
        <v>-172.9811</v>
      </c>
      <c r="I10" s="4">
        <v>-163.35249999999999</v>
      </c>
    </row>
    <row r="11" spans="1:9">
      <c r="A11" s="7"/>
      <c r="B11" s="5" t="s">
        <v>138</v>
      </c>
      <c r="C11" s="4">
        <v>-505.72219999999999</v>
      </c>
      <c r="D11" s="4">
        <v>-439.90159999999997</v>
      </c>
      <c r="E11" s="4">
        <v>-334.12959999999998</v>
      </c>
      <c r="F11" s="4">
        <v>-348.56450000000001</v>
      </c>
      <c r="G11" s="4">
        <v>-199.46860000000001</v>
      </c>
      <c r="H11" s="4">
        <v>-168.7998</v>
      </c>
      <c r="I11" s="4">
        <v>-159.1713</v>
      </c>
    </row>
  </sheetData>
  <mergeCells count="6">
    <mergeCell ref="C2:I2"/>
    <mergeCell ref="A4:A5"/>
    <mergeCell ref="A6:A7"/>
    <mergeCell ref="A8:A9"/>
    <mergeCell ref="A10:A11"/>
    <mergeCell ref="A2:B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E510-D78F-1E47-8B23-A5C3E7A2AF63}">
  <dimension ref="A1:I13"/>
  <sheetViews>
    <sheetView zoomScaleNormal="100" workbookViewId="0"/>
  </sheetViews>
  <sheetFormatPr baseColWidth="10" defaultRowHeight="17"/>
  <cols>
    <col min="2" max="2" width="13.6640625" bestFit="1" customWidth="1"/>
  </cols>
  <sheetData>
    <row r="1" spans="1:9">
      <c r="A1" t="s">
        <v>142</v>
      </c>
    </row>
    <row r="2" spans="1:9">
      <c r="A2" s="7"/>
      <c r="B2" s="7"/>
      <c r="C2" s="7" t="s">
        <v>64</v>
      </c>
      <c r="D2" s="7"/>
      <c r="E2" s="7"/>
      <c r="F2" s="7"/>
      <c r="G2" s="7"/>
      <c r="H2" s="7"/>
      <c r="I2" s="7"/>
    </row>
    <row r="3" spans="1:9">
      <c r="A3" s="7"/>
      <c r="B3" s="7"/>
      <c r="C3" s="5">
        <v>0.05</v>
      </c>
      <c r="D3" s="5">
        <v>0.1</v>
      </c>
      <c r="E3" s="5">
        <v>0.25</v>
      </c>
      <c r="F3" s="5">
        <v>0.5</v>
      </c>
      <c r="G3" s="5">
        <v>0.75</v>
      </c>
      <c r="H3" s="5">
        <v>0.9</v>
      </c>
      <c r="I3" s="5">
        <v>0.95</v>
      </c>
    </row>
    <row r="4" spans="1:9">
      <c r="A4" s="12" t="s">
        <v>145</v>
      </c>
      <c r="B4" s="5" t="s">
        <v>1</v>
      </c>
      <c r="C4" s="2">
        <v>-0.02</v>
      </c>
      <c r="D4" s="2">
        <v>-1.6299999999999999E-2</v>
      </c>
      <c r="E4" s="2">
        <v>-1.3899999999999999E-2</v>
      </c>
      <c r="F4" s="2">
        <v>-1.35E-2</v>
      </c>
      <c r="G4" s="2">
        <v>-1.2699999999999999E-2</v>
      </c>
      <c r="H4" s="2">
        <v>-1.2500000000000001E-2</v>
      </c>
      <c r="I4" s="2">
        <v>-1.17E-2</v>
      </c>
    </row>
    <row r="5" spans="1:9">
      <c r="A5" s="12"/>
      <c r="B5" s="5" t="s">
        <v>3</v>
      </c>
      <c r="C5" s="2">
        <v>0.14169999999999999</v>
      </c>
      <c r="D5" s="2">
        <v>0.20449999999999999</v>
      </c>
      <c r="E5" s="2">
        <v>0.25309999999999999</v>
      </c>
      <c r="F5" s="2">
        <v>0.2409</v>
      </c>
      <c r="G5" s="2">
        <v>0.2104</v>
      </c>
      <c r="H5" s="2">
        <v>0.21260000000000001</v>
      </c>
      <c r="I5" s="2">
        <v>0.2407</v>
      </c>
    </row>
    <row r="6" spans="1:9">
      <c r="A6" s="12"/>
      <c r="B6" s="5" t="s">
        <v>11</v>
      </c>
      <c r="C6" s="2">
        <v>6.1000000000000004E-3</v>
      </c>
      <c r="D6" s="2">
        <v>6.1000000000000004E-3</v>
      </c>
      <c r="E6" s="2">
        <v>7.1999999999999998E-3</v>
      </c>
      <c r="F6" s="2">
        <v>9.7000000000000003E-3</v>
      </c>
      <c r="G6" s="2">
        <v>9.4000000000000004E-3</v>
      </c>
      <c r="H6" s="2">
        <v>7.7000000000000002E-3</v>
      </c>
      <c r="I6" s="2">
        <v>6.8999999999999999E-3</v>
      </c>
    </row>
    <row r="7" spans="1:9">
      <c r="A7" s="12"/>
      <c r="B7" s="5" t="s">
        <v>143</v>
      </c>
      <c r="C7" s="2">
        <v>2.1299999999999999E-2</v>
      </c>
      <c r="D7" s="2">
        <v>1.84E-2</v>
      </c>
      <c r="E7" s="2">
        <v>1.66E-2</v>
      </c>
      <c r="F7" s="2">
        <v>1.4500000000000001E-2</v>
      </c>
      <c r="G7" s="2">
        <v>2.2499999999999999E-2</v>
      </c>
      <c r="H7" s="2">
        <v>2.29E-2</v>
      </c>
      <c r="I7" s="2">
        <v>2.1700000000000001E-2</v>
      </c>
    </row>
    <row r="8" spans="1:9">
      <c r="A8" s="12"/>
      <c r="B8" s="5" t="s">
        <v>144</v>
      </c>
      <c r="C8" s="2">
        <v>2.5899999999999999E-2</v>
      </c>
      <c r="D8" s="2">
        <v>2.2800000000000001E-2</v>
      </c>
      <c r="E8" s="2">
        <v>2.1000000000000001E-2</v>
      </c>
      <c r="F8" s="2">
        <v>1.8200000000000001E-2</v>
      </c>
      <c r="G8" s="2">
        <v>2.6599999999999999E-2</v>
      </c>
      <c r="H8" s="2">
        <v>2.7E-2</v>
      </c>
      <c r="I8" s="2">
        <v>2.5700000000000001E-2</v>
      </c>
    </row>
    <row r="9" spans="1:9">
      <c r="A9" s="12" t="s">
        <v>146</v>
      </c>
      <c r="B9" s="5" t="s">
        <v>1</v>
      </c>
      <c r="C9" s="2">
        <v>-1.5299999999999999E-2</v>
      </c>
      <c r="D9" s="2">
        <v>-1.49E-2</v>
      </c>
      <c r="E9" s="2">
        <v>-1.37E-2</v>
      </c>
      <c r="F9" s="2">
        <v>-1.35E-2</v>
      </c>
      <c r="G9" s="2">
        <v>-1.2999999999999999E-2</v>
      </c>
      <c r="H9" s="2">
        <v>-1.2E-2</v>
      </c>
      <c r="I9" s="2">
        <v>-1.17E-2</v>
      </c>
    </row>
    <row r="10" spans="1:9">
      <c r="A10" s="12"/>
      <c r="B10" s="5" t="s">
        <v>3</v>
      </c>
      <c r="C10" s="2">
        <v>0.26279999999999998</v>
      </c>
      <c r="D10" s="2">
        <v>0.25219999999999998</v>
      </c>
      <c r="E10" s="2">
        <v>0.26779999999999998</v>
      </c>
      <c r="F10" s="2">
        <v>0.2409</v>
      </c>
      <c r="G10" s="2">
        <v>0.21729999999999999</v>
      </c>
      <c r="H10" s="2">
        <v>0.20150000000000001</v>
      </c>
      <c r="I10" s="2">
        <v>0.20349999999999999</v>
      </c>
    </row>
    <row r="11" spans="1:9">
      <c r="A11" s="12"/>
      <c r="B11" s="5" t="s">
        <v>42</v>
      </c>
      <c r="C11" s="2">
        <v>3.4200000000000001E-2</v>
      </c>
      <c r="D11" s="2">
        <v>2.7E-2</v>
      </c>
      <c r="E11" s="2">
        <v>2.3300000000000001E-2</v>
      </c>
      <c r="F11" s="2">
        <v>1.8200000000000001E-2</v>
      </c>
      <c r="G11" s="2">
        <v>2.2499999999999999E-2</v>
      </c>
      <c r="H11" s="2">
        <v>3.3799999999999997E-2</v>
      </c>
      <c r="I11" s="2">
        <v>3.5900000000000001E-2</v>
      </c>
    </row>
    <row r="12" spans="1:9">
      <c r="A12" s="12"/>
      <c r="B12" s="5" t="s">
        <v>143</v>
      </c>
      <c r="C12" s="2">
        <v>2.93E-2</v>
      </c>
      <c r="D12" s="2">
        <v>2.1999999999999999E-2</v>
      </c>
      <c r="E12" s="2">
        <v>1.8499999999999999E-2</v>
      </c>
      <c r="F12" s="2">
        <v>1.4500000000000001E-2</v>
      </c>
      <c r="G12" s="2">
        <v>1.8499999999999999E-2</v>
      </c>
      <c r="H12" s="2">
        <v>2.9100000000000001E-2</v>
      </c>
      <c r="I12" s="2">
        <v>3.1300000000000001E-2</v>
      </c>
    </row>
    <row r="13" spans="1:9">
      <c r="A13" s="12"/>
      <c r="B13" s="5" t="s">
        <v>144</v>
      </c>
      <c r="C13" s="2">
        <v>3.4200000000000001E-2</v>
      </c>
      <c r="D13" s="2">
        <v>2.7E-2</v>
      </c>
      <c r="E13" s="2">
        <v>2.3300000000000001E-2</v>
      </c>
      <c r="F13" s="2">
        <v>1.8200000000000001E-2</v>
      </c>
      <c r="G13" s="2">
        <v>2.2499999999999999E-2</v>
      </c>
      <c r="H13" s="2">
        <v>3.3799999999999997E-2</v>
      </c>
      <c r="I13" s="2">
        <v>3.5900000000000001E-2</v>
      </c>
    </row>
  </sheetData>
  <mergeCells count="4">
    <mergeCell ref="C2:I2"/>
    <mergeCell ref="A4:A8"/>
    <mergeCell ref="A9:A13"/>
    <mergeCell ref="A2:B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5CD9-EC38-6346-985B-BEE0747642B6}">
  <dimension ref="A1:J17"/>
  <sheetViews>
    <sheetView zoomScaleNormal="100" workbookViewId="0"/>
  </sheetViews>
  <sheetFormatPr baseColWidth="10" defaultRowHeight="17"/>
  <cols>
    <col min="2" max="2" width="8.1640625" bestFit="1" customWidth="1"/>
    <col min="3" max="3" width="5.33203125" bestFit="1" customWidth="1"/>
    <col min="4" max="4" width="13.6640625" bestFit="1" customWidth="1"/>
    <col min="5" max="6" width="12.83203125" bestFit="1" customWidth="1"/>
    <col min="7" max="7" width="13.6640625" bestFit="1" customWidth="1"/>
    <col min="8" max="9" width="12.83203125" bestFit="1" customWidth="1"/>
    <col min="10" max="10" width="14.33203125" bestFit="1" customWidth="1"/>
  </cols>
  <sheetData>
    <row r="1" spans="1:10">
      <c r="A1" t="s">
        <v>147</v>
      </c>
    </row>
    <row r="2" spans="1:10">
      <c r="A2" s="7"/>
      <c r="B2" s="7"/>
      <c r="C2" s="7"/>
      <c r="D2" s="7" t="s">
        <v>64</v>
      </c>
      <c r="E2" s="7"/>
      <c r="F2" s="7"/>
      <c r="G2" s="7"/>
      <c r="H2" s="7"/>
      <c r="I2" s="7"/>
      <c r="J2" s="7"/>
    </row>
    <row r="3" spans="1:10">
      <c r="A3" s="7"/>
      <c r="B3" s="7"/>
      <c r="C3" s="7"/>
      <c r="D3" s="5">
        <v>0.05</v>
      </c>
      <c r="E3" s="5">
        <v>0.1</v>
      </c>
      <c r="F3" s="5">
        <v>0.25</v>
      </c>
      <c r="G3" s="5">
        <v>0.5</v>
      </c>
      <c r="H3" s="5">
        <v>0.75</v>
      </c>
      <c r="I3" s="5">
        <v>0.9</v>
      </c>
      <c r="J3" s="5">
        <v>0.95</v>
      </c>
    </row>
    <row r="4" spans="1:10">
      <c r="A4" s="7" t="s">
        <v>149</v>
      </c>
      <c r="B4" s="7" t="s">
        <v>1</v>
      </c>
      <c r="C4" s="7"/>
      <c r="D4" s="2">
        <v>-0.02</v>
      </c>
      <c r="E4" s="2">
        <v>-1.6E-2</v>
      </c>
      <c r="F4" s="2">
        <v>-1.4E-2</v>
      </c>
      <c r="G4" s="2">
        <v>-1.4E-2</v>
      </c>
      <c r="H4" s="2">
        <v>-1.2999999999999999E-2</v>
      </c>
      <c r="I4" s="2">
        <v>-1.2999999999999999E-2</v>
      </c>
      <c r="J4" s="2">
        <v>-1.2E-2</v>
      </c>
    </row>
    <row r="5" spans="1:10">
      <c r="A5" s="7"/>
      <c r="B5" s="7" t="s">
        <v>3</v>
      </c>
      <c r="C5" s="7"/>
      <c r="D5" s="2">
        <v>0.14199999999999999</v>
      </c>
      <c r="E5" s="2">
        <v>0.20499999999999999</v>
      </c>
      <c r="F5" s="2">
        <v>0.253</v>
      </c>
      <c r="G5" s="2">
        <v>0.24099999999999999</v>
      </c>
      <c r="H5" s="2">
        <v>0.21</v>
      </c>
      <c r="I5" s="2">
        <v>0.21299999999999999</v>
      </c>
      <c r="J5" s="2">
        <v>0.24099999999999999</v>
      </c>
    </row>
    <row r="6" spans="1:10">
      <c r="A6" s="7" t="s">
        <v>158</v>
      </c>
      <c r="B6" s="7" t="s">
        <v>1</v>
      </c>
      <c r="C6" s="5" t="s">
        <v>150</v>
      </c>
      <c r="D6" s="2">
        <v>0.111</v>
      </c>
      <c r="E6" s="2">
        <v>6.2E-2</v>
      </c>
      <c r="F6" s="2">
        <v>2.1000000000000001E-2</v>
      </c>
      <c r="G6" s="2">
        <v>2.5000000000000001E-2</v>
      </c>
      <c r="H6" s="2">
        <v>4.4999999999999998E-2</v>
      </c>
      <c r="I6" s="2">
        <v>2.5999999999999999E-2</v>
      </c>
      <c r="J6" s="2">
        <v>4.5999999999999999E-2</v>
      </c>
    </row>
    <row r="7" spans="1:10">
      <c r="A7" s="7"/>
      <c r="B7" s="7"/>
      <c r="C7" s="5" t="s">
        <v>151</v>
      </c>
      <c r="D7" s="2" t="s">
        <v>152</v>
      </c>
      <c r="E7" s="2" t="s">
        <v>153</v>
      </c>
      <c r="F7" s="2" t="s">
        <v>154</v>
      </c>
      <c r="G7" s="2" t="s">
        <v>155</v>
      </c>
      <c r="H7" s="2" t="s">
        <v>156</v>
      </c>
      <c r="I7" s="2" t="s">
        <v>157</v>
      </c>
      <c r="J7" s="2" t="s">
        <v>191</v>
      </c>
    </row>
    <row r="8" spans="1:10">
      <c r="A8" s="7"/>
      <c r="B8" s="7" t="s">
        <v>3</v>
      </c>
      <c r="C8" s="5" t="s">
        <v>150</v>
      </c>
      <c r="D8" s="2">
        <v>1.9279999999999999</v>
      </c>
      <c r="E8" s="2">
        <v>1.321</v>
      </c>
      <c r="F8" s="2">
        <v>0.52900000000000003</v>
      </c>
      <c r="G8" s="2">
        <v>0.63</v>
      </c>
      <c r="H8" s="2">
        <v>1.2350000000000001</v>
      </c>
      <c r="I8" s="2">
        <v>0.71799999999999997</v>
      </c>
      <c r="J8" s="2">
        <v>1.3660000000000001</v>
      </c>
    </row>
    <row r="9" spans="1:10">
      <c r="A9" s="7"/>
      <c r="B9" s="7"/>
      <c r="C9" s="5" t="s">
        <v>151</v>
      </c>
      <c r="D9" s="2" t="s">
        <v>159</v>
      </c>
      <c r="E9" s="2" t="s">
        <v>160</v>
      </c>
      <c r="F9" s="2" t="s">
        <v>161</v>
      </c>
      <c r="G9" s="2" t="s">
        <v>162</v>
      </c>
      <c r="H9" s="2" t="s">
        <v>163</v>
      </c>
      <c r="I9" s="2" t="s">
        <v>164</v>
      </c>
      <c r="J9" s="2" t="s">
        <v>194</v>
      </c>
    </row>
    <row r="10" spans="1:10">
      <c r="A10" s="7" t="s">
        <v>171</v>
      </c>
      <c r="B10" s="7" t="s">
        <v>1</v>
      </c>
      <c r="C10" s="5" t="s">
        <v>150</v>
      </c>
      <c r="D10" s="2">
        <v>0.187</v>
      </c>
      <c r="E10" s="2">
        <v>0.186</v>
      </c>
      <c r="F10" s="2">
        <v>0.20300000000000001</v>
      </c>
      <c r="G10" s="2">
        <v>0.188</v>
      </c>
      <c r="H10" s="2">
        <v>0.17599999999999999</v>
      </c>
      <c r="I10" s="2">
        <v>0.17199999999999999</v>
      </c>
      <c r="J10" s="2">
        <v>0.16900000000000001</v>
      </c>
    </row>
    <row r="11" spans="1:10">
      <c r="A11" s="7"/>
      <c r="B11" s="7"/>
      <c r="C11" s="5" t="s">
        <v>151</v>
      </c>
      <c r="D11" s="2" t="s">
        <v>165</v>
      </c>
      <c r="E11" s="2" t="s">
        <v>166</v>
      </c>
      <c r="F11" s="2" t="s">
        <v>167</v>
      </c>
      <c r="G11" s="2" t="s">
        <v>168</v>
      </c>
      <c r="H11" s="2" t="s">
        <v>169</v>
      </c>
      <c r="I11" s="2" t="s">
        <v>170</v>
      </c>
      <c r="J11" s="2" t="s">
        <v>192</v>
      </c>
    </row>
    <row r="12" spans="1:10">
      <c r="A12" s="7"/>
      <c r="B12" s="7" t="s">
        <v>3</v>
      </c>
      <c r="C12" s="5" t="s">
        <v>150</v>
      </c>
      <c r="D12" s="2">
        <v>0.191</v>
      </c>
      <c r="E12" s="2">
        <v>0.191</v>
      </c>
      <c r="F12" s="2">
        <v>0.20499999999999999</v>
      </c>
      <c r="G12" s="2">
        <v>0.191</v>
      </c>
      <c r="H12" s="2">
        <v>0.184</v>
      </c>
      <c r="I12" s="2">
        <v>0.185</v>
      </c>
      <c r="J12" s="2">
        <v>0.19600000000000001</v>
      </c>
    </row>
    <row r="13" spans="1:10">
      <c r="A13" s="7"/>
      <c r="B13" s="7"/>
      <c r="C13" s="5" t="s">
        <v>151</v>
      </c>
      <c r="D13" s="2" t="s">
        <v>172</v>
      </c>
      <c r="E13" s="2" t="s">
        <v>173</v>
      </c>
      <c r="F13" s="2" t="s">
        <v>174</v>
      </c>
      <c r="G13" s="2" t="s">
        <v>175</v>
      </c>
      <c r="H13" s="2" t="s">
        <v>176</v>
      </c>
      <c r="I13" s="2" t="s">
        <v>177</v>
      </c>
      <c r="J13" s="2" t="s">
        <v>195</v>
      </c>
    </row>
    <row r="14" spans="1:10">
      <c r="A14" s="7" t="s">
        <v>184</v>
      </c>
      <c r="B14" s="7" t="s">
        <v>1</v>
      </c>
      <c r="C14" s="5" t="s">
        <v>150</v>
      </c>
      <c r="D14" s="2">
        <v>0.189</v>
      </c>
      <c r="E14" s="2">
        <v>0.185</v>
      </c>
      <c r="F14" s="2">
        <v>0.20399999999999999</v>
      </c>
      <c r="G14" s="2">
        <v>0.187</v>
      </c>
      <c r="H14" s="2">
        <v>0.17699999999999999</v>
      </c>
      <c r="I14" s="2">
        <v>0.17699999999999999</v>
      </c>
      <c r="J14" s="2">
        <v>0.16700000000000001</v>
      </c>
    </row>
    <row r="15" spans="1:10">
      <c r="A15" s="7"/>
      <c r="B15" s="7"/>
      <c r="C15" s="5" t="s">
        <v>151</v>
      </c>
      <c r="D15" s="2" t="s">
        <v>178</v>
      </c>
      <c r="E15" s="2" t="s">
        <v>179</v>
      </c>
      <c r="F15" s="2" t="s">
        <v>180</v>
      </c>
      <c r="G15" s="2" t="s">
        <v>181</v>
      </c>
      <c r="H15" s="2" t="s">
        <v>182</v>
      </c>
      <c r="I15" s="2" t="s">
        <v>183</v>
      </c>
      <c r="J15" s="2" t="s">
        <v>193</v>
      </c>
    </row>
    <row r="16" spans="1:10">
      <c r="A16" s="7"/>
      <c r="B16" s="7" t="s">
        <v>3</v>
      </c>
      <c r="C16" s="5" t="s">
        <v>150</v>
      </c>
      <c r="D16" s="2">
        <v>0.19400000000000001</v>
      </c>
      <c r="E16" s="2">
        <v>0.191</v>
      </c>
      <c r="F16" s="2">
        <v>0.20599999999999999</v>
      </c>
      <c r="G16" s="2">
        <v>0.191</v>
      </c>
      <c r="H16" s="2">
        <v>0.183</v>
      </c>
      <c r="I16" s="2">
        <v>0.189</v>
      </c>
      <c r="J16" s="2">
        <v>0.188</v>
      </c>
    </row>
    <row r="17" spans="1:10">
      <c r="A17" s="7"/>
      <c r="B17" s="7"/>
      <c r="C17" s="5" t="s">
        <v>151</v>
      </c>
      <c r="D17" s="2" t="s">
        <v>185</v>
      </c>
      <c r="E17" s="2" t="s">
        <v>186</v>
      </c>
      <c r="F17" s="2" t="s">
        <v>187</v>
      </c>
      <c r="G17" s="2" t="s">
        <v>188</v>
      </c>
      <c r="H17" s="2" t="s">
        <v>189</v>
      </c>
      <c r="I17" s="2" t="s">
        <v>190</v>
      </c>
      <c r="J17" s="2" t="s">
        <v>196</v>
      </c>
    </row>
  </sheetData>
  <mergeCells count="14">
    <mergeCell ref="B14:B15"/>
    <mergeCell ref="B16:B17"/>
    <mergeCell ref="D2:J2"/>
    <mergeCell ref="A2:C3"/>
    <mergeCell ref="B4:C4"/>
    <mergeCell ref="B5:C5"/>
    <mergeCell ref="A4:A5"/>
    <mergeCell ref="A6:A9"/>
    <mergeCell ref="A10:A13"/>
    <mergeCell ref="A14:A17"/>
    <mergeCell ref="B6:B7"/>
    <mergeCell ref="B8:B9"/>
    <mergeCell ref="B10:B11"/>
    <mergeCell ref="B12:B1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77103-D0E9-7646-88EB-ED767B0C1141}">
  <dimension ref="A1:I9"/>
  <sheetViews>
    <sheetView workbookViewId="0"/>
  </sheetViews>
  <sheetFormatPr baseColWidth="10" defaultRowHeight="17"/>
  <cols>
    <col min="2" max="2" width="15" bestFit="1" customWidth="1"/>
    <col min="9" max="9" width="12" bestFit="1" customWidth="1"/>
  </cols>
  <sheetData>
    <row r="1" spans="1:9">
      <c r="A1" t="s">
        <v>148</v>
      </c>
    </row>
    <row r="2" spans="1:9">
      <c r="A2" s="8"/>
      <c r="B2" s="9"/>
      <c r="C2" s="7" t="s">
        <v>64</v>
      </c>
      <c r="D2" s="7"/>
      <c r="E2" s="7"/>
      <c r="F2" s="7"/>
      <c r="G2" s="7"/>
      <c r="H2" s="7"/>
      <c r="I2" s="7"/>
    </row>
    <row r="3" spans="1:9">
      <c r="A3" s="10"/>
      <c r="B3" s="11"/>
      <c r="C3" s="5">
        <v>0.05</v>
      </c>
      <c r="D3" s="5">
        <v>0.1</v>
      </c>
      <c r="E3" s="5">
        <v>0.25</v>
      </c>
      <c r="F3" s="5">
        <v>0.5</v>
      </c>
      <c r="G3" s="5">
        <v>0.75</v>
      </c>
      <c r="H3" s="5">
        <v>0.9</v>
      </c>
      <c r="I3" s="5">
        <v>0.95</v>
      </c>
    </row>
    <row r="4" spans="1:9">
      <c r="A4" s="12" t="s">
        <v>197</v>
      </c>
      <c r="B4" s="5" t="s">
        <v>128</v>
      </c>
      <c r="C4" s="6">
        <v>1838.93</v>
      </c>
      <c r="D4" s="6">
        <v>11175.29</v>
      </c>
      <c r="E4" s="6">
        <v>77486</v>
      </c>
      <c r="F4" s="6">
        <v>116819.73</v>
      </c>
      <c r="G4" s="6">
        <v>224400.97</v>
      </c>
      <c r="H4" s="6">
        <v>247010.59</v>
      </c>
      <c r="I4" s="6">
        <v>426285.72</v>
      </c>
    </row>
    <row r="5" spans="1:9">
      <c r="A5" s="7"/>
      <c r="B5" s="5" t="s">
        <v>129</v>
      </c>
      <c r="C5" s="2">
        <v>707.77</v>
      </c>
      <c r="D5" s="6">
        <v>5844.6</v>
      </c>
      <c r="E5" s="6">
        <v>52983.31</v>
      </c>
      <c r="F5" s="6">
        <v>12452.31</v>
      </c>
      <c r="G5" s="6">
        <v>63064.19</v>
      </c>
      <c r="H5" s="6">
        <v>65257.66</v>
      </c>
      <c r="I5" s="6">
        <v>291706.46999999997</v>
      </c>
    </row>
    <row r="6" spans="1:9">
      <c r="A6" s="7"/>
      <c r="B6" s="5" t="s">
        <v>131</v>
      </c>
      <c r="C6" s="6">
        <v>4363.91</v>
      </c>
      <c r="D6" s="6">
        <v>28242.18</v>
      </c>
      <c r="E6" s="6">
        <v>120144.66</v>
      </c>
      <c r="F6" s="6">
        <v>304672.09000000003</v>
      </c>
      <c r="G6" s="6">
        <v>529708.22</v>
      </c>
      <c r="H6" s="6">
        <v>729458.96</v>
      </c>
      <c r="I6" s="6">
        <v>3609921.58</v>
      </c>
    </row>
    <row r="7" spans="1:9">
      <c r="A7" s="12" t="s">
        <v>134</v>
      </c>
      <c r="B7" s="5" t="s">
        <v>128</v>
      </c>
      <c r="C7" s="6">
        <v>40856.33</v>
      </c>
      <c r="D7" s="6">
        <v>45828.42</v>
      </c>
      <c r="E7" s="6">
        <v>101730.02</v>
      </c>
      <c r="F7" s="6">
        <v>115673.33</v>
      </c>
      <c r="G7" s="6">
        <v>151934.1</v>
      </c>
      <c r="H7" s="6">
        <v>312518.12</v>
      </c>
      <c r="I7" s="6">
        <v>657720.31999999995</v>
      </c>
    </row>
    <row r="8" spans="1:9">
      <c r="A8" s="7"/>
      <c r="B8" s="5" t="s">
        <v>129</v>
      </c>
      <c r="C8" s="2">
        <v>88.82</v>
      </c>
      <c r="D8" s="2">
        <v>262.10000000000002</v>
      </c>
      <c r="E8" s="6">
        <v>1546.73</v>
      </c>
      <c r="F8" s="6">
        <v>2878.29</v>
      </c>
      <c r="G8" s="6">
        <v>2412.9899999999998</v>
      </c>
      <c r="H8" s="2">
        <v>545.86</v>
      </c>
      <c r="I8" s="2">
        <v>323.04000000000002</v>
      </c>
    </row>
    <row r="9" spans="1:9">
      <c r="A9" s="7"/>
      <c r="B9" s="5" t="s">
        <v>131</v>
      </c>
      <c r="C9" s="3">
        <f xml:space="preserve"> 7.73 * 10^6</f>
        <v>7730000</v>
      </c>
      <c r="D9" s="3">
        <f>3.41 * 10^6</f>
        <v>3410000</v>
      </c>
      <c r="E9" s="3">
        <f>7.74 * 10^6</f>
        <v>7740000</v>
      </c>
      <c r="F9" s="3">
        <f>2.96 * 10^6</f>
        <v>2960000</v>
      </c>
      <c r="G9" s="3">
        <f>1.17 * 10^7</f>
        <v>11700000</v>
      </c>
      <c r="H9" s="3">
        <f>5.57 * 10^8</f>
        <v>557000000</v>
      </c>
      <c r="I9" s="3">
        <f>1.16 * 10^9</f>
        <v>1160000000</v>
      </c>
    </row>
  </sheetData>
  <mergeCells count="4">
    <mergeCell ref="A4:A6"/>
    <mergeCell ref="A7:A9"/>
    <mergeCell ref="C2:I2"/>
    <mergeCell ref="A2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8016-4A84-6F48-9BAA-035F2C1BD3D1}">
  <dimension ref="A1:C10"/>
  <sheetViews>
    <sheetView workbookViewId="0"/>
  </sheetViews>
  <sheetFormatPr baseColWidth="10" defaultRowHeight="17"/>
  <cols>
    <col min="1" max="1" width="21.6640625" customWidth="1"/>
    <col min="2" max="2" width="28.1640625" customWidth="1"/>
    <col min="3" max="3" width="34.1640625" customWidth="1"/>
  </cols>
  <sheetData>
    <row r="1" spans="1:3">
      <c r="A1" t="s">
        <v>198</v>
      </c>
    </row>
    <row r="2" spans="1:3">
      <c r="A2" s="5" t="s">
        <v>199</v>
      </c>
      <c r="B2" s="5" t="s">
        <v>205</v>
      </c>
      <c r="C2" s="5" t="s">
        <v>213</v>
      </c>
    </row>
    <row r="3" spans="1:3">
      <c r="A3" s="2" t="s">
        <v>200</v>
      </c>
      <c r="B3" s="2">
        <v>3</v>
      </c>
      <c r="C3" s="2" t="s">
        <v>206</v>
      </c>
    </row>
    <row r="4" spans="1:3">
      <c r="A4" s="2" t="s">
        <v>201</v>
      </c>
      <c r="B4" s="2">
        <v>6</v>
      </c>
      <c r="C4" s="2" t="s">
        <v>207</v>
      </c>
    </row>
    <row r="5" spans="1:3">
      <c r="A5" s="1"/>
      <c r="B5" s="1"/>
      <c r="C5" s="1"/>
    </row>
    <row r="6" spans="1:3">
      <c r="A6" s="5" t="s">
        <v>202</v>
      </c>
      <c r="B6" s="5" t="s">
        <v>204</v>
      </c>
      <c r="C6" s="5" t="s">
        <v>211</v>
      </c>
    </row>
    <row r="7" spans="1:3">
      <c r="A7" s="2" t="s">
        <v>200</v>
      </c>
      <c r="B7" s="2">
        <v>5</v>
      </c>
      <c r="C7" s="2" t="s">
        <v>208</v>
      </c>
    </row>
    <row r="8" spans="1:3">
      <c r="A8" s="2" t="s">
        <v>201</v>
      </c>
      <c r="B8" s="2">
        <v>10</v>
      </c>
      <c r="C8" s="2" t="s">
        <v>209</v>
      </c>
    </row>
    <row r="9" spans="1:3">
      <c r="A9" s="13" t="s">
        <v>203</v>
      </c>
      <c r="B9" s="13">
        <v>15</v>
      </c>
      <c r="C9" s="2" t="s">
        <v>210</v>
      </c>
    </row>
    <row r="10" spans="1:3">
      <c r="A10" s="13"/>
      <c r="B10" s="13"/>
      <c r="C10" s="2" t="s">
        <v>212</v>
      </c>
    </row>
  </sheetData>
  <mergeCells count="2">
    <mergeCell ref="B9:B10"/>
    <mergeCell ref="A9:A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2C46-BFE0-234D-B1BE-6DDF107FE976}">
  <dimension ref="A1:K39"/>
  <sheetViews>
    <sheetView zoomScaleNormal="100" workbookViewId="0"/>
  </sheetViews>
  <sheetFormatPr baseColWidth="10" defaultRowHeight="17"/>
  <cols>
    <col min="1" max="1" width="14" customWidth="1"/>
  </cols>
  <sheetData>
    <row r="1" spans="1:11">
      <c r="A1" t="s">
        <v>214</v>
      </c>
    </row>
    <row r="2" spans="1:11">
      <c r="A2" s="12" t="s">
        <v>223</v>
      </c>
      <c r="B2" s="7" t="s">
        <v>217</v>
      </c>
      <c r="C2" s="7" t="s">
        <v>218</v>
      </c>
      <c r="D2" s="7" t="s">
        <v>219</v>
      </c>
      <c r="E2" s="7" t="s">
        <v>64</v>
      </c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5">
        <v>0.05</v>
      </c>
      <c r="F3" s="5">
        <v>0.1</v>
      </c>
      <c r="G3" s="5">
        <v>0.25</v>
      </c>
      <c r="H3" s="5">
        <v>0.5</v>
      </c>
      <c r="I3" s="5">
        <v>0.75</v>
      </c>
      <c r="J3" s="5">
        <v>0.9</v>
      </c>
      <c r="K3" s="5">
        <v>0.95</v>
      </c>
    </row>
    <row r="4" spans="1:11">
      <c r="A4" s="13" t="s">
        <v>220</v>
      </c>
      <c r="B4" s="13">
        <v>3</v>
      </c>
      <c r="C4" s="13">
        <v>5</v>
      </c>
      <c r="D4" s="4" t="s">
        <v>215</v>
      </c>
      <c r="E4" s="4">
        <v>9.8400000000000001E-2</v>
      </c>
      <c r="F4" s="4">
        <v>8.2500000000000004E-2</v>
      </c>
      <c r="G4" s="4">
        <v>4.4200000000000003E-2</v>
      </c>
      <c r="H4" s="4">
        <v>2.4799999999999999E-2</v>
      </c>
      <c r="I4" s="4">
        <v>4.3999999999999997E-2</v>
      </c>
      <c r="J4" s="4">
        <v>8.2600000000000007E-2</v>
      </c>
      <c r="K4" s="4">
        <v>9.8100000000000007E-2</v>
      </c>
    </row>
    <row r="5" spans="1:11">
      <c r="A5" s="13"/>
      <c r="B5" s="13"/>
      <c r="C5" s="13"/>
      <c r="D5" s="4" t="s">
        <v>216</v>
      </c>
      <c r="E5" s="4">
        <v>9.4799999999999995E-2</v>
      </c>
      <c r="F5" s="4">
        <v>6.7199999999999996E-2</v>
      </c>
      <c r="G5" s="4">
        <v>3.6999999999999998E-2</v>
      </c>
      <c r="H5" s="4">
        <v>2.5499999999999998E-2</v>
      </c>
      <c r="I5" s="4">
        <v>3.6900000000000002E-2</v>
      </c>
      <c r="J5" s="4">
        <v>6.7100000000000007E-2</v>
      </c>
      <c r="K5" s="4">
        <v>9.4500000000000001E-2</v>
      </c>
    </row>
    <row r="6" spans="1:11">
      <c r="A6" s="13"/>
      <c r="B6" s="13">
        <v>3</v>
      </c>
      <c r="C6" s="13">
        <v>10</v>
      </c>
      <c r="D6" s="4" t="s">
        <v>215</v>
      </c>
      <c r="E6" s="4">
        <v>0.1055</v>
      </c>
      <c r="F6" s="4">
        <v>8.9899999999999994E-2</v>
      </c>
      <c r="G6" s="4">
        <v>4.6300000000000001E-2</v>
      </c>
      <c r="H6" s="4">
        <v>2.5100000000000001E-2</v>
      </c>
      <c r="I6" s="4">
        <v>4.6199999999999998E-2</v>
      </c>
      <c r="J6" s="4">
        <v>8.7999999999999995E-2</v>
      </c>
      <c r="K6" s="4">
        <v>0.1042</v>
      </c>
    </row>
    <row r="7" spans="1:11">
      <c r="A7" s="13"/>
      <c r="B7" s="13"/>
      <c r="C7" s="13"/>
      <c r="D7" s="4" t="s">
        <v>216</v>
      </c>
      <c r="E7" s="4">
        <v>9.4700000000000006E-2</v>
      </c>
      <c r="F7" s="4">
        <v>6.8099999999999994E-2</v>
      </c>
      <c r="G7" s="4">
        <v>3.7499999999999999E-2</v>
      </c>
      <c r="H7" s="4">
        <v>2.5700000000000001E-2</v>
      </c>
      <c r="I7" s="4">
        <v>3.7400000000000003E-2</v>
      </c>
      <c r="J7" s="4">
        <v>6.7500000000000004E-2</v>
      </c>
      <c r="K7" s="4">
        <v>9.5200000000000007E-2</v>
      </c>
    </row>
    <row r="8" spans="1:11">
      <c r="A8" s="13"/>
      <c r="B8" s="13">
        <v>3</v>
      </c>
      <c r="C8" s="13">
        <v>15</v>
      </c>
      <c r="D8" s="4" t="s">
        <v>215</v>
      </c>
      <c r="E8" s="4">
        <v>0.1094</v>
      </c>
      <c r="F8" s="4">
        <v>9.3100000000000002E-2</v>
      </c>
      <c r="G8" s="4">
        <v>4.7E-2</v>
      </c>
      <c r="H8" s="4">
        <v>2.5000000000000001E-2</v>
      </c>
      <c r="I8" s="4">
        <v>4.6800000000000001E-2</v>
      </c>
      <c r="J8" s="4">
        <v>9.2600000000000002E-2</v>
      </c>
      <c r="K8" s="4">
        <v>0.1071</v>
      </c>
    </row>
    <row r="9" spans="1:11">
      <c r="A9" s="13"/>
      <c r="B9" s="13"/>
      <c r="C9" s="13"/>
      <c r="D9" s="4" t="s">
        <v>216</v>
      </c>
      <c r="E9" s="4">
        <v>9.4399999999999998E-2</v>
      </c>
      <c r="F9" s="4">
        <v>6.7500000000000004E-2</v>
      </c>
      <c r="G9" s="4">
        <v>3.7199999999999997E-2</v>
      </c>
      <c r="H9" s="4">
        <v>2.5499999999999998E-2</v>
      </c>
      <c r="I9" s="4">
        <v>3.6999999999999998E-2</v>
      </c>
      <c r="J9" s="4">
        <v>6.7599999999999993E-2</v>
      </c>
      <c r="K9" s="4">
        <v>9.4200000000000006E-2</v>
      </c>
    </row>
    <row r="10" spans="1:11">
      <c r="A10" s="13"/>
      <c r="B10" s="13">
        <v>6</v>
      </c>
      <c r="C10" s="13">
        <v>5</v>
      </c>
      <c r="D10" s="4" t="s">
        <v>215</v>
      </c>
      <c r="E10" s="4">
        <v>0.1053</v>
      </c>
      <c r="F10" s="4">
        <v>8.9700000000000002E-2</v>
      </c>
      <c r="G10" s="4">
        <v>4.6199999999999998E-2</v>
      </c>
      <c r="H10" s="4">
        <v>2.5000000000000001E-2</v>
      </c>
      <c r="I10" s="4">
        <v>4.6199999999999998E-2</v>
      </c>
      <c r="J10" s="4">
        <v>8.8200000000000001E-2</v>
      </c>
      <c r="K10" s="4">
        <v>0.10390000000000001</v>
      </c>
    </row>
    <row r="11" spans="1:11">
      <c r="A11" s="13"/>
      <c r="B11" s="13"/>
      <c r="C11" s="13"/>
      <c r="D11" s="4" t="s">
        <v>216</v>
      </c>
      <c r="E11" s="4">
        <v>9.4299999999999995E-2</v>
      </c>
      <c r="F11" s="4">
        <v>6.7799999999999999E-2</v>
      </c>
      <c r="G11" s="4">
        <v>3.7199999999999997E-2</v>
      </c>
      <c r="H11" s="4">
        <v>2.5600000000000001E-2</v>
      </c>
      <c r="I11" s="4">
        <v>3.7100000000000001E-2</v>
      </c>
      <c r="J11" s="4">
        <v>6.7299999999999999E-2</v>
      </c>
      <c r="K11" s="4">
        <v>9.4799999999999995E-2</v>
      </c>
    </row>
    <row r="12" spans="1:11">
      <c r="A12" s="13"/>
      <c r="B12" s="13">
        <v>6</v>
      </c>
      <c r="C12" s="13">
        <v>10</v>
      </c>
      <c r="D12" s="4" t="s">
        <v>215</v>
      </c>
      <c r="E12" s="4">
        <v>0.11169999999999999</v>
      </c>
      <c r="F12" s="4">
        <v>9.4799999999999995E-2</v>
      </c>
      <c r="G12" s="4">
        <v>4.8399999999999999E-2</v>
      </c>
      <c r="H12" s="4">
        <v>2.5100000000000001E-2</v>
      </c>
      <c r="I12" s="4">
        <v>4.8000000000000001E-2</v>
      </c>
      <c r="J12" s="4">
        <v>9.5399999999999999E-2</v>
      </c>
      <c r="K12" s="4">
        <v>0.1115</v>
      </c>
    </row>
    <row r="13" spans="1:11">
      <c r="A13" s="13"/>
      <c r="B13" s="13"/>
      <c r="C13" s="13"/>
      <c r="D13" s="4" t="s">
        <v>216</v>
      </c>
      <c r="E13" s="4">
        <v>9.4799999999999995E-2</v>
      </c>
      <c r="F13" s="4">
        <v>6.7599999999999993E-2</v>
      </c>
      <c r="G13" s="4">
        <v>3.7199999999999997E-2</v>
      </c>
      <c r="H13" s="4">
        <v>2.5499999999999998E-2</v>
      </c>
      <c r="I13" s="4">
        <v>3.7199999999999997E-2</v>
      </c>
      <c r="J13" s="4">
        <v>6.7400000000000002E-2</v>
      </c>
      <c r="K13" s="4">
        <v>9.4700000000000006E-2</v>
      </c>
    </row>
    <row r="14" spans="1:11">
      <c r="A14" s="13"/>
      <c r="B14" s="13">
        <v>6</v>
      </c>
      <c r="C14" s="13">
        <v>15</v>
      </c>
      <c r="D14" s="4" t="s">
        <v>215</v>
      </c>
      <c r="E14" s="4">
        <v>0.1145</v>
      </c>
      <c r="F14" s="4">
        <v>9.6199999999999994E-2</v>
      </c>
      <c r="G14" s="4">
        <v>4.9700000000000001E-2</v>
      </c>
      <c r="H14" s="4">
        <v>2.5000000000000001E-2</v>
      </c>
      <c r="I14" s="4">
        <v>5.0200000000000002E-2</v>
      </c>
      <c r="J14" s="4">
        <v>9.8900000000000002E-2</v>
      </c>
      <c r="K14" s="4">
        <v>0.1145</v>
      </c>
    </row>
    <row r="15" spans="1:11">
      <c r="A15" s="13"/>
      <c r="B15" s="13"/>
      <c r="C15" s="13"/>
      <c r="D15" s="4" t="s">
        <v>216</v>
      </c>
      <c r="E15" s="4">
        <v>9.4399999999999998E-2</v>
      </c>
      <c r="F15" s="4">
        <v>6.7599999999999993E-2</v>
      </c>
      <c r="G15" s="4">
        <v>3.7199999999999997E-2</v>
      </c>
      <c r="H15" s="4">
        <v>2.5499999999999998E-2</v>
      </c>
      <c r="I15" s="4">
        <v>3.7100000000000001E-2</v>
      </c>
      <c r="J15" s="4">
        <v>6.7299999999999999E-2</v>
      </c>
      <c r="K15" s="4">
        <v>9.4700000000000006E-2</v>
      </c>
    </row>
    <row r="16" spans="1:11">
      <c r="A16" s="13" t="s">
        <v>221</v>
      </c>
      <c r="B16" s="13">
        <v>3</v>
      </c>
      <c r="C16" s="13">
        <v>5</v>
      </c>
      <c r="D16" s="4" t="s">
        <v>215</v>
      </c>
      <c r="E16" s="4">
        <v>2.3576999999999999</v>
      </c>
      <c r="F16" s="4">
        <v>2.1185</v>
      </c>
      <c r="G16" s="4">
        <v>1.6134999999999999</v>
      </c>
      <c r="H16" s="4">
        <v>1.2826</v>
      </c>
      <c r="I16" s="4">
        <v>1.6241000000000001</v>
      </c>
      <c r="J16" s="4">
        <v>2.1435</v>
      </c>
      <c r="K16" s="4">
        <v>2.4106000000000001</v>
      </c>
    </row>
    <row r="17" spans="1:11">
      <c r="A17" s="13"/>
      <c r="B17" s="13"/>
      <c r="C17" s="13"/>
      <c r="D17" s="4" t="s">
        <v>216</v>
      </c>
      <c r="E17" s="4">
        <v>6.0003000000000002</v>
      </c>
      <c r="F17" s="4">
        <v>2.9022000000000001</v>
      </c>
      <c r="G17" s="4">
        <v>1.6627000000000001</v>
      </c>
      <c r="H17" s="4">
        <v>1.2818000000000001</v>
      </c>
      <c r="I17" s="4">
        <v>1.6928000000000001</v>
      </c>
      <c r="J17" s="4">
        <v>2.9365000000000001</v>
      </c>
      <c r="K17" s="4">
        <v>7.3990999999999998</v>
      </c>
    </row>
    <row r="18" spans="1:11">
      <c r="A18" s="13"/>
      <c r="B18" s="13">
        <v>3</v>
      </c>
      <c r="C18" s="13">
        <v>10</v>
      </c>
      <c r="D18" s="4" t="s">
        <v>215</v>
      </c>
      <c r="E18" s="4">
        <v>2.4302999999999999</v>
      </c>
      <c r="F18" s="4">
        <v>2.1739000000000002</v>
      </c>
      <c r="G18" s="4">
        <v>1.6147</v>
      </c>
      <c r="H18" s="4">
        <v>1.2784</v>
      </c>
      <c r="I18" s="4">
        <v>1.6434</v>
      </c>
      <c r="J18" s="4">
        <v>2.2526999999999999</v>
      </c>
      <c r="K18" s="4">
        <v>2.5535000000000001</v>
      </c>
    </row>
    <row r="19" spans="1:11">
      <c r="A19" s="13"/>
      <c r="B19" s="13"/>
      <c r="C19" s="13"/>
      <c r="D19" s="4" t="s">
        <v>216</v>
      </c>
      <c r="E19" s="4">
        <v>5.6459999999999999</v>
      </c>
      <c r="F19" s="4">
        <v>2.8974000000000002</v>
      </c>
      <c r="G19" s="4">
        <v>1.6681999999999999</v>
      </c>
      <c r="H19" s="4">
        <v>1.2781</v>
      </c>
      <c r="I19" s="4">
        <v>1.6973</v>
      </c>
      <c r="J19" s="4">
        <v>2.7825000000000002</v>
      </c>
      <c r="K19" s="4">
        <v>7.4124999999999996</v>
      </c>
    </row>
    <row r="20" spans="1:11">
      <c r="A20" s="13"/>
      <c r="B20" s="13">
        <v>3</v>
      </c>
      <c r="C20" s="13">
        <v>15</v>
      </c>
      <c r="D20" s="4" t="s">
        <v>215</v>
      </c>
      <c r="E20" s="4">
        <v>2.5630999999999999</v>
      </c>
      <c r="F20" s="4">
        <v>2.2698</v>
      </c>
      <c r="G20" s="4">
        <v>1.6611</v>
      </c>
      <c r="H20" s="4">
        <v>1.2858000000000001</v>
      </c>
      <c r="I20" s="4">
        <v>1.6837</v>
      </c>
      <c r="J20" s="4">
        <v>2.3551000000000002</v>
      </c>
      <c r="K20" s="4">
        <v>2.6501000000000001</v>
      </c>
    </row>
    <row r="21" spans="1:11">
      <c r="A21" s="13"/>
      <c r="B21" s="13"/>
      <c r="C21" s="13"/>
      <c r="D21" s="4" t="s">
        <v>216</v>
      </c>
      <c r="E21" s="4">
        <v>5.5929000000000002</v>
      </c>
      <c r="F21" s="4">
        <v>2.9388000000000001</v>
      </c>
      <c r="G21" s="4">
        <v>1.6843999999999999</v>
      </c>
      <c r="H21" s="4">
        <v>1.2857000000000001</v>
      </c>
      <c r="I21" s="4">
        <v>1.7305999999999999</v>
      </c>
      <c r="J21" s="4">
        <v>2.7703000000000002</v>
      </c>
      <c r="K21" s="4">
        <v>7.4279999999999999</v>
      </c>
    </row>
    <row r="22" spans="1:11">
      <c r="A22" s="13"/>
      <c r="B22" s="13">
        <v>6</v>
      </c>
      <c r="C22" s="13">
        <v>5</v>
      </c>
      <c r="D22" s="4" t="s">
        <v>215</v>
      </c>
      <c r="E22" s="4">
        <v>2.1854</v>
      </c>
      <c r="F22" s="4">
        <v>1.9849000000000001</v>
      </c>
      <c r="G22" s="4">
        <v>1.5765</v>
      </c>
      <c r="H22" s="4">
        <v>1.2807999999999999</v>
      </c>
      <c r="I22" s="4">
        <v>1.6080000000000001</v>
      </c>
      <c r="J22" s="4">
        <v>2.0888</v>
      </c>
      <c r="K22" s="4">
        <v>2.2463000000000002</v>
      </c>
    </row>
    <row r="23" spans="1:11">
      <c r="A23" s="13"/>
      <c r="B23" s="13"/>
      <c r="C23" s="13"/>
      <c r="D23" s="4" t="s">
        <v>216</v>
      </c>
      <c r="E23" s="4">
        <v>6.6136999999999997</v>
      </c>
      <c r="F23" s="4">
        <v>2.7486000000000002</v>
      </c>
      <c r="G23" s="4">
        <v>1.633</v>
      </c>
      <c r="H23" s="4">
        <v>1.2805</v>
      </c>
      <c r="I23" s="4">
        <v>1.6738999999999999</v>
      </c>
      <c r="J23" s="4">
        <v>4.0454999999999997</v>
      </c>
      <c r="K23" s="4">
        <v>6.7426000000000004</v>
      </c>
    </row>
    <row r="24" spans="1:11">
      <c r="A24" s="13"/>
      <c r="B24" s="13">
        <v>6</v>
      </c>
      <c r="C24" s="13">
        <v>10</v>
      </c>
      <c r="D24" s="4" t="s">
        <v>215</v>
      </c>
      <c r="E24" s="4">
        <v>2.2161</v>
      </c>
      <c r="F24" s="4">
        <v>2.0341</v>
      </c>
      <c r="G24" s="4">
        <v>1.6089</v>
      </c>
      <c r="H24" s="4">
        <v>1.2885</v>
      </c>
      <c r="I24" s="4">
        <v>1.6282000000000001</v>
      </c>
      <c r="J24" s="4">
        <v>2.1374</v>
      </c>
      <c r="K24" s="4">
        <v>2.3677000000000001</v>
      </c>
    </row>
    <row r="25" spans="1:11">
      <c r="A25" s="13"/>
      <c r="B25" s="13"/>
      <c r="C25" s="13"/>
      <c r="D25" s="4" t="s">
        <v>216</v>
      </c>
      <c r="E25" s="4">
        <v>6.7686000000000002</v>
      </c>
      <c r="F25" s="4">
        <v>2.7382</v>
      </c>
      <c r="G25" s="4">
        <v>1.6419999999999999</v>
      </c>
      <c r="H25" s="4">
        <v>1.2885</v>
      </c>
      <c r="I25" s="4">
        <v>1.6895</v>
      </c>
      <c r="J25" s="4">
        <v>4.1677</v>
      </c>
      <c r="K25" s="4">
        <v>6.7758000000000003</v>
      </c>
    </row>
    <row r="26" spans="1:11">
      <c r="A26" s="13"/>
      <c r="B26" s="13">
        <v>6</v>
      </c>
      <c r="C26" s="13">
        <v>15</v>
      </c>
      <c r="D26" s="4" t="s">
        <v>215</v>
      </c>
      <c r="E26" s="4">
        <v>2.3247</v>
      </c>
      <c r="F26" s="4">
        <v>2.0752999999999999</v>
      </c>
      <c r="G26" s="4">
        <v>1.629</v>
      </c>
      <c r="H26" s="4">
        <v>1.2849999999999999</v>
      </c>
      <c r="I26" s="4">
        <v>1.6506000000000001</v>
      </c>
      <c r="J26" s="4">
        <v>2.2389999999999999</v>
      </c>
      <c r="K26" s="4">
        <v>2.4704000000000002</v>
      </c>
    </row>
    <row r="27" spans="1:11">
      <c r="A27" s="13"/>
      <c r="B27" s="13"/>
      <c r="C27" s="13"/>
      <c r="D27" s="4" t="s">
        <v>216</v>
      </c>
      <c r="E27" s="4">
        <v>6.3044000000000002</v>
      </c>
      <c r="F27" s="4">
        <v>2.7450999999999999</v>
      </c>
      <c r="G27" s="4">
        <v>1.6519999999999999</v>
      </c>
      <c r="H27" s="4">
        <v>1.2851999999999999</v>
      </c>
      <c r="I27" s="4">
        <v>1.6989000000000001</v>
      </c>
      <c r="J27" s="4">
        <v>3.3887</v>
      </c>
      <c r="K27" s="4">
        <v>6.8728999999999996</v>
      </c>
    </row>
    <row r="28" spans="1:11">
      <c r="A28" s="13" t="s">
        <v>222</v>
      </c>
      <c r="B28" s="13">
        <v>3</v>
      </c>
      <c r="C28" s="13">
        <v>5</v>
      </c>
      <c r="D28" s="4" t="s">
        <v>215</v>
      </c>
      <c r="E28" s="4">
        <v>0.1245</v>
      </c>
      <c r="F28" s="4">
        <v>0.10580000000000001</v>
      </c>
      <c r="G28" s="4">
        <v>6.9699999999999998E-2</v>
      </c>
      <c r="H28" s="4">
        <v>5.0200000000000002E-2</v>
      </c>
      <c r="I28" s="4">
        <v>6.93E-2</v>
      </c>
      <c r="J28" s="4">
        <v>0.1071</v>
      </c>
      <c r="K28" s="4">
        <v>0.124</v>
      </c>
    </row>
    <row r="29" spans="1:11">
      <c r="A29" s="13"/>
      <c r="B29" s="13"/>
      <c r="C29" s="13"/>
      <c r="D29" s="4" t="s">
        <v>216</v>
      </c>
      <c r="E29" s="4">
        <v>0.18559999999999999</v>
      </c>
      <c r="F29" s="4">
        <v>0.1188</v>
      </c>
      <c r="G29" s="4">
        <v>6.3500000000000001E-2</v>
      </c>
      <c r="H29" s="4">
        <v>5.0799999999999998E-2</v>
      </c>
      <c r="I29" s="4">
        <v>6.3700000000000007E-2</v>
      </c>
      <c r="J29" s="4">
        <v>0.11799999999999999</v>
      </c>
      <c r="K29" s="4">
        <v>0.18779999999999999</v>
      </c>
    </row>
    <row r="30" spans="1:11">
      <c r="A30" s="13"/>
      <c r="B30" s="13">
        <v>3</v>
      </c>
      <c r="C30" s="13">
        <v>10</v>
      </c>
      <c r="D30" s="4" t="s">
        <v>215</v>
      </c>
      <c r="E30" s="4">
        <v>0.12809999999999999</v>
      </c>
      <c r="F30" s="4">
        <v>0.1103</v>
      </c>
      <c r="G30" s="4">
        <v>7.0699999999999999E-2</v>
      </c>
      <c r="H30" s="4">
        <v>4.9700000000000001E-2</v>
      </c>
      <c r="I30" s="4">
        <v>7.0400000000000004E-2</v>
      </c>
      <c r="J30" s="4">
        <v>0.1101</v>
      </c>
      <c r="K30" s="4">
        <v>0.12839999999999999</v>
      </c>
    </row>
    <row r="31" spans="1:11">
      <c r="A31" s="13"/>
      <c r="B31" s="13"/>
      <c r="C31" s="13"/>
      <c r="D31" s="4" t="s">
        <v>216</v>
      </c>
      <c r="E31" s="4">
        <v>0.18429999999999999</v>
      </c>
      <c r="F31" s="4">
        <v>0.11799999999999999</v>
      </c>
      <c r="G31" s="4">
        <v>6.3E-2</v>
      </c>
      <c r="H31" s="4">
        <v>5.0299999999999997E-2</v>
      </c>
      <c r="I31" s="4">
        <v>6.3E-2</v>
      </c>
      <c r="J31" s="4">
        <v>0.1163</v>
      </c>
      <c r="K31" s="4">
        <v>0.18590000000000001</v>
      </c>
    </row>
    <row r="32" spans="1:11">
      <c r="A32" s="13"/>
      <c r="B32" s="13">
        <v>3</v>
      </c>
      <c r="C32" s="13">
        <v>15</v>
      </c>
      <c r="D32" s="4" t="s">
        <v>215</v>
      </c>
      <c r="E32" s="4">
        <v>0.13320000000000001</v>
      </c>
      <c r="F32" s="4">
        <v>0.1128</v>
      </c>
      <c r="G32" s="4">
        <v>7.1499999999999994E-2</v>
      </c>
      <c r="H32" s="4">
        <v>4.9700000000000001E-2</v>
      </c>
      <c r="I32" s="4">
        <v>7.1199999999999999E-2</v>
      </c>
      <c r="J32" s="4">
        <v>0.11310000000000001</v>
      </c>
      <c r="K32" s="4">
        <v>0.13250000000000001</v>
      </c>
    </row>
    <row r="33" spans="1:11">
      <c r="A33" s="13"/>
      <c r="B33" s="13"/>
      <c r="C33" s="13"/>
      <c r="D33" s="4" t="s">
        <v>216</v>
      </c>
      <c r="E33" s="4">
        <v>0.183</v>
      </c>
      <c r="F33" s="4">
        <v>0.1167</v>
      </c>
      <c r="G33" s="4">
        <v>6.2799999999999995E-2</v>
      </c>
      <c r="H33" s="4">
        <v>5.0299999999999997E-2</v>
      </c>
      <c r="I33" s="4">
        <v>6.2799999999999995E-2</v>
      </c>
      <c r="J33" s="4">
        <v>0.1164</v>
      </c>
      <c r="K33" s="4">
        <v>0.1847</v>
      </c>
    </row>
    <row r="34" spans="1:11">
      <c r="A34" s="13"/>
      <c r="B34" s="13">
        <v>6</v>
      </c>
      <c r="C34" s="13">
        <v>5</v>
      </c>
      <c r="D34" s="4" t="s">
        <v>215</v>
      </c>
      <c r="E34" s="4">
        <v>0.12839999999999999</v>
      </c>
      <c r="F34" s="4">
        <v>0.1111</v>
      </c>
      <c r="G34" s="4">
        <v>7.0999999999999994E-2</v>
      </c>
      <c r="H34" s="4">
        <v>4.9500000000000002E-2</v>
      </c>
      <c r="I34" s="4">
        <v>6.9800000000000001E-2</v>
      </c>
      <c r="J34" s="4">
        <v>0.1111</v>
      </c>
      <c r="K34" s="4">
        <v>0.1293</v>
      </c>
    </row>
    <row r="35" spans="1:11">
      <c r="A35" s="13"/>
      <c r="B35" s="13"/>
      <c r="C35" s="13"/>
      <c r="D35" s="4" t="s">
        <v>216</v>
      </c>
      <c r="E35" s="4">
        <v>0.18429999999999999</v>
      </c>
      <c r="F35" s="4">
        <v>0.11600000000000001</v>
      </c>
      <c r="G35" s="4">
        <v>6.2799999999999995E-2</v>
      </c>
      <c r="H35" s="4">
        <v>5.0099999999999999E-2</v>
      </c>
      <c r="I35" s="4">
        <v>6.25E-2</v>
      </c>
      <c r="J35" s="4">
        <v>0.1157</v>
      </c>
      <c r="K35" s="4">
        <v>0.18310000000000001</v>
      </c>
    </row>
    <row r="36" spans="1:11">
      <c r="A36" s="13"/>
      <c r="B36" s="13">
        <v>6</v>
      </c>
      <c r="C36" s="13">
        <v>10</v>
      </c>
      <c r="D36" s="4" t="s">
        <v>215</v>
      </c>
      <c r="E36" s="4">
        <v>0.13500000000000001</v>
      </c>
      <c r="F36" s="4">
        <v>0.11650000000000001</v>
      </c>
      <c r="G36" s="4">
        <v>7.2400000000000006E-2</v>
      </c>
      <c r="H36" s="4">
        <v>4.9599999999999998E-2</v>
      </c>
      <c r="I36" s="4">
        <v>7.1999999999999995E-2</v>
      </c>
      <c r="J36" s="4">
        <v>0.1162</v>
      </c>
      <c r="K36" s="4">
        <v>0.1343</v>
      </c>
    </row>
    <row r="37" spans="1:11">
      <c r="A37" s="13"/>
      <c r="B37" s="13"/>
      <c r="C37" s="13"/>
      <c r="D37" s="4" t="s">
        <v>216</v>
      </c>
      <c r="E37" s="4">
        <v>0.18390000000000001</v>
      </c>
      <c r="F37" s="4">
        <v>0.11609999999999999</v>
      </c>
      <c r="G37" s="4">
        <v>6.2700000000000006E-2</v>
      </c>
      <c r="H37" s="4">
        <v>5.0099999999999999E-2</v>
      </c>
      <c r="I37" s="4">
        <v>6.2399999999999997E-2</v>
      </c>
      <c r="J37" s="4">
        <v>0.11550000000000001</v>
      </c>
      <c r="K37" s="4">
        <v>0.18340000000000001</v>
      </c>
    </row>
    <row r="38" spans="1:11">
      <c r="A38" s="13"/>
      <c r="B38" s="13">
        <v>6</v>
      </c>
      <c r="C38" s="13">
        <v>15</v>
      </c>
      <c r="D38" s="4" t="s">
        <v>215</v>
      </c>
      <c r="E38" s="4">
        <v>0.13780000000000001</v>
      </c>
      <c r="F38" s="4">
        <v>0.11890000000000001</v>
      </c>
      <c r="G38" s="4">
        <v>7.3700000000000002E-2</v>
      </c>
      <c r="H38" s="4">
        <v>4.99E-2</v>
      </c>
      <c r="I38" s="4">
        <v>7.3899999999999993E-2</v>
      </c>
      <c r="J38" s="4">
        <v>0.1197</v>
      </c>
      <c r="K38" s="4">
        <v>0.13739999999999999</v>
      </c>
    </row>
    <row r="39" spans="1:11">
      <c r="A39" s="13"/>
      <c r="B39" s="13"/>
      <c r="C39" s="13"/>
      <c r="D39" s="4" t="s">
        <v>216</v>
      </c>
      <c r="E39" s="4">
        <v>0.18479999999999999</v>
      </c>
      <c r="F39" s="4">
        <v>0.1167</v>
      </c>
      <c r="G39" s="4">
        <v>6.2899999999999998E-2</v>
      </c>
      <c r="H39" s="4">
        <v>5.04E-2</v>
      </c>
      <c r="I39" s="4">
        <v>6.2799999999999995E-2</v>
      </c>
      <c r="J39" s="4">
        <v>0.1162</v>
      </c>
      <c r="K39" s="4">
        <v>0.18459999999999999</v>
      </c>
    </row>
  </sheetData>
  <mergeCells count="44">
    <mergeCell ref="B34:B35"/>
    <mergeCell ref="C34:C35"/>
    <mergeCell ref="B36:B37"/>
    <mergeCell ref="B38:B39"/>
    <mergeCell ref="C36:C37"/>
    <mergeCell ref="C38:C39"/>
    <mergeCell ref="C28:C29"/>
    <mergeCell ref="C30:C31"/>
    <mergeCell ref="B28:B29"/>
    <mergeCell ref="B30:B31"/>
    <mergeCell ref="B32:B33"/>
    <mergeCell ref="C32:C33"/>
    <mergeCell ref="B22:B23"/>
    <mergeCell ref="B24:B25"/>
    <mergeCell ref="B26:B27"/>
    <mergeCell ref="C22:C23"/>
    <mergeCell ref="C24:C25"/>
    <mergeCell ref="C26:C27"/>
    <mergeCell ref="C16:C17"/>
    <mergeCell ref="B18:B19"/>
    <mergeCell ref="C18:C19"/>
    <mergeCell ref="C20:C21"/>
    <mergeCell ref="B20:B21"/>
    <mergeCell ref="A4:A15"/>
    <mergeCell ref="A16:A27"/>
    <mergeCell ref="A28:A39"/>
    <mergeCell ref="B4:B5"/>
    <mergeCell ref="C4:C5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E2:K2"/>
    <mergeCell ref="A2:A3"/>
    <mergeCell ref="B2:B3"/>
    <mergeCell ref="C2:C3"/>
    <mergeCell ref="D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table1</vt:lpstr>
      <vt:lpstr>table2</vt:lpstr>
      <vt:lpstr>table3</vt:lpstr>
      <vt:lpstr>table4</vt:lpstr>
      <vt:lpstr>table5</vt:lpstr>
      <vt:lpstr>table6</vt:lpstr>
      <vt:lpstr>table7</vt:lpstr>
      <vt:lpstr>table8</vt:lpstr>
      <vt:lpstr>table9</vt:lpstr>
      <vt:lpstr>table10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mlim</dc:creator>
  <cp:lastModifiedBy>BaeSuk Joo</cp:lastModifiedBy>
  <dcterms:created xsi:type="dcterms:W3CDTF">2024-05-01T07:55:25Z</dcterms:created>
  <dcterms:modified xsi:type="dcterms:W3CDTF">2024-05-03T07:52:57Z</dcterms:modified>
</cp:coreProperties>
</file>