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سجيل يومي" sheetId="1" r:id="rId4"/>
    <sheet state="visible" name="الشهريه" sheetId="2" r:id="rId5"/>
    <sheet state="visible" name="ميزانية" sheetId="3" r:id="rId6"/>
    <sheet state="visible" name="الرغبات" sheetId="4" r:id="rId7"/>
  </sheets>
  <definedNames/>
  <calcPr/>
</workbook>
</file>

<file path=xl/sharedStrings.xml><?xml version="1.0" encoding="utf-8"?>
<sst xmlns="http://schemas.openxmlformats.org/spreadsheetml/2006/main" count="138" uniqueCount="91">
  <si>
    <t>طابع زمني</t>
  </si>
  <si>
    <t>التاريخ</t>
  </si>
  <si>
    <t>التصنيف</t>
  </si>
  <si>
    <t>المبلغ</t>
  </si>
  <si>
    <t>التفاصيل</t>
  </si>
  <si>
    <t>وسيلة الدفع</t>
  </si>
  <si>
    <t>ملاحظات</t>
  </si>
  <si>
    <t>بنزين</t>
  </si>
  <si>
    <t>بطاقة</t>
  </si>
  <si>
    <t>اكل وشرب</t>
  </si>
  <si>
    <t>شاورما انا وعبداللطيف</t>
  </si>
  <si>
    <t>مع كنزا</t>
  </si>
  <si>
    <t>مشتريات</t>
  </si>
  <si>
    <t>اشتريت خدمة من موقع خمسات</t>
  </si>
  <si>
    <t>12 دولار</t>
  </si>
  <si>
    <t>الدخل الشهري</t>
  </si>
  <si>
    <t>المتبقي</t>
  </si>
  <si>
    <t>المتبقي بعد الجدول</t>
  </si>
  <si>
    <t>اجمالي الفائض</t>
  </si>
  <si>
    <t>اجمالي الميزانية المحدده</t>
  </si>
  <si>
    <t>راتب</t>
  </si>
  <si>
    <t>اخرى</t>
  </si>
  <si>
    <t>اجمالي الارصده</t>
  </si>
  <si>
    <t>المبلغ المدفوع</t>
  </si>
  <si>
    <t>الميزانية المحدده</t>
  </si>
  <si>
    <t>الملاحظات</t>
  </si>
  <si>
    <t>شهري / مؤقت / سنوي</t>
  </si>
  <si>
    <t>الحالة</t>
  </si>
  <si>
    <t>الفائض</t>
  </si>
  <si>
    <t>أولوية الاقتطاع</t>
  </si>
  <si>
    <t>نسبة الاقتطاع</t>
  </si>
  <si>
    <t>مبلغ الاقتطاع</t>
  </si>
  <si>
    <t>ثابت</t>
  </si>
  <si>
    <t>فاتورة كهرباء</t>
  </si>
  <si>
    <t>💳بطاقة</t>
  </si>
  <si>
    <t>شهري</t>
  </si>
  <si>
    <t>✅ مدفوع</t>
  </si>
  <si>
    <t>لا</t>
  </si>
  <si>
    <t>قسط سيارة</t>
  </si>
  <si>
    <t>سحب بنكي</t>
  </si>
  <si>
    <t>فاتورة النت</t>
  </si>
  <si>
    <t>ٍِSAB</t>
  </si>
  <si>
    <t>فاتورة الجوال</t>
  </si>
  <si>
    <t>شبة ثابت</t>
  </si>
  <si>
    <t>تمارا</t>
  </si>
  <si>
    <t>مؤقت/دفعتين</t>
  </si>
  <si>
    <t>⚠️مؤقت</t>
  </si>
  <si>
    <t>تلقائي</t>
  </si>
  <si>
    <t>⏳ مجدول</t>
  </si>
  <si>
    <t>لضرورة</t>
  </si>
  <si>
    <t>صندوق الطوارى</t>
  </si>
  <si>
    <t>❌ لم يُدفع</t>
  </si>
  <si>
    <t>لطوارى</t>
  </si>
  <si>
    <t>استثمار عام</t>
  </si>
  <si>
    <t>الراجحي تداول</t>
  </si>
  <si>
    <t>للحاجة</t>
  </si>
  <si>
    <t>استثمار خاص</t>
  </si>
  <si>
    <t>صدقة</t>
  </si>
  <si>
    <t>نعم</t>
  </si>
  <si>
    <t>شبه ثابت</t>
  </si>
  <si>
    <t>مصروف يومي</t>
  </si>
  <si>
    <t>20%</t>
  </si>
  <si>
    <t>ترفية</t>
  </si>
  <si>
    <t>هدايا</t>
  </si>
  <si>
    <t>الأسبوع</t>
  </si>
  <si>
    <t>من تاريخ</t>
  </si>
  <si>
    <t>إلى تاريخ</t>
  </si>
  <si>
    <t>ميزانية الأكل</t>
  </si>
  <si>
    <t>ميزانية الترفيه</t>
  </si>
  <si>
    <t>ميزانية المواصلات</t>
  </si>
  <si>
    <t>ميزانية الطوارئ</t>
  </si>
  <si>
    <t>الإجمالي</t>
  </si>
  <si>
    <t>الاستهلاك الفعلي</t>
  </si>
  <si>
    <t>الفرق</t>
  </si>
  <si>
    <t>التقيم</t>
  </si>
  <si>
    <t>الأسبوع 1</t>
  </si>
  <si>
    <t>الأسبوع 2</t>
  </si>
  <si>
    <t>الأسبوع 3</t>
  </si>
  <si>
    <t>الأسبوع 4</t>
  </si>
  <si>
    <t>الرقم</t>
  </si>
  <si>
    <t>الرغبة</t>
  </si>
  <si>
    <t>المبلغ المعتمد</t>
  </si>
  <si>
    <t>درجة الضرورة</t>
  </si>
  <si>
    <t>اقتراح التمويل الشهري</t>
  </si>
  <si>
    <t>الباقي</t>
  </si>
  <si>
    <t>حالة التمويل المقترحة</t>
  </si>
  <si>
    <t>دومين</t>
  </si>
  <si>
    <t>متوسط</t>
  </si>
  <si>
    <t>تم الشراء</t>
  </si>
  <si>
    <t>خمسات</t>
  </si>
  <si>
    <t>ضروري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</si>
</sst>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yyyy/mm/dd"/>
    <numFmt numFmtId="166" formatCode="yyyy/MM/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1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1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6" fontId="2" numFmtId="0" xfId="0" applyAlignment="1" applyFill="1" applyFont="1">
      <alignment readingOrder="0"/>
    </xf>
    <xf borderId="0" fillId="6" fontId="2" numFmtId="0" xfId="0" applyAlignment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تسجيل يومي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" displayName="Form_Responses1" name="Form_Responses1" id="1">
  <tableColumns count="7">
    <tableColumn name="طابع زمني" id="1"/>
    <tableColumn name="التاريخ" id="2"/>
    <tableColumn name="التصنيف" id="3"/>
    <tableColumn name="المبلغ" id="4"/>
    <tableColumn name="التفاصيل" id="5"/>
    <tableColumn name="وسيلة الدفع" id="6"/>
    <tableColumn name="ملاحظات" id="7"/>
  </tableColumns>
  <tableStyleInfo name="تسجيل يومي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3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45805.75828407407</v>
      </c>
      <c r="B2" s="5">
        <v>45805.0</v>
      </c>
      <c r="C2" s="6" t="s">
        <v>7</v>
      </c>
      <c r="D2" s="7">
        <v>66.0</v>
      </c>
      <c r="E2" s="8"/>
      <c r="F2" s="6" t="s">
        <v>8</v>
      </c>
      <c r="G2" s="9"/>
    </row>
    <row r="3">
      <c r="A3" s="10">
        <v>45805.99398570602</v>
      </c>
      <c r="B3" s="11">
        <v>45805.0</v>
      </c>
      <c r="C3" s="12" t="s">
        <v>9</v>
      </c>
      <c r="D3" s="13">
        <v>41.0</v>
      </c>
      <c r="E3" s="12" t="s">
        <v>10</v>
      </c>
      <c r="F3" s="12" t="s">
        <v>8</v>
      </c>
      <c r="G3" s="14" t="s">
        <v>11</v>
      </c>
    </row>
    <row r="4">
      <c r="A4" s="15">
        <v>45806.062418773145</v>
      </c>
      <c r="B4" s="16">
        <v>45806.0</v>
      </c>
      <c r="C4" s="17" t="s">
        <v>12</v>
      </c>
      <c r="D4" s="18">
        <v>45.0</v>
      </c>
      <c r="E4" s="17" t="s">
        <v>13</v>
      </c>
      <c r="F4" s="17" t="s">
        <v>8</v>
      </c>
      <c r="G4" s="19" t="s">
        <v>14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9.38"/>
    <col customWidth="1" min="3" max="3" width="11.25"/>
    <col customWidth="1" min="4" max="4" width="22.38"/>
    <col customWidth="1" min="5" max="6" width="13.75"/>
    <col customWidth="1" min="7" max="7" width="11.75"/>
    <col customWidth="1" min="8" max="8" width="13.63"/>
    <col customWidth="1" min="9" max="9" width="23.63"/>
    <col customWidth="1" min="10" max="10" width="4.88"/>
    <col customWidth="1" min="11" max="11" width="9.13"/>
    <col customWidth="1" min="12" max="12" width="8.38"/>
    <col customWidth="1" min="13" max="13" width="8.13"/>
  </cols>
  <sheetData>
    <row r="1">
      <c r="A1" s="20" t="s">
        <v>15</v>
      </c>
      <c r="B1" s="21">
        <v>45805.0</v>
      </c>
      <c r="C1" s="20" t="s">
        <v>16</v>
      </c>
      <c r="D1" s="20" t="s">
        <v>17</v>
      </c>
      <c r="E1" s="20" t="s">
        <v>18</v>
      </c>
      <c r="F1" s="20" t="s">
        <v>19</v>
      </c>
    </row>
    <row r="2">
      <c r="A2" s="20" t="s">
        <v>20</v>
      </c>
      <c r="B2" s="22">
        <v>4200.0</v>
      </c>
      <c r="C2" s="23">
        <f>(B2 + B3) - SUM(D7:D20)
</f>
        <v>420</v>
      </c>
      <c r="D2" s="20">
        <f>C2 - SUMIFS(C36:C100, G36:G100, "تم الشراء")
</f>
        <v>420</v>
      </c>
      <c r="E2" s="24">
        <f>SUM(J7:J20)</f>
        <v>204</v>
      </c>
      <c r="F2" s="25">
        <f> B2 + B3 - SUM(E7:E20)
</f>
        <v>116</v>
      </c>
    </row>
    <row r="3">
      <c r="A3" s="20" t="s">
        <v>21</v>
      </c>
      <c r="B3" s="22">
        <v>200.0</v>
      </c>
      <c r="C3" s="20"/>
      <c r="D3" s="20"/>
    </row>
    <row r="4">
      <c r="A4" s="20" t="s">
        <v>22</v>
      </c>
      <c r="B4" s="22">
        <v>0.0</v>
      </c>
      <c r="C4" s="20"/>
      <c r="D4" s="20"/>
    </row>
    <row r="6">
      <c r="A6" s="26" t="s">
        <v>1</v>
      </c>
      <c r="B6" s="26" t="s">
        <v>2</v>
      </c>
      <c r="C6" s="26" t="s">
        <v>4</v>
      </c>
      <c r="D6" s="26" t="s">
        <v>23</v>
      </c>
      <c r="E6" s="26" t="s">
        <v>24</v>
      </c>
      <c r="F6" s="26" t="s">
        <v>25</v>
      </c>
      <c r="G6" s="26" t="s">
        <v>5</v>
      </c>
      <c r="H6" s="26" t="s">
        <v>26</v>
      </c>
      <c r="I6" s="26" t="s">
        <v>27</v>
      </c>
      <c r="J6" s="27" t="s">
        <v>28</v>
      </c>
      <c r="K6" s="27" t="s">
        <v>29</v>
      </c>
      <c r="L6" s="27" t="s">
        <v>30</v>
      </c>
      <c r="M6" s="27" t="s">
        <v>31</v>
      </c>
    </row>
    <row r="7">
      <c r="A7" s="21">
        <v>45805.0</v>
      </c>
      <c r="B7" s="20" t="s">
        <v>32</v>
      </c>
      <c r="C7" s="20" t="s">
        <v>33</v>
      </c>
      <c r="D7" s="28">
        <v>429.0</v>
      </c>
      <c r="E7" s="29">
        <v>500.0</v>
      </c>
      <c r="G7" s="20" t="s">
        <v>34</v>
      </c>
      <c r="H7" s="20" t="s">
        <v>35</v>
      </c>
      <c r="I7" s="20" t="s">
        <v>36</v>
      </c>
      <c r="J7" s="30">
        <f t="shared" ref="J7:J18" si="1">IF(I7="✅ مدفوع", E7-D7, "")
</f>
        <v>71</v>
      </c>
      <c r="K7" s="20" t="s">
        <v>37</v>
      </c>
      <c r="L7" s="22">
        <f t="shared" ref="L7:L12" si="2">IF(K7="لا", 0,
  IF(K7="لطوارى", 1,
    IF(K7="لضرورة", 0.2,
      IF(K7="للحاجة", 0.5,
        IF(K7="نعم", 1,
          0.1
        )
      )
    )
  )
)
</f>
        <v>0</v>
      </c>
      <c r="M7" s="31">
        <f t="shared" ref="M7:M18" si="3">D7 * L7
</f>
        <v>0</v>
      </c>
    </row>
    <row r="8">
      <c r="A8" s="21">
        <v>45805.0</v>
      </c>
      <c r="B8" s="20" t="s">
        <v>32</v>
      </c>
      <c r="C8" s="20" t="s">
        <v>38</v>
      </c>
      <c r="D8" s="28">
        <v>817.0</v>
      </c>
      <c r="E8" s="29">
        <v>818.0</v>
      </c>
      <c r="G8" s="20" t="s">
        <v>39</v>
      </c>
      <c r="H8" s="20" t="s">
        <v>35</v>
      </c>
      <c r="I8" s="20" t="s">
        <v>36</v>
      </c>
      <c r="J8" s="30">
        <f t="shared" si="1"/>
        <v>1</v>
      </c>
      <c r="K8" s="20" t="s">
        <v>37</v>
      </c>
      <c r="L8" s="22">
        <f t="shared" si="2"/>
        <v>0</v>
      </c>
      <c r="M8" s="31">
        <f t="shared" si="3"/>
        <v>0</v>
      </c>
    </row>
    <row r="9">
      <c r="A9" s="21">
        <v>45805.0</v>
      </c>
      <c r="B9" s="20" t="s">
        <v>32</v>
      </c>
      <c r="C9" s="20" t="s">
        <v>40</v>
      </c>
      <c r="D9" s="28">
        <v>288.0</v>
      </c>
      <c r="E9" s="29">
        <v>320.0</v>
      </c>
      <c r="G9" s="22" t="s">
        <v>41</v>
      </c>
      <c r="H9" s="20" t="s">
        <v>35</v>
      </c>
      <c r="I9" s="20" t="s">
        <v>36</v>
      </c>
      <c r="J9" s="30">
        <f t="shared" si="1"/>
        <v>32</v>
      </c>
      <c r="K9" s="20" t="s">
        <v>37</v>
      </c>
      <c r="L9" s="22">
        <f t="shared" si="2"/>
        <v>0</v>
      </c>
      <c r="M9" s="31">
        <f t="shared" si="3"/>
        <v>0</v>
      </c>
    </row>
    <row r="10">
      <c r="A10" s="21">
        <v>45801.0</v>
      </c>
      <c r="B10" s="20" t="s">
        <v>32</v>
      </c>
      <c r="C10" s="20" t="s">
        <v>42</v>
      </c>
      <c r="D10" s="28">
        <v>80.0</v>
      </c>
      <c r="E10" s="29">
        <v>80.0</v>
      </c>
      <c r="G10" s="20" t="s">
        <v>39</v>
      </c>
      <c r="H10" s="20" t="s">
        <v>35</v>
      </c>
      <c r="I10" s="20" t="s">
        <v>36</v>
      </c>
      <c r="J10" s="30">
        <f t="shared" si="1"/>
        <v>0</v>
      </c>
      <c r="K10" s="20" t="s">
        <v>37</v>
      </c>
      <c r="L10" s="22">
        <f t="shared" si="2"/>
        <v>0</v>
      </c>
      <c r="M10" s="31">
        <f t="shared" si="3"/>
        <v>0</v>
      </c>
    </row>
    <row r="11">
      <c r="A11" s="21">
        <v>45805.0</v>
      </c>
      <c r="B11" s="20" t="s">
        <v>43</v>
      </c>
      <c r="C11" s="20" t="s">
        <v>44</v>
      </c>
      <c r="D11" s="28">
        <v>666.0</v>
      </c>
      <c r="E11" s="29">
        <v>666.0</v>
      </c>
      <c r="F11" s="20" t="s">
        <v>45</v>
      </c>
      <c r="G11" s="20" t="s">
        <v>34</v>
      </c>
      <c r="H11" s="20" t="s">
        <v>46</v>
      </c>
      <c r="I11" s="20" t="s">
        <v>36</v>
      </c>
      <c r="J11" s="30">
        <f t="shared" si="1"/>
        <v>0</v>
      </c>
      <c r="K11" s="20" t="s">
        <v>37</v>
      </c>
      <c r="L11" s="22">
        <f t="shared" si="2"/>
        <v>0</v>
      </c>
      <c r="M11" s="31">
        <f t="shared" si="3"/>
        <v>0</v>
      </c>
    </row>
    <row r="12">
      <c r="B12" s="20" t="s">
        <v>32</v>
      </c>
      <c r="C12" s="20" t="s">
        <v>7</v>
      </c>
      <c r="D12" s="28">
        <v>400.0</v>
      </c>
      <c r="E12" s="29">
        <v>500.0</v>
      </c>
      <c r="F12" s="20" t="s">
        <v>47</v>
      </c>
      <c r="G12" s="31"/>
      <c r="H12" s="20" t="s">
        <v>35</v>
      </c>
      <c r="I12" s="20" t="s">
        <v>48</v>
      </c>
      <c r="J12" s="30" t="str">
        <f t="shared" si="1"/>
        <v/>
      </c>
      <c r="K12" s="20" t="s">
        <v>49</v>
      </c>
      <c r="L12" s="22">
        <f t="shared" si="2"/>
        <v>0.2</v>
      </c>
      <c r="M12" s="31">
        <f t="shared" si="3"/>
        <v>80</v>
      </c>
    </row>
    <row r="13">
      <c r="B13" s="20" t="s">
        <v>32</v>
      </c>
      <c r="C13" s="20" t="s">
        <v>50</v>
      </c>
      <c r="D13" s="28">
        <v>100.0</v>
      </c>
      <c r="E13" s="29">
        <v>100.0</v>
      </c>
      <c r="G13" s="31"/>
      <c r="H13" s="31"/>
      <c r="I13" s="20" t="s">
        <v>51</v>
      </c>
      <c r="J13" s="30" t="str">
        <f t="shared" si="1"/>
        <v/>
      </c>
      <c r="K13" s="20" t="s">
        <v>52</v>
      </c>
      <c r="L13" s="22">
        <f t="shared" ref="L13:L18" si="4">IF(K13="لطوارى", 1,
  IF(K13="لضرورة", 0.8,
    IF(K13="للحاجة", 0.5,
      IF(K13="نعم", 0.3,
        0.1
      )
    )
  )
)
</f>
        <v>1</v>
      </c>
      <c r="M13" s="31">
        <f t="shared" si="3"/>
        <v>100</v>
      </c>
    </row>
    <row r="14">
      <c r="A14" s="21">
        <v>45805.0</v>
      </c>
      <c r="B14" s="20" t="s">
        <v>32</v>
      </c>
      <c r="C14" s="20" t="s">
        <v>53</v>
      </c>
      <c r="D14" s="28">
        <v>250.0</v>
      </c>
      <c r="E14" s="29">
        <v>300.0</v>
      </c>
      <c r="F14" s="20" t="s">
        <v>54</v>
      </c>
      <c r="G14" s="20" t="s">
        <v>34</v>
      </c>
      <c r="H14" s="31"/>
      <c r="I14" s="20" t="s">
        <v>36</v>
      </c>
      <c r="J14" s="30">
        <f t="shared" si="1"/>
        <v>50</v>
      </c>
      <c r="K14" s="20" t="s">
        <v>55</v>
      </c>
      <c r="L14" s="22">
        <f t="shared" si="4"/>
        <v>0.5</v>
      </c>
      <c r="M14" s="31">
        <f t="shared" si="3"/>
        <v>125</v>
      </c>
    </row>
    <row r="15">
      <c r="A15" s="21">
        <v>45805.0</v>
      </c>
      <c r="B15" s="20" t="s">
        <v>32</v>
      </c>
      <c r="C15" s="20" t="s">
        <v>56</v>
      </c>
      <c r="D15" s="28">
        <v>250.0</v>
      </c>
      <c r="E15" s="29">
        <v>300.0</v>
      </c>
      <c r="F15" s="20" t="s">
        <v>54</v>
      </c>
      <c r="G15" s="20" t="s">
        <v>34</v>
      </c>
      <c r="H15" s="31"/>
      <c r="I15" s="20" t="s">
        <v>36</v>
      </c>
      <c r="J15" s="30">
        <f t="shared" si="1"/>
        <v>50</v>
      </c>
      <c r="L15" s="22">
        <f t="shared" si="4"/>
        <v>0.1</v>
      </c>
      <c r="M15" s="31">
        <f t="shared" si="3"/>
        <v>25</v>
      </c>
    </row>
    <row r="16">
      <c r="B16" s="20" t="s">
        <v>32</v>
      </c>
      <c r="C16" s="20" t="s">
        <v>57</v>
      </c>
      <c r="D16" s="28">
        <v>100.0</v>
      </c>
      <c r="E16" s="29">
        <v>100.0</v>
      </c>
      <c r="G16" s="31"/>
      <c r="H16" s="31"/>
      <c r="I16" s="20" t="s">
        <v>51</v>
      </c>
      <c r="J16" s="30" t="str">
        <f t="shared" si="1"/>
        <v/>
      </c>
      <c r="K16" s="20" t="s">
        <v>58</v>
      </c>
      <c r="L16" s="22">
        <f t="shared" si="4"/>
        <v>0.3</v>
      </c>
      <c r="M16" s="31">
        <f t="shared" si="3"/>
        <v>30</v>
      </c>
    </row>
    <row r="17">
      <c r="B17" s="20" t="s">
        <v>59</v>
      </c>
      <c r="C17" s="20" t="s">
        <v>60</v>
      </c>
      <c r="D17" s="28">
        <v>400.0</v>
      </c>
      <c r="E17" s="29">
        <v>500.0</v>
      </c>
      <c r="F17" s="20" t="s">
        <v>47</v>
      </c>
      <c r="G17" s="31"/>
      <c r="H17" s="31"/>
      <c r="I17" s="20" t="s">
        <v>48</v>
      </c>
      <c r="J17" s="30" t="str">
        <f t="shared" si="1"/>
        <v/>
      </c>
      <c r="K17" s="22" t="s">
        <v>61</v>
      </c>
      <c r="L17" s="22">
        <f t="shared" si="4"/>
        <v>0.1</v>
      </c>
      <c r="M17" s="31">
        <f t="shared" si="3"/>
        <v>40</v>
      </c>
    </row>
    <row r="18">
      <c r="B18" s="20" t="s">
        <v>59</v>
      </c>
      <c r="C18" s="20" t="s">
        <v>62</v>
      </c>
      <c r="D18" s="28">
        <v>100.0</v>
      </c>
      <c r="E18" s="29">
        <v>0.0</v>
      </c>
      <c r="G18" s="31"/>
      <c r="H18" s="31"/>
      <c r="I18" s="20" t="s">
        <v>51</v>
      </c>
      <c r="J18" s="30" t="str">
        <f t="shared" si="1"/>
        <v/>
      </c>
      <c r="K18" s="20" t="s">
        <v>58</v>
      </c>
      <c r="L18" s="22">
        <f t="shared" si="4"/>
        <v>0.3</v>
      </c>
      <c r="M18" s="31">
        <f t="shared" si="3"/>
        <v>30</v>
      </c>
    </row>
    <row r="19">
      <c r="C19" s="20" t="s">
        <v>63</v>
      </c>
      <c r="D19" s="28">
        <v>100.0</v>
      </c>
      <c r="E19" s="29">
        <v>100.0</v>
      </c>
      <c r="G19" s="31"/>
      <c r="H19" s="31"/>
      <c r="I19" s="20" t="s">
        <v>51</v>
      </c>
      <c r="J19" s="30" t="str">
        <f t="shared" ref="J19:J20" si="5">IF(I19="✅ مدفوع", #REF!-D19, "")
</f>
        <v/>
      </c>
    </row>
    <row r="20">
      <c r="G20" s="31"/>
      <c r="H20" s="31"/>
      <c r="I20" s="20" t="s">
        <v>48</v>
      </c>
      <c r="J20" s="30" t="str">
        <f t="shared" si="5"/>
        <v/>
      </c>
      <c r="M20" s="31">
        <f>SUM(M7:M18)/2</f>
        <v>215</v>
      </c>
    </row>
    <row r="21">
      <c r="G21" s="31"/>
      <c r="H21" s="31"/>
      <c r="I21" s="31"/>
      <c r="M21" s="31">
        <f>SUM(M7:M18)/4</f>
        <v>107.5</v>
      </c>
    </row>
    <row r="22">
      <c r="G22" s="31"/>
      <c r="H22" s="31"/>
      <c r="I22" s="31"/>
    </row>
    <row r="23">
      <c r="G23" s="31"/>
      <c r="H23" s="31"/>
      <c r="I23" s="31"/>
    </row>
    <row r="24">
      <c r="G24" s="31"/>
      <c r="H24" s="31"/>
      <c r="I24" s="31"/>
    </row>
    <row r="25">
      <c r="G25" s="31"/>
      <c r="H25" s="31"/>
      <c r="I25" s="31"/>
    </row>
    <row r="26">
      <c r="G26" s="31"/>
      <c r="H26" s="31"/>
      <c r="I26" s="31"/>
    </row>
    <row r="27">
      <c r="G27" s="31"/>
      <c r="H27" s="31"/>
      <c r="I27" s="31"/>
    </row>
    <row r="28">
      <c r="G28" s="31"/>
      <c r="H28" s="31"/>
      <c r="I28" s="31"/>
    </row>
    <row r="29">
      <c r="G29" s="31"/>
      <c r="H29" s="31"/>
      <c r="I29" s="31"/>
    </row>
    <row r="30">
      <c r="G30" s="31"/>
      <c r="H30" s="31"/>
      <c r="I30" s="31"/>
    </row>
  </sheetData>
  <conditionalFormatting sqref="A6:M6">
    <cfRule type="notContainsBlanks" dxfId="4" priority="1">
      <formula>LEN(TRIM(A6))&gt;0</formula>
    </cfRule>
  </conditionalFormatting>
  <dataValidations>
    <dataValidation type="list" allowBlank="1" showErrorMessage="1" sqref="G7:G30">
      <formula1>"سحب بنكي,ٍِSAB,💳بطاقة,🪙كاش,اخرى"</formula1>
    </dataValidation>
    <dataValidation type="list" allowBlank="1" showErrorMessage="1" sqref="I7:I30">
      <formula1>"⏳ مجدول,✅ مدفوع,❌ لم يُدفع,🔄 تكرار تلقائي"</formula1>
    </dataValidation>
    <dataValidation type="list" allowBlank="1" showErrorMessage="1" sqref="H7:H30">
      <formula1>"شهري,⚠️مؤقت,سنوي"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64</v>
      </c>
      <c r="B1" s="26" t="s">
        <v>65</v>
      </c>
      <c r="C1" s="26" t="s">
        <v>66</v>
      </c>
      <c r="D1" s="26" t="s">
        <v>67</v>
      </c>
      <c r="E1" s="26" t="s">
        <v>68</v>
      </c>
      <c r="F1" s="26" t="s">
        <v>69</v>
      </c>
      <c r="G1" s="26" t="s">
        <v>70</v>
      </c>
      <c r="H1" s="26" t="s">
        <v>71</v>
      </c>
      <c r="I1" s="27" t="s">
        <v>72</v>
      </c>
      <c r="J1" s="27" t="s">
        <v>73</v>
      </c>
      <c r="K1" s="27" t="s">
        <v>74</v>
      </c>
    </row>
    <row r="2">
      <c r="A2" s="20" t="s">
        <v>75</v>
      </c>
      <c r="B2" s="32">
        <v>45805.0</v>
      </c>
      <c r="C2" s="21">
        <v>45811.0</v>
      </c>
      <c r="D2" s="22">
        <f>SUM('الشهريه'!D17/4)</f>
        <v>100</v>
      </c>
      <c r="E2" s="22">
        <f>SUM('الشهريه'!D18/4)</f>
        <v>25</v>
      </c>
      <c r="F2" s="22">
        <f>SUM('الشهريه'!D12/4)</f>
        <v>100</v>
      </c>
      <c r="G2" s="22">
        <f>('الشهريه'!D17*0.1/4)
</f>
        <v>10</v>
      </c>
      <c r="H2" s="22">
        <f t="shared" ref="H2:H5" si="1">SUM(D2:G2)</f>
        <v>235</v>
      </c>
      <c r="I2" s="31">
        <f>IFERROR(__xludf.DUMMYFUNCTION("SUM(FILTER('تسجيل يومي'!D:D, 'تسجيل يومي'!A:A &gt;= B2, 'تسجيل يومي'!A:A &lt;= C2))
"),152.0)</f>
        <v>152</v>
      </c>
      <c r="J2" s="20">
        <f>SUM(H2,-I2)</f>
        <v>83</v>
      </c>
      <c r="K2" s="31" t="str">
        <f t="shared" ref="K2:K5" si="2">IF(OR(H2="", I2=""), "", IF(I2&gt;H2, "❌ تجاوز", IF(I2=H2, "✔️ استهلاك كامل", "✅ ممتاز")))
</f>
        <v>✅ ممتاز</v>
      </c>
    </row>
    <row r="3">
      <c r="A3" s="20" t="s">
        <v>76</v>
      </c>
      <c r="B3" s="32">
        <v>45812.0</v>
      </c>
      <c r="C3" s="21">
        <v>45819.0</v>
      </c>
      <c r="D3" s="22">
        <f>SUM('الشهريه'!D17/4)</f>
        <v>100</v>
      </c>
      <c r="E3" s="22">
        <f>SUM('الشهريه'!D18/4)</f>
        <v>25</v>
      </c>
      <c r="F3" s="22">
        <f>SUM('الشهريه'!D12/4)</f>
        <v>100</v>
      </c>
      <c r="G3" s="22">
        <f>('الشهريه'!D17*0.1/4)
</f>
        <v>10</v>
      </c>
      <c r="H3" s="22">
        <f t="shared" si="1"/>
        <v>235</v>
      </c>
      <c r="I3" s="31" t="str">
        <f>IFERROR(__xludf.DUMMYFUNCTION("SUM(FILTER('تسجيل يومي'!D:D, 'تسجيل يومي'!A:A &gt;= B3, 'تسجيل يومي'!A:A &lt;= C3))
"),"#N/A")</f>
        <v>#N/A</v>
      </c>
      <c r="K3" s="31" t="str">
        <f t="shared" si="2"/>
        <v>#N/A</v>
      </c>
    </row>
    <row r="4">
      <c r="A4" s="20" t="s">
        <v>77</v>
      </c>
      <c r="B4" s="32">
        <v>45819.0</v>
      </c>
      <c r="C4" s="21">
        <v>45827.0</v>
      </c>
      <c r="D4" s="22">
        <f>SUM('الشهريه'!D17/4)</f>
        <v>100</v>
      </c>
      <c r="E4" s="22">
        <f>SUM('الشهريه'!D18/4)</f>
        <v>25</v>
      </c>
      <c r="F4" s="22">
        <f>SUM('الشهريه'!D12/4)</f>
        <v>100</v>
      </c>
      <c r="G4" s="22">
        <f>('الشهريه'!D17*0.1/4)
</f>
        <v>10</v>
      </c>
      <c r="H4" s="22">
        <f t="shared" si="1"/>
        <v>235</v>
      </c>
      <c r="I4" s="31" t="str">
        <f>IFERROR(__xludf.DUMMYFUNCTION("SUM(FILTER('تسجيل يومي'!D:D, 'تسجيل يومي'!A:A &gt;= B4, 'تسجيل يومي'!A:A &lt;= C4))
"),"#N/A")</f>
        <v>#N/A</v>
      </c>
      <c r="K4" s="31" t="str">
        <f t="shared" si="2"/>
        <v>#N/A</v>
      </c>
    </row>
    <row r="5">
      <c r="A5" s="20" t="s">
        <v>78</v>
      </c>
      <c r="B5" s="32">
        <v>45826.0</v>
      </c>
      <c r="C5" s="21">
        <v>45835.0</v>
      </c>
      <c r="D5" s="22">
        <f>SUM('الشهريه'!D17/4)</f>
        <v>100</v>
      </c>
      <c r="E5" s="22">
        <f>SUM('الشهريه'!D18/4)</f>
        <v>25</v>
      </c>
      <c r="F5" s="22">
        <f>SUM('الشهريه'!D12/4)</f>
        <v>100</v>
      </c>
      <c r="G5" s="22">
        <f>('الشهريه'!D17*0.1/4)
</f>
        <v>10</v>
      </c>
      <c r="H5" s="22">
        <f t="shared" si="1"/>
        <v>235</v>
      </c>
      <c r="I5" s="31" t="str">
        <f>IFERROR(__xludf.DUMMYFUNCTION("SUM(FILTER('تسجيل يومي'!D:D, 'تسجيل يومي'!A:A &gt;= B5, 'تسجيل يومي'!A:A &lt;= C5))
"),"#N/A")</f>
        <v>#N/A</v>
      </c>
      <c r="K5" s="31" t="str">
        <f t="shared" si="2"/>
        <v>#N/A</v>
      </c>
    </row>
    <row r="6">
      <c r="A6" s="20"/>
      <c r="B6" s="32"/>
      <c r="C6" s="21"/>
      <c r="J6" s="20"/>
    </row>
    <row r="7">
      <c r="A7" s="20"/>
      <c r="B7" s="32"/>
      <c r="C7" s="21"/>
    </row>
    <row r="8">
      <c r="A8" s="20"/>
      <c r="B8" s="32"/>
      <c r="C8" s="21"/>
    </row>
    <row r="9">
      <c r="A9" s="20"/>
      <c r="B9" s="32"/>
      <c r="C9" s="21"/>
    </row>
    <row r="11">
      <c r="B11" s="33"/>
    </row>
    <row r="13">
      <c r="B13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5"/>
  </cols>
  <sheetData>
    <row r="1">
      <c r="A1" s="34" t="s">
        <v>79</v>
      </c>
      <c r="B1" s="35" t="s">
        <v>80</v>
      </c>
      <c r="C1" s="35" t="s">
        <v>81</v>
      </c>
      <c r="D1" s="35" t="s">
        <v>82</v>
      </c>
      <c r="E1" s="35"/>
      <c r="F1" s="35" t="s">
        <v>83</v>
      </c>
      <c r="G1" s="34" t="s">
        <v>27</v>
      </c>
      <c r="H1" s="34" t="s">
        <v>84</v>
      </c>
      <c r="I1" s="34" t="s">
        <v>85</v>
      </c>
    </row>
    <row r="2">
      <c r="A2" s="22">
        <f t="shared" ref="A2:A7" si="1">COUNTIFS($D$2:D2, D2) + 
 IF(D2="ضروري", 0, IF(D2="متوسط", 100, IF(D2="كمالية", 200, 300)))
</f>
        <v>101</v>
      </c>
      <c r="B2" s="20" t="s">
        <v>86</v>
      </c>
      <c r="C2" s="22">
        <v>80.0</v>
      </c>
      <c r="D2" s="20" t="s">
        <v>87</v>
      </c>
      <c r="E2" s="20"/>
      <c r="F2" s="20" t="str">
        <f t="shared" ref="F2:F7" si="2">IF(I2 = "✅ يمكن الشراء مباشرة", 
   "—", 
   IF(I2 = "⚠️ اقتطع من صندوق الطوارئ", 
      "اقتطع من الطوارئ حسب الأولوية", 
      IF(I2 = "❌ لا يكفي حتى مع الطوارئ", 
         "أجل الشراء أو راجع الميزانية", 
         IF(I2 = "❌ لا يكفي الفائض", 
            "اقتطع "&amp;ROUNDUP(C2/4, 1)&amp;" لمدة 4 أشهر", 
            ""
         )
      )
   )
)
</f>
        <v/>
      </c>
      <c r="G2" s="20" t="s">
        <v>88</v>
      </c>
      <c r="H2" s="31" t="str">
        <f>IF(G2="تم الشراء", "--",
 IF('الشهريه'!C$2 - 
     SUMIFS($C$2:$C2, $G$2:$G2, "تم الشراء") - 
     SUMIFS($C$2:$C2, $G$2:$G2, "") &gt;= C2,
    'الشهريه'!C$2 - 
     SUMIFS($C$2:$C2, $G$2:$G2, "تم الشراء") - 
     SUMIFS($C$2:$C2, $G$2:$G2, "") - C2,
 "")
)
</f>
        <v>--</v>
      </c>
      <c r="I2" s="31" t="str">
        <f>IF(G2="تم الشراء", 
    "✅ تم الشراء",
    IF(COUNTIFS('الشهريه'!$D$36:$D$100, "ضروري", 'الشهريه'!$G$36:$G$100, "&lt;&gt;تم الشراء", 'الشهريه'!$A$36:$A$100, "&lt;&gt;"&amp;A2)&gt;0,
        "❌ يوجد بند أعلى أولوية لم يتم شراؤه",
        IF(H2 &gt;= C2, 
            "✅ يمكن الشراء مباشرة", 
            IF(D2="متوسط", 
                IF('الشهريه'!K36 + ('الشهريه'!M20 / 2) &gt;= C2, 
                    "⚠️ تحتاج اقتطاع جزئي", 
                    "❌ لا يكفي حتى مع التمويل الجزئي"
                ), 
                IF(D2="كمالية", 
                    IF('الشهريه'!K36 &gt;= C2,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تم الشراء</v>
      </c>
    </row>
    <row r="3">
      <c r="A3" s="22">
        <f t="shared" si="1"/>
        <v>102</v>
      </c>
      <c r="B3" s="20" t="s">
        <v>89</v>
      </c>
      <c r="C3" s="22">
        <v>45.0</v>
      </c>
      <c r="D3" s="20" t="s">
        <v>87</v>
      </c>
      <c r="E3" s="20"/>
      <c r="F3" s="20" t="str">
        <f t="shared" si="2"/>
        <v>—</v>
      </c>
      <c r="H3" s="31">
        <f>IF(G3="تم الشراء", "--",
 IF('الشهريه'!C$2 - 
     SUMIFS($C$2:$C3, $G$2:$G3, "تم الشراء") - 
     SUMIFS($C$2:$C3, $G$2:$G3, "") &gt;= C3,
    'الشهريه'!C$2 - 
     SUMIFS($C$2:$C3, $G$2:$G3, "تم الشراء") - 
     SUMIFS($C$2:$C3, $G$2:$G3, "") - C3,
 "")
)
</f>
        <v>250</v>
      </c>
      <c r="I3" s="31" t="str">
        <f>IF(G3="تم الشراء", 
    "✅ تم الشراء",
    IF(COUNTIFS('الشهريه'!$D$36:$D$100, "ضروري", 'الشهريه'!$G$36:$G$100, "&lt;&gt;تم الشراء", 'الشهريه'!$A$36:$A$100, "&lt;&gt;"&amp;A3)&gt;0,
        "❌ يوجد بند أعلى أولوية لم يتم شراؤه",
        IF(H3 &gt;= C3, 
            "✅ يمكن الشراء مباشرة", 
            IF(D3="متوسط", 
                IF('الشهريه'!K37 + ('الشهريه'!M21 / 2) &gt;= C3, 
                    "⚠️ تحتاج اقتطاع جزئي", 
                    "❌ لا يكفي حتى مع التمويل الجزئي"
                ), 
                IF(D3="كمالية", 
                    IF('الشهريه'!K37 &gt;= C3,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4">
      <c r="A4" s="22">
        <f t="shared" si="1"/>
        <v>1</v>
      </c>
      <c r="B4" s="22">
        <v>0.0</v>
      </c>
      <c r="C4" s="22">
        <v>400.0</v>
      </c>
      <c r="D4" s="20" t="s">
        <v>90</v>
      </c>
      <c r="E4" s="20"/>
      <c r="F4" s="20" t="str">
        <f t="shared" si="2"/>
        <v>—</v>
      </c>
      <c r="G4" s="20"/>
      <c r="H4" s="31" t="str">
        <f>IF(G4="تم الشراء", "--",
 IF('الشهريه'!C$2 - 
     SUMIFS($C$2:$C4, $G$2:$G4, "تم الشراء") - 
     SUMIFS($C$2:$C4, $G$2:$G4, "") &gt;= C4,
    'الشهريه'!C$2 - 
     SUMIFS($C$2:$C4, $G$2:$G4, "تم الشراء") - 
     SUMIFS($C$2:$C4, $G$2:$G4, "") - C4,
 "")
)
</f>
        <v/>
      </c>
      <c r="I4" s="31" t="str">
        <f>IF(G4="تم الشراء", 
    "✅ تم الشراء",
    IF(COUNTIFS('الشهريه'!$D$36:$D$100, "ضروري", 'الشهريه'!$G$36:$G$100, "&lt;&gt;تم الشراء", 'الشهريه'!$A$36:$A$100, "&lt;&gt;"&amp;A4)&gt;0,
        "❌ يوجد بند أعلى أولوية لم يتم شراؤه",
        IF(H4 &gt;= C4, 
            "✅ يمكن الشراء مباشرة", 
            IF(D4="متوسط", 
                IF('الشهريه'!K38 + ('الشهريه'!M22 / 2) &gt;= C4, 
                    "⚠️ تحتاج اقتطاع جزئي", 
                    "❌ لا يكفي حتى مع التمويل الجزئي"
                ), 
                IF(D4="كمالية", 
                    IF('الشهريه'!K38 &gt;= C4,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5">
      <c r="A5" s="22">
        <f t="shared" si="1"/>
        <v>103</v>
      </c>
      <c r="B5" s="22">
        <v>0.0</v>
      </c>
      <c r="C5" s="22">
        <v>0.0</v>
      </c>
      <c r="D5" s="20" t="s">
        <v>87</v>
      </c>
      <c r="E5" s="20"/>
      <c r="F5" s="20" t="str">
        <f t="shared" si="2"/>
        <v>—</v>
      </c>
      <c r="H5" s="31" t="str">
        <f>IF(G5="تم الشراء", "--",
 IF('الشهريه'!C$2 - 
     SUMIFS($C$2:$C5, $G$2:$G5, "تم الشراء") - 
     SUMIFS($C$2:$C5, $G$2:$G5, "") &gt;= C5,
    'الشهريه'!C$2 - 
     SUMIFS($C$2:$C5, $G$2:$G5, "تم الشراء") - 
     SUMIFS($C$2:$C5, $G$2:$G5, "") - C5,
 "")
)
</f>
        <v/>
      </c>
      <c r="I5" s="31" t="str">
        <f>IF(G5="تم الشراء", 
    "✅ تم الشراء",
    IF(COUNTIFS('الشهريه'!$D$36:$D$100, "ضروري", 'الشهريه'!$G$36:$G$100, "&lt;&gt;تم الشراء", 'الشهريه'!$A$36:$A$100, "&lt;&gt;"&amp;A5)&gt;0,
        "❌ يوجد بند أعلى أولوية لم يتم شراؤه",
        IF(H5 &gt;= C5, 
            "✅ يمكن الشراء مباشرة", 
            IF(D5="متوسط", 
                IF('الشهريه'!K39 + ('الشهريه'!M23 / 2) &gt;= C5, 
                    "⚠️ تحتاج اقتطاع جزئي", 
                    "❌ لا يكفي حتى مع التمويل الجزئي"
                ), 
                IF(D5="كمالية", 
                    IF('الشهريه'!K39 &gt;= C5,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6">
      <c r="A6" s="22">
        <f t="shared" si="1"/>
        <v>104</v>
      </c>
      <c r="B6" s="22">
        <v>0.0</v>
      </c>
      <c r="C6" s="22">
        <v>0.0</v>
      </c>
      <c r="D6" s="20" t="s">
        <v>87</v>
      </c>
      <c r="E6" s="20"/>
      <c r="F6" s="20" t="str">
        <f t="shared" si="2"/>
        <v>—</v>
      </c>
      <c r="H6" s="31" t="str">
        <f>IF(G6="تم الشراء", "--",
 IF('الشهريه'!C$2 - 
     SUMIFS($C$2:$C6, $G$2:$G6, "تم الشراء") - 
     SUMIFS($C$2:$C6, $G$2:$G6, "") &gt;= C6,
    'الشهريه'!C$2 - 
     SUMIFS($C$2:$C6, $G$2:$G6, "تم الشراء") - 
     SUMIFS($C$2:$C6, $G$2:$G6, "") - C6,
 "")
)
</f>
        <v/>
      </c>
      <c r="I6" s="31" t="str">
        <f>IF(G6="تم الشراء", 
    "✅ تم الشراء",
    IF(COUNTIFS('الشهريه'!$D$36:$D$100, "ضروري", 'الشهريه'!$G$36:$G$100, "&lt;&gt;تم الشراء", 'الشهريه'!$A$36:$A$100, "&lt;&gt;"&amp;A6)&gt;0,
        "❌ يوجد بند أعلى أولوية لم يتم شراؤه",
        IF(H6 &gt;= C6, 
            "✅ يمكن الشراء مباشرة", 
            IF(D6="متوسط", 
                IF('الشهريه'!K40 + ('الشهريه'!M24 / 2) &gt;= C6, 
                    "⚠️ تحتاج اقتطاع جزئي", 
                    "❌ لا يكفي حتى مع التمويل الجزئي"
                ), 
                IF(D6="كمالية", 
                    IF('الشهريه'!K40 &gt;= C6,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  <row r="7">
      <c r="A7" s="22">
        <f t="shared" si="1"/>
        <v>105</v>
      </c>
      <c r="B7" s="22">
        <v>0.0</v>
      </c>
      <c r="C7" s="22">
        <v>0.0</v>
      </c>
      <c r="D7" s="20" t="s">
        <v>87</v>
      </c>
      <c r="E7" s="20"/>
      <c r="F7" s="20" t="str">
        <f t="shared" si="2"/>
        <v>—</v>
      </c>
      <c r="H7" s="31" t="str">
        <f>IF(G7="تم الشراء", "--",
 IF('الشهريه'!C$2 - 
     SUMIFS($C$2:$C7, $G$2:$G7, "تم الشراء") - 
     SUMIFS($C$2:$C7, $G$2:$G7, "") &gt;= C7,
    'الشهريه'!C$2 - 
     SUMIFS($C$2:$C7, $G$2:$G7, "تم الشراء") - 
     SUMIFS($C$2:$C7, $G$2:$G7, "") - C7,
 "")
)
</f>
        <v/>
      </c>
      <c r="I7" s="31" t="str">
        <f>IF(G7="تم الشراء", 
    "✅ تم الشراء",
    IF(COUNTIFS('الشهريه'!$D$36:$D$100, "ضروري", 'الشهريه'!$G$36:$G$100, "&lt;&gt;تم الشراء", 'الشهريه'!$A$36:$A$100, "&lt;&gt;"&amp;A7)&gt;0,
        "❌ يوجد بند أعلى أولوية لم يتم شراؤه",
        IF(H7 &gt;= C7, 
            "✅ يمكن الشراء مباشرة", 
            IF(D7="متوسط", 
                IF('الشهريه'!K41 + ('الشهريه'!M25 / 2) &gt;= C7, 
                    "⚠️ تحتاج اقتطاع جزئي", 
                    "❌ لا يكفي حتى مع التمويل الجزئي"
                ), 
                IF(D7="كمالية", 
                    IF('الشهريه'!K41 &gt;= C7, 
                        "✅ يمكن الشراء مباشرة", 
                        "❌ لا يكفي الفائض"
                    ), 
                    "❓ درجة ضرورة غير معروفة"
                )
            )
        )
    )
)
</f>
        <v>✅ يمكن الشراء مباشرة</v>
      </c>
    </row>
  </sheetData>
  <dataValidations>
    <dataValidation type="list" allowBlank="1" showErrorMessage="1" sqref="D2:D7">
      <formula1>"ضروري,كمالية,متوسط"</formula1>
    </dataValidation>
  </dataValidations>
  <drawing r:id="rId1"/>
</worksheet>
</file>