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L:\Public\Operations\MI Reports\Targets\2025\Mar\"/>
    </mc:Choice>
  </mc:AlternateContent>
  <xr:revisionPtr revIDLastSave="0" documentId="13_ncr:1_{7F144AA0-764B-4519-BE69-71E2B4BD4941}" xr6:coauthVersionLast="47" xr6:coauthVersionMax="47" xr10:uidLastSave="{00000000-0000-0000-0000-000000000000}"/>
  <bookViews>
    <workbookView xWindow="1095" yWindow="210" windowWidth="24585" windowHeight="18735" tabRatio="702" firstSheet="1" activeTab="1" xr2:uid="{00000000-000D-0000-FFFF-FFFF00000000}"/>
  </bookViews>
  <sheets>
    <sheet name="Target sheet July" sheetId="10" state="hidden" r:id="rId1"/>
    <sheet name="Target sheet Dev" sheetId="13" r:id="rId2"/>
    <sheet name="CV NB CAQ " sheetId="8" state="hidden" r:id="rId3"/>
    <sheet name="CV NB First Van" sheetId="12" state="hidden" r:id="rId4"/>
    <sheet name="Sheet1" sheetId="33" state="hidden" r:id="rId5"/>
  </sheets>
  <definedNames>
    <definedName name="_xlnm._FilterDatabase" localSheetId="1" hidden="1">'Target sheet Dev'!$A$3:$H$32</definedName>
    <definedName name="smerenewalwarehouse">#REF!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3" l="1"/>
  <c r="C13" i="12"/>
  <c r="F4" i="33" l="1"/>
  <c r="H4" i="33" s="1"/>
  <c r="D17" i="8" l="1"/>
  <c r="D16" i="12"/>
  <c r="F13" i="12" l="1"/>
  <c r="H26" i="12" l="1"/>
  <c r="H25" i="12"/>
  <c r="H24" i="12"/>
  <c r="H23" i="12"/>
  <c r="H22" i="12"/>
  <c r="D18" i="12"/>
  <c r="C14" i="12"/>
  <c r="Q13" i="12"/>
  <c r="C12" i="12"/>
  <c r="F12" i="12" s="1"/>
  <c r="H12" i="12" s="1"/>
  <c r="I12" i="12" s="1"/>
  <c r="C11" i="12"/>
  <c r="C10" i="12"/>
  <c r="F10" i="12" s="1"/>
  <c r="C4" i="12"/>
  <c r="C3" i="12"/>
  <c r="C2" i="12" s="1"/>
  <c r="H27" i="8"/>
  <c r="H26" i="8"/>
  <c r="H25" i="8"/>
  <c r="H24" i="8"/>
  <c r="H23" i="8"/>
  <c r="D19" i="8"/>
  <c r="C15" i="8"/>
  <c r="C14" i="8"/>
  <c r="F14" i="8" s="1"/>
  <c r="H14" i="8" s="1"/>
  <c r="I14" i="8" s="1"/>
  <c r="C13" i="8"/>
  <c r="F13" i="8" s="1"/>
  <c r="H13" i="8" s="1"/>
  <c r="I13" i="8" s="1"/>
  <c r="C12" i="8"/>
  <c r="F12" i="8" s="1"/>
  <c r="H12" i="8" s="1"/>
  <c r="I12" i="8" s="1"/>
  <c r="C11" i="8"/>
  <c r="F11" i="8" s="1"/>
  <c r="H11" i="8" s="1"/>
  <c r="I11" i="8" s="1"/>
  <c r="C5" i="8"/>
  <c r="C3" i="8"/>
  <c r="C2" i="8" s="1"/>
  <c r="H30" i="10"/>
  <c r="H13" i="10"/>
  <c r="H12" i="10"/>
  <c r="H11" i="10"/>
  <c r="Q11" i="8" l="1"/>
  <c r="Q12" i="12"/>
  <c r="Q14" i="8"/>
  <c r="F15" i="8"/>
  <c r="H15" i="8" s="1"/>
  <c r="I15" i="8" s="1"/>
  <c r="Q15" i="8"/>
  <c r="J12" i="8"/>
  <c r="Q11" i="12"/>
  <c r="F11" i="12"/>
  <c r="H11" i="12" s="1"/>
  <c r="I11" i="12" s="1"/>
  <c r="J11" i="12" s="1"/>
  <c r="Q14" i="12"/>
  <c r="F14" i="12"/>
  <c r="H14" i="12" s="1"/>
  <c r="I14" i="12" s="1"/>
  <c r="J14" i="12" s="1"/>
  <c r="J13" i="8"/>
  <c r="J14" i="8"/>
  <c r="D20" i="8"/>
  <c r="I25" i="8" s="1"/>
  <c r="D13" i="8" s="1"/>
  <c r="E13" i="8" s="1"/>
  <c r="H13" i="12"/>
  <c r="I13" i="12" s="1"/>
  <c r="J13" i="12" s="1"/>
  <c r="J11" i="8"/>
  <c r="Q10" i="12"/>
  <c r="H10" i="12"/>
  <c r="I10" i="12" s="1"/>
  <c r="J12" i="12"/>
  <c r="D19" i="12"/>
  <c r="I22" i="12" s="1"/>
  <c r="D10" i="12" s="1"/>
  <c r="E10" i="12" s="1"/>
  <c r="I23" i="8"/>
  <c r="D11" i="8" s="1"/>
  <c r="E11" i="8" s="1"/>
  <c r="Q12" i="8"/>
  <c r="Q13" i="8"/>
  <c r="J15" i="8" l="1"/>
  <c r="D18" i="8"/>
  <c r="M12" i="8" s="1"/>
  <c r="I27" i="8"/>
  <c r="D15" i="8" s="1"/>
  <c r="E15" i="8" s="1"/>
  <c r="I26" i="8"/>
  <c r="D14" i="8" s="1"/>
  <c r="E14" i="8" s="1"/>
  <c r="K14" i="8" s="1"/>
  <c r="I24" i="8"/>
  <c r="D12" i="8" s="1"/>
  <c r="E12" i="8" s="1"/>
  <c r="K12" i="8" s="1"/>
  <c r="K13" i="8"/>
  <c r="H31" i="10"/>
  <c r="I25" i="12"/>
  <c r="D13" i="12" s="1"/>
  <c r="E13" i="12" s="1"/>
  <c r="K13" i="12" s="1"/>
  <c r="I23" i="12"/>
  <c r="D11" i="12" s="1"/>
  <c r="E11" i="12" s="1"/>
  <c r="K11" i="12" s="1"/>
  <c r="K11" i="8"/>
  <c r="D17" i="12"/>
  <c r="M10" i="12" s="1"/>
  <c r="N10" i="12" s="1"/>
  <c r="J10" i="12"/>
  <c r="K10" i="12" s="1"/>
  <c r="I26" i="12"/>
  <c r="I24" i="12"/>
  <c r="D12" i="12" s="1"/>
  <c r="E12" i="12" s="1"/>
  <c r="K12" i="12" s="1"/>
  <c r="M14" i="8" l="1"/>
  <c r="N14" i="8" s="1"/>
  <c r="M15" i="8"/>
  <c r="N15" i="8" s="1"/>
  <c r="M11" i="8"/>
  <c r="N11" i="8" s="1"/>
  <c r="M13" i="8"/>
  <c r="N13" i="8" s="1"/>
  <c r="K15" i="8"/>
  <c r="L11" i="8" s="1"/>
  <c r="N12" i="8"/>
  <c r="D14" i="12"/>
  <c r="E14" i="12" s="1"/>
  <c r="K14" i="12" s="1"/>
  <c r="L10" i="12" s="1"/>
  <c r="O10" i="12" s="1"/>
  <c r="P10" i="12" s="1"/>
  <c r="M14" i="12"/>
  <c r="N14" i="12" s="1"/>
  <c r="M13" i="12"/>
  <c r="N13" i="12" s="1"/>
  <c r="M11" i="12"/>
  <c r="N11" i="12" s="1"/>
  <c r="M12" i="12"/>
  <c r="N12" i="12" s="1"/>
  <c r="H19" i="10" l="1"/>
  <c r="O13" i="8"/>
  <c r="P13" i="8" s="1"/>
  <c r="S13" i="8" s="1"/>
  <c r="O12" i="8"/>
  <c r="P12" i="8" s="1"/>
  <c r="H33" i="10" s="1"/>
  <c r="O11" i="8"/>
  <c r="P11" i="8" s="1"/>
  <c r="O15" i="8"/>
  <c r="P15" i="8" s="1"/>
  <c r="O14" i="8"/>
  <c r="P14" i="8" s="1"/>
  <c r="H35" i="10" s="1"/>
  <c r="H17" i="10"/>
  <c r="O13" i="12"/>
  <c r="P13" i="12" s="1"/>
  <c r="O11" i="12"/>
  <c r="P11" i="12" s="1"/>
  <c r="O12" i="12"/>
  <c r="P12" i="12" s="1"/>
  <c r="H40" i="10" s="1"/>
  <c r="O14" i="12"/>
  <c r="P14" i="12" s="1"/>
  <c r="H43" i="10" s="1"/>
  <c r="H42" i="10"/>
  <c r="H34" i="10" l="1"/>
  <c r="S14" i="8"/>
  <c r="S15" i="8"/>
  <c r="H18" i="10"/>
  <c r="I18" i="10" s="1"/>
  <c r="R11" i="8"/>
  <c r="H32" i="10"/>
  <c r="I32" i="10" s="1"/>
  <c r="R15" i="8"/>
  <c r="R13" i="8"/>
  <c r="S11" i="8"/>
  <c r="R14" i="8"/>
  <c r="T14" i="8" s="1"/>
  <c r="R12" i="8"/>
  <c r="H41" i="10"/>
  <c r="H39" i="10"/>
  <c r="S12" i="8"/>
  <c r="R14" i="12"/>
  <c r="R10" i="12"/>
  <c r="R13" i="12"/>
  <c r="R12" i="12"/>
  <c r="R11" i="12"/>
  <c r="T11" i="8" l="1"/>
  <c r="T13" i="8"/>
  <c r="T12" i="8"/>
  <c r="I39" i="10"/>
  <c r="H21" i="10"/>
  <c r="H22" i="10"/>
  <c r="H24" i="10" l="1"/>
  <c r="H27" i="10"/>
  <c r="H25" i="10"/>
  <c r="H26" i="10"/>
  <c r="H20" i="10"/>
  <c r="H23" i="10"/>
  <c r="H28" i="10"/>
  <c r="H29" i="10"/>
  <c r="H16" i="10" l="1"/>
  <c r="H15" i="10"/>
  <c r="H14" i="10"/>
  <c r="I20" i="10"/>
  <c r="I14" i="10" l="1"/>
  <c r="H10" i="10" l="1"/>
  <c r="H8" i="10" l="1"/>
  <c r="H9" i="10"/>
  <c r="H7" i="10"/>
  <c r="H6" i="10"/>
  <c r="H5" i="10" l="1"/>
  <c r="H4" i="10" l="1"/>
  <c r="I4" i="10" s="1"/>
  <c r="I45" i="10" s="1"/>
</calcChain>
</file>

<file path=xl/sharedStrings.xml><?xml version="1.0" encoding="utf-8"?>
<sst xmlns="http://schemas.openxmlformats.org/spreadsheetml/2006/main" count="326" uniqueCount="113">
  <si>
    <t>Agent</t>
  </si>
  <si>
    <t>ft/pt</t>
  </si>
  <si>
    <t>Hours Worked</t>
  </si>
  <si>
    <t>Reece Bullock</t>
  </si>
  <si>
    <t>Nikki Thomas</t>
  </si>
  <si>
    <t>Charlotte Snow</t>
  </si>
  <si>
    <t>Kelly Vaughan</t>
  </si>
  <si>
    <t>Total Hours to be worked</t>
  </si>
  <si>
    <t>Weighting based off of performance</t>
  </si>
  <si>
    <t>Remainder</t>
  </si>
  <si>
    <t>Adjusted Targets based on Hours</t>
  </si>
  <si>
    <t>Weighted Target</t>
  </si>
  <si>
    <t>Hours worked by FTE</t>
  </si>
  <si>
    <t>Hours worked weighting</t>
  </si>
  <si>
    <t>Hours worked and Performance Weighting</t>
  </si>
  <si>
    <t>Working Days</t>
  </si>
  <si>
    <t>Hours Adjustment  %</t>
  </si>
  <si>
    <t>Remainder Split based on Hours worked and Performance Weighting</t>
  </si>
  <si>
    <t>Full Target (Rounded)</t>
  </si>
  <si>
    <t>Working Days off</t>
  </si>
  <si>
    <t>Name</t>
  </si>
  <si>
    <t>Core</t>
  </si>
  <si>
    <t>Add-on</t>
  </si>
  <si>
    <t>Product</t>
  </si>
  <si>
    <t>Banding</t>
  </si>
  <si>
    <t>Combined Score</t>
  </si>
  <si>
    <t>Combined Score Total</t>
  </si>
  <si>
    <t>Weighting %</t>
  </si>
  <si>
    <t>Tara Griffiths</t>
  </si>
  <si>
    <t>Aimee Davies</t>
  </si>
  <si>
    <t>Ethan Fox</t>
  </si>
  <si>
    <t>Elisha Perry</t>
  </si>
  <si>
    <t>Tony Lewis</t>
  </si>
  <si>
    <t>Hayley Donovan</t>
  </si>
  <si>
    <t>Van NB Target</t>
  </si>
  <si>
    <t>Nicola Christensen</t>
  </si>
  <si>
    <t>Paul Rogers</t>
  </si>
  <si>
    <t>Working Days in Month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</si>
  <si>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</si>
  <si>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</si>
  <si>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</si>
  <si>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</si>
  <si>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</si>
  <si>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</si>
  <si>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</si>
  <si>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</si>
  <si>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</si>
  <si>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</si>
  <si>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</si>
  <si>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</si>
  <si>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</si>
  <si>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</si>
  <si>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</si>
  <si>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</si>
  <si>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</si>
  <si>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</si>
  <si>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</si>
  <si>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</si>
  <si>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</si>
  <si>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</si>
  <si>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</si>
  <si>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</si>
  <si>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</si>
  <si>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</si>
  <si>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</si>
  <si>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Validation Target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</si>
  <si>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</si>
  <si>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</si>
  <si>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</si>
  <si>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</si>
  <si>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</si>
  <si>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</si>
  <si>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</si>
  <si>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</si>
  <si>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</si>
  <si>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</si>
  <si>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</si>
  <si>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</si>
  <si>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</si>
  <si>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</si>
  <si>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Other</t>
  </si>
  <si>
    <t>Jacob Hammond</t>
  </si>
  <si>
    <t>Nichola Connor</t>
  </si>
  <si>
    <t>Kelly Mordecai</t>
  </si>
  <si>
    <t>Rachael Surridge</t>
  </si>
  <si>
    <t>Sophie Roberts</t>
  </si>
  <si>
    <t>CV NB First Van Target</t>
  </si>
  <si>
    <t>Ethan Hallam</t>
  </si>
  <si>
    <t>M - NB</t>
  </si>
  <si>
    <t>M - RNL</t>
  </si>
  <si>
    <t>Core Policy Count Target</t>
  </si>
  <si>
    <t>Policy Count Target</t>
  </si>
  <si>
    <t>Core Unit count Target</t>
  </si>
  <si>
    <t>Policy Count after Agg Woff</t>
  </si>
  <si>
    <t>Policy Count Target After Agg Woff</t>
  </si>
  <si>
    <t>Ebenezer Potter</t>
  </si>
  <si>
    <t>Potrica Newton</t>
  </si>
  <si>
    <t>Kieran Bergin</t>
  </si>
  <si>
    <t>Spare NB CV</t>
  </si>
  <si>
    <t>XBroker</t>
  </si>
  <si>
    <t>Bailey Edwards</t>
  </si>
  <si>
    <t>Combined Target</t>
  </si>
  <si>
    <t>Combined Policy Count</t>
  </si>
  <si>
    <t>XB - NB</t>
  </si>
  <si>
    <t>XB - RNL</t>
  </si>
  <si>
    <t>Row Labels</t>
  </si>
  <si>
    <t>(blank)</t>
  </si>
  <si>
    <t>Grand Total</t>
  </si>
  <si>
    <t>Count of DD Flag</t>
  </si>
  <si>
    <t>Ethan Zerk</t>
  </si>
  <si>
    <t>Lewis Ellaway</t>
  </si>
  <si>
    <t>Van - EB/SME RNL</t>
  </si>
  <si>
    <t>Megan Hardacre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</si>
</sst>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8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0" fillId="0" borderId="1" xfId="0" applyBorder="1"/>
    <xf numFmtId="164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165" fontId="0" fillId="0" borderId="0" xfId="0" applyNumberFormat="1"/>
    <xf numFmtId="0" fontId="0" fillId="0" borderId="11" xfId="0" applyBorder="1"/>
    <xf numFmtId="164" fontId="0" fillId="0" borderId="9" xfId="0" applyNumberFormat="1" applyBorder="1"/>
    <xf numFmtId="0" fontId="0" fillId="0" borderId="10" xfId="0" applyBorder="1" applyAlignment="1">
      <alignment horizontal="center" vertical="center"/>
    </xf>
    <xf numFmtId="164" fontId="0" fillId="0" borderId="8" xfId="0" applyNumberFormat="1" applyBorder="1"/>
    <xf numFmtId="164" fontId="0" fillId="0" borderId="5" xfId="0" applyNumberFormat="1" applyBorder="1"/>
    <xf numFmtId="164" fontId="0" fillId="2" borderId="6" xfId="0" applyNumberFormat="1" applyFill="1" applyBorder="1"/>
    <xf numFmtId="0" fontId="4" fillId="0" borderId="1" xfId="0" applyFont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 vertical="center"/>
    </xf>
    <xf numFmtId="165" fontId="0" fillId="0" borderId="19" xfId="0" applyNumberForma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9" xfId="0" applyBorder="1"/>
    <xf numFmtId="0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8" fontId="0" fillId="0" borderId="1" xfId="0" applyNumberFormat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3" fontId="1" fillId="0" borderId="1" xfId="1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9" xfId="0" applyNumberFormat="1" applyBorder="1"/>
    <xf numFmtId="3" fontId="0" fillId="0" borderId="1" xfId="0" applyNumberFormat="1" applyBorder="1"/>
    <xf numFmtId="164" fontId="0" fillId="0" borderId="15" xfId="0" applyNumberFormat="1" applyBorder="1"/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22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7">
    <cellStyle name="Normal" xfId="0" builtinId="0"/>
    <cellStyle name="Normal 19" xfId="3" xr:uid="{00000000-0005-0000-0000-000002000000}"/>
    <cellStyle name="Normal 2" xfId="1" xr:uid="{00000000-0005-0000-0000-000003000000}"/>
    <cellStyle name="Normal 2 2" xfId="6" xr:uid="{00000000-0005-0000-0000-000004000000}"/>
    <cellStyle name="Normal 3" xfId="2" xr:uid="{00000000-0005-0000-0000-000005000000}"/>
    <cellStyle name="Normal 6" xfId="4" xr:uid="{00000000-0005-0000-0000-000006000000}"/>
    <cellStyle name="Normal 7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Evans" refreshedDate="45643.462556597224" createdVersion="6" refreshedVersion="8" minRefreshableVersion="3" recordCount="272" xr:uid="{00000000-000A-0000-FFFF-FFFF00000000}">
  <cacheSource type="worksheet">
    <worksheetSource ref="A1:A1048576" sheet="CAQ Renewals Due Core"/>
  </cacheSource>
  <cacheFields count="1">
    <cacheField name="DD Flag" numFmtId="0">
      <sharedItems containsBlank="1" count="3">
        <s v="Other"/>
        <m/>
        <s v="D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6" firstHeaderRow="1" firstDataRow="1" firstDataCol="1"/>
  <pivotFields count="1">
    <pivotField axis="axisRow" dataField="1" showAll="0">
      <items count="4">
        <item m="1" x="2"/>
        <item x="0"/>
        <item x="1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Count of DD Fl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27" t="s">
        <v>38</v>
      </c>
      <c r="D3" s="28" t="s">
        <v>39</v>
      </c>
      <c r="E3" s="28" t="s">
        <v>40</v>
      </c>
      <c r="F3" s="28" t="s">
        <v>41</v>
      </c>
      <c r="G3" s="28" t="s">
        <v>42</v>
      </c>
      <c r="H3" s="28" t="s">
        <v>43</v>
      </c>
      <c r="I3" s="28" t="s">
        <v>44</v>
      </c>
      <c r="J3" s="29" t="s">
        <v>45</v>
      </c>
    </row>
    <row r="4" spans="3:11" x14ac:dyDescent="0.25">
      <c r="C4" s="30" t="s">
        <v>48</v>
      </c>
      <c r="D4" s="21" t="s">
        <v>46</v>
      </c>
      <c r="E4" s="21" t="s">
        <v>47</v>
      </c>
      <c r="F4" s="21"/>
      <c r="G4" s="23">
        <v>44743</v>
      </c>
      <c r="H4" s="25" t="e">
        <f>#REF!</f>
        <v>#REF!</v>
      </c>
      <c r="I4" s="69" t="e">
        <f>SUM(H4:H13)</f>
        <v>#REF!</v>
      </c>
      <c r="J4" s="31"/>
    </row>
    <row r="5" spans="3:11" x14ac:dyDescent="0.25">
      <c r="C5" s="30" t="s">
        <v>31</v>
      </c>
      <c r="D5" s="21" t="s">
        <v>46</v>
      </c>
      <c r="E5" s="21" t="s">
        <v>47</v>
      </c>
      <c r="F5" s="21"/>
      <c r="G5" s="23">
        <v>44743</v>
      </c>
      <c r="H5" s="25" t="e">
        <f>#REF!</f>
        <v>#REF!</v>
      </c>
      <c r="I5" s="69"/>
      <c r="J5" s="31"/>
    </row>
    <row r="6" spans="3:11" x14ac:dyDescent="0.25">
      <c r="C6" s="30" t="s">
        <v>29</v>
      </c>
      <c r="D6" s="21" t="s">
        <v>46</v>
      </c>
      <c r="E6" s="21" t="s">
        <v>47</v>
      </c>
      <c r="F6" s="21"/>
      <c r="G6" s="23">
        <v>44743</v>
      </c>
      <c r="H6" s="25" t="e">
        <f>#REF!</f>
        <v>#REF!</v>
      </c>
      <c r="I6" s="69"/>
      <c r="J6" s="31"/>
    </row>
    <row r="7" spans="3:11" x14ac:dyDescent="0.25">
      <c r="C7" s="30" t="s">
        <v>28</v>
      </c>
      <c r="D7" s="21" t="s">
        <v>46</v>
      </c>
      <c r="E7" s="21" t="s">
        <v>47</v>
      </c>
      <c r="F7" s="21"/>
      <c r="G7" s="23">
        <v>44743</v>
      </c>
      <c r="H7" s="25" t="e">
        <f>#REF!</f>
        <v>#REF!</v>
      </c>
      <c r="I7" s="69"/>
      <c r="J7" s="31"/>
    </row>
    <row r="8" spans="3:11" x14ac:dyDescent="0.25">
      <c r="C8" s="30" t="s">
        <v>30</v>
      </c>
      <c r="D8" s="21" t="s">
        <v>46</v>
      </c>
      <c r="E8" s="21" t="s">
        <v>47</v>
      </c>
      <c r="F8" s="21"/>
      <c r="G8" s="23">
        <v>44743</v>
      </c>
      <c r="H8" s="25" t="e">
        <f>#REF!</f>
        <v>#REF!</v>
      </c>
      <c r="I8" s="69"/>
      <c r="J8" s="31"/>
    </row>
    <row r="9" spans="3:11" x14ac:dyDescent="0.25">
      <c r="C9" s="30" t="s">
        <v>87</v>
      </c>
      <c r="D9" s="21" t="s">
        <v>46</v>
      </c>
      <c r="E9" s="21" t="s">
        <v>47</v>
      </c>
      <c r="F9" s="21"/>
      <c r="G9" s="23">
        <v>44743</v>
      </c>
      <c r="H9" s="24" t="e">
        <f>#REF!</f>
        <v>#REF!</v>
      </c>
      <c r="I9" s="69"/>
      <c r="J9" s="31"/>
    </row>
    <row r="10" spans="3:11" x14ac:dyDescent="0.25">
      <c r="C10" s="30" t="s">
        <v>67</v>
      </c>
      <c r="D10" s="21" t="s">
        <v>46</v>
      </c>
      <c r="E10" s="21" t="s">
        <v>47</v>
      </c>
      <c r="F10" s="21"/>
      <c r="G10" s="23">
        <v>44743</v>
      </c>
      <c r="H10" s="25" t="e">
        <f>#REF!</f>
        <v>#REF!</v>
      </c>
      <c r="I10" s="69"/>
      <c r="J10" s="31"/>
      <c r="K10" s="14"/>
    </row>
    <row r="11" spans="3:11" x14ac:dyDescent="0.25">
      <c r="C11" s="30" t="s">
        <v>84</v>
      </c>
      <c r="D11" s="21" t="s">
        <v>46</v>
      </c>
      <c r="E11" s="21" t="s">
        <v>47</v>
      </c>
      <c r="F11" s="21"/>
      <c r="G11" s="23">
        <v>44743</v>
      </c>
      <c r="H11" s="25" t="e">
        <f>#REF!</f>
        <v>#REF!</v>
      </c>
      <c r="I11" s="69"/>
      <c r="J11" s="31"/>
      <c r="K11" s="14"/>
    </row>
    <row r="12" spans="3:11" x14ac:dyDescent="0.25">
      <c r="C12" s="30" t="s">
        <v>73</v>
      </c>
      <c r="D12" s="21" t="s">
        <v>46</v>
      </c>
      <c r="E12" s="21" t="s">
        <v>49</v>
      </c>
      <c r="F12" s="21"/>
      <c r="G12" s="23">
        <v>44743</v>
      </c>
      <c r="H12" s="25" t="e">
        <f>#REF!</f>
        <v>#REF!</v>
      </c>
      <c r="I12" s="69"/>
      <c r="J12" s="31" t="s">
        <v>63</v>
      </c>
    </row>
    <row r="13" spans="3:11" x14ac:dyDescent="0.25">
      <c r="C13" s="30" t="s">
        <v>50</v>
      </c>
      <c r="D13" s="21" t="s">
        <v>46</v>
      </c>
      <c r="E13" s="21" t="s">
        <v>51</v>
      </c>
      <c r="F13" s="21"/>
      <c r="G13" s="23">
        <v>44743</v>
      </c>
      <c r="H13" s="25" t="e">
        <f>#REF!</f>
        <v>#REF!</v>
      </c>
      <c r="I13" s="69"/>
      <c r="J13" s="31" t="s">
        <v>64</v>
      </c>
    </row>
    <row r="14" spans="3:11" x14ac:dyDescent="0.25">
      <c r="C14" s="30" t="s">
        <v>68</v>
      </c>
      <c r="D14" s="21" t="s">
        <v>46</v>
      </c>
      <c r="E14" s="21" t="s">
        <v>53</v>
      </c>
      <c r="F14" s="21">
        <v>0</v>
      </c>
      <c r="G14" s="23">
        <v>44743</v>
      </c>
      <c r="H14" s="26" t="e">
        <f>#REF!</f>
        <v>#REF!</v>
      </c>
      <c r="I14" s="69" t="e">
        <f>SUM(H14:H17)</f>
        <v>#REF!</v>
      </c>
      <c r="J14" s="31"/>
    </row>
    <row r="15" spans="3:11" x14ac:dyDescent="0.25">
      <c r="C15" s="30" t="s">
        <v>35</v>
      </c>
      <c r="D15" s="21" t="s">
        <v>46</v>
      </c>
      <c r="E15" s="21" t="s">
        <v>53</v>
      </c>
      <c r="F15" s="21">
        <v>0</v>
      </c>
      <c r="G15" s="23">
        <v>44743</v>
      </c>
      <c r="H15" s="26" t="e">
        <f>#REF!</f>
        <v>#REF!</v>
      </c>
      <c r="I15" s="70"/>
      <c r="J15" s="31"/>
    </row>
    <row r="16" spans="3:11" x14ac:dyDescent="0.25">
      <c r="C16" s="30" t="s">
        <v>36</v>
      </c>
      <c r="D16" s="21" t="s">
        <v>46</v>
      </c>
      <c r="E16" s="21" t="s">
        <v>53</v>
      </c>
      <c r="F16" s="21">
        <v>0</v>
      </c>
      <c r="G16" s="23">
        <v>44743</v>
      </c>
      <c r="H16" s="26" t="e">
        <f>#REF!</f>
        <v>#REF!</v>
      </c>
      <c r="I16" s="70"/>
      <c r="J16" s="31"/>
    </row>
    <row r="17" spans="3:10" x14ac:dyDescent="0.25">
      <c r="C17" s="30" t="s">
        <v>54</v>
      </c>
      <c r="D17" s="21" t="s">
        <v>46</v>
      </c>
      <c r="E17" s="21" t="s">
        <v>53</v>
      </c>
      <c r="F17" s="21">
        <v>0</v>
      </c>
      <c r="G17" s="23">
        <v>44743</v>
      </c>
      <c r="H17" s="26" t="e">
        <f>#REF!</f>
        <v>#REF!</v>
      </c>
      <c r="I17" s="70"/>
      <c r="J17" s="31"/>
    </row>
    <row r="18" spans="3:10" x14ac:dyDescent="0.25">
      <c r="C18" s="36" t="s">
        <v>52</v>
      </c>
      <c r="D18" s="37" t="s">
        <v>46</v>
      </c>
      <c r="E18" s="37" t="s">
        <v>78</v>
      </c>
      <c r="F18" s="37">
        <v>3</v>
      </c>
      <c r="G18" s="23">
        <v>44743</v>
      </c>
      <c r="H18" s="38" t="e">
        <f>#REF!</f>
        <v>#REF!</v>
      </c>
      <c r="I18" s="73" t="e">
        <f>SUM(H18+H19)</f>
        <v>#REF!</v>
      </c>
      <c r="J18" s="39"/>
    </row>
    <row r="19" spans="3:10" x14ac:dyDescent="0.25">
      <c r="C19" s="36" t="s">
        <v>59</v>
      </c>
      <c r="D19" s="37" t="s">
        <v>46</v>
      </c>
      <c r="E19" s="37" t="s">
        <v>78</v>
      </c>
      <c r="F19" s="37">
        <v>3</v>
      </c>
      <c r="G19" s="23">
        <v>44743</v>
      </c>
      <c r="H19" s="38" t="e">
        <f>#REF!</f>
        <v>#REF!</v>
      </c>
      <c r="I19" s="74"/>
      <c r="J19" s="39"/>
    </row>
    <row r="20" spans="3:10" x14ac:dyDescent="0.25">
      <c r="C20" s="32" t="s">
        <v>3</v>
      </c>
      <c r="D20" s="21" t="s">
        <v>55</v>
      </c>
      <c r="E20" s="21" t="s">
        <v>77</v>
      </c>
      <c r="F20" s="21" t="s">
        <v>76</v>
      </c>
      <c r="G20" s="23">
        <v>44743</v>
      </c>
      <c r="H20" s="26" t="e">
        <f>#REF!</f>
        <v>#REF!</v>
      </c>
      <c r="I20" s="69" t="e">
        <f>SUM(H20:H31)</f>
        <v>#REF!</v>
      </c>
      <c r="J20" s="31"/>
    </row>
    <row r="21" spans="3:10" x14ac:dyDescent="0.25">
      <c r="C21" s="32" t="s">
        <v>69</v>
      </c>
      <c r="D21" s="21" t="s">
        <v>55</v>
      </c>
      <c r="E21" s="21" t="s">
        <v>77</v>
      </c>
      <c r="F21" s="21" t="s">
        <v>76</v>
      </c>
      <c r="G21" s="23">
        <v>44743</v>
      </c>
      <c r="H21" s="26" t="e">
        <f>#REF!</f>
        <v>#REF!</v>
      </c>
      <c r="I21" s="70"/>
      <c r="J21" s="31"/>
    </row>
    <row r="22" spans="3:10" x14ac:dyDescent="0.25">
      <c r="C22" s="40" t="s">
        <v>85</v>
      </c>
      <c r="D22" s="21" t="s">
        <v>55</v>
      </c>
      <c r="E22" s="21" t="s">
        <v>77</v>
      </c>
      <c r="F22" s="21" t="s">
        <v>76</v>
      </c>
      <c r="G22" s="23">
        <v>44743</v>
      </c>
      <c r="H22" s="26" t="e">
        <f>#REF!</f>
        <v>#REF!</v>
      </c>
      <c r="I22" s="70"/>
      <c r="J22" s="31"/>
    </row>
    <row r="23" spans="3:10" x14ac:dyDescent="0.25">
      <c r="C23" s="40" t="s">
        <v>4</v>
      </c>
      <c r="D23" s="21" t="s">
        <v>55</v>
      </c>
      <c r="E23" s="21" t="s">
        <v>56</v>
      </c>
      <c r="F23" s="21" t="s">
        <v>76</v>
      </c>
      <c r="G23" s="23">
        <v>44743</v>
      </c>
      <c r="H23" s="26" t="e">
        <f>#REF!</f>
        <v>#REF!</v>
      </c>
      <c r="I23" s="70"/>
      <c r="J23" s="31"/>
    </row>
    <row r="24" spans="3:10" x14ac:dyDescent="0.25">
      <c r="C24" s="32" t="s">
        <v>5</v>
      </c>
      <c r="D24" s="21" t="s">
        <v>55</v>
      </c>
      <c r="E24" s="21" t="s">
        <v>56</v>
      </c>
      <c r="F24" s="21" t="s">
        <v>76</v>
      </c>
      <c r="G24" s="23">
        <v>44743</v>
      </c>
      <c r="H24" s="26" t="e">
        <f>#REF!</f>
        <v>#REF!</v>
      </c>
      <c r="I24" s="70"/>
      <c r="J24" s="31"/>
    </row>
    <row r="25" spans="3:10" x14ac:dyDescent="0.25">
      <c r="C25" s="32" t="s">
        <v>6</v>
      </c>
      <c r="D25" s="21" t="s">
        <v>55</v>
      </c>
      <c r="E25" s="21" t="s">
        <v>56</v>
      </c>
      <c r="F25" s="21" t="s">
        <v>76</v>
      </c>
      <c r="G25" s="23">
        <v>44743</v>
      </c>
      <c r="H25" s="26" t="e">
        <f>#REF!</f>
        <v>#REF!</v>
      </c>
      <c r="I25" s="70"/>
      <c r="J25" s="31"/>
    </row>
    <row r="26" spans="3:10" x14ac:dyDescent="0.25">
      <c r="C26" s="32" t="s">
        <v>70</v>
      </c>
      <c r="D26" s="21" t="s">
        <v>55</v>
      </c>
      <c r="E26" s="21" t="s">
        <v>56</v>
      </c>
      <c r="F26" s="21" t="s">
        <v>76</v>
      </c>
      <c r="G26" s="23">
        <v>44743</v>
      </c>
      <c r="H26" s="26" t="e">
        <f>#REF!</f>
        <v>#REF!</v>
      </c>
      <c r="I26" s="70"/>
      <c r="J26" s="31"/>
    </row>
    <row r="27" spans="3:10" x14ac:dyDescent="0.25">
      <c r="C27" s="40" t="s">
        <v>74</v>
      </c>
      <c r="D27" s="21" t="s">
        <v>55</v>
      </c>
      <c r="E27" s="21" t="s">
        <v>56</v>
      </c>
      <c r="F27" s="21" t="s">
        <v>75</v>
      </c>
      <c r="G27" s="23">
        <v>44743</v>
      </c>
      <c r="H27" s="26" t="e">
        <f>#REF!</f>
        <v>#REF!</v>
      </c>
      <c r="I27" s="70"/>
      <c r="J27" s="31"/>
    </row>
    <row r="28" spans="3:10" x14ac:dyDescent="0.25">
      <c r="C28" s="40" t="s">
        <v>81</v>
      </c>
      <c r="D28" s="21" t="s">
        <v>55</v>
      </c>
      <c r="E28" s="21" t="s">
        <v>56</v>
      </c>
      <c r="F28" s="21" t="s">
        <v>75</v>
      </c>
      <c r="G28" s="23">
        <v>44743</v>
      </c>
      <c r="H28" s="26" t="e">
        <f>#REF!</f>
        <v>#REF!</v>
      </c>
      <c r="I28" s="70"/>
      <c r="J28" s="31"/>
    </row>
    <row r="29" spans="3:10" x14ac:dyDescent="0.25">
      <c r="C29" s="40" t="s">
        <v>82</v>
      </c>
      <c r="D29" s="21" t="s">
        <v>55</v>
      </c>
      <c r="E29" s="21" t="s">
        <v>56</v>
      </c>
      <c r="F29" s="21" t="s">
        <v>75</v>
      </c>
      <c r="G29" s="23">
        <v>44743</v>
      </c>
      <c r="H29" s="26" t="e">
        <f>#REF!</f>
        <v>#REF!</v>
      </c>
      <c r="I29" s="70"/>
      <c r="J29" s="31"/>
    </row>
    <row r="30" spans="3:10" x14ac:dyDescent="0.25">
      <c r="C30" s="30" t="s">
        <v>73</v>
      </c>
      <c r="D30" s="21" t="s">
        <v>55</v>
      </c>
      <c r="E30" s="21" t="s">
        <v>66</v>
      </c>
      <c r="F30" s="21" t="s">
        <v>76</v>
      </c>
      <c r="G30" s="23">
        <v>44743</v>
      </c>
      <c r="H30" s="26" t="e">
        <f>#REF!</f>
        <v>#REF!</v>
      </c>
      <c r="I30" s="70"/>
      <c r="J30" s="31"/>
    </row>
    <row r="31" spans="3:10" x14ac:dyDescent="0.25">
      <c r="C31" s="30" t="s">
        <v>57</v>
      </c>
      <c r="D31" s="21" t="s">
        <v>55</v>
      </c>
      <c r="E31" s="21" t="s">
        <v>57</v>
      </c>
      <c r="F31" s="21" t="s">
        <v>76</v>
      </c>
      <c r="G31" s="23">
        <v>44743</v>
      </c>
      <c r="H31" s="26" t="e">
        <f>#REF!</f>
        <v>#REF!</v>
      </c>
      <c r="I31" s="70"/>
      <c r="J31" s="31"/>
    </row>
    <row r="32" spans="3:10" x14ac:dyDescent="0.25">
      <c r="C32" s="30" t="s">
        <v>32</v>
      </c>
      <c r="D32" s="21" t="s">
        <v>55</v>
      </c>
      <c r="E32" s="21" t="s">
        <v>71</v>
      </c>
      <c r="F32" s="21">
        <v>0</v>
      </c>
      <c r="G32" s="23">
        <v>44743</v>
      </c>
      <c r="H32" s="26" t="e">
        <f>'CV NB CAQ '!P11</f>
        <v>#REF!</v>
      </c>
      <c r="I32" s="73" t="e">
        <f>SUM(H32:H38)</f>
        <v>#REF!</v>
      </c>
      <c r="J32" s="33"/>
    </row>
    <row r="33" spans="3:10" x14ac:dyDescent="0.25">
      <c r="C33" s="30" t="s">
        <v>33</v>
      </c>
      <c r="D33" s="21" t="s">
        <v>55</v>
      </c>
      <c r="E33" s="21" t="s">
        <v>71</v>
      </c>
      <c r="F33" s="21">
        <v>0</v>
      </c>
      <c r="G33" s="23">
        <v>44743</v>
      </c>
      <c r="H33" s="26" t="e">
        <f>'CV NB CAQ '!P12</f>
        <v>#REF!</v>
      </c>
      <c r="I33" s="74"/>
      <c r="J33" s="33"/>
    </row>
    <row r="34" spans="3:10" x14ac:dyDescent="0.25">
      <c r="C34" s="30" t="s">
        <v>83</v>
      </c>
      <c r="D34" s="21" t="s">
        <v>55</v>
      </c>
      <c r="E34" s="21" t="s">
        <v>71</v>
      </c>
      <c r="F34" s="21">
        <v>0</v>
      </c>
      <c r="G34" s="23">
        <v>44743</v>
      </c>
      <c r="H34" s="26" t="e">
        <f>'CV NB CAQ '!P13</f>
        <v>#REF!</v>
      </c>
      <c r="I34" s="74"/>
      <c r="J34" s="33"/>
    </row>
    <row r="35" spans="3:10" x14ac:dyDescent="0.25">
      <c r="C35" s="30" t="s">
        <v>58</v>
      </c>
      <c r="D35" s="21" t="s">
        <v>55</v>
      </c>
      <c r="E35" s="21" t="s">
        <v>71</v>
      </c>
      <c r="F35" s="21">
        <v>0</v>
      </c>
      <c r="G35" s="23">
        <v>44743</v>
      </c>
      <c r="H35" s="26" t="e">
        <f>'CV NB CAQ '!P14</f>
        <v>#REF!</v>
      </c>
      <c r="I35" s="74"/>
      <c r="J35" s="33"/>
    </row>
    <row r="36" spans="3:10" x14ac:dyDescent="0.25">
      <c r="C36" s="30" t="s">
        <v>60</v>
      </c>
      <c r="D36" s="21" t="s">
        <v>55</v>
      </c>
      <c r="E36" s="21" t="s">
        <v>71</v>
      </c>
      <c r="F36" s="21">
        <v>0</v>
      </c>
      <c r="G36" s="23">
        <v>44743</v>
      </c>
      <c r="H36" s="26">
        <v>1000</v>
      </c>
      <c r="I36" s="74"/>
      <c r="J36" s="31"/>
    </row>
    <row r="37" spans="3:10" x14ac:dyDescent="0.25">
      <c r="C37" s="30" t="s">
        <v>72</v>
      </c>
      <c r="D37" s="21" t="s">
        <v>55</v>
      </c>
      <c r="E37" s="21" t="s">
        <v>71</v>
      </c>
      <c r="F37" s="21">
        <v>0</v>
      </c>
      <c r="G37" s="23">
        <v>44743</v>
      </c>
      <c r="H37" s="26">
        <v>1000</v>
      </c>
      <c r="I37" s="74"/>
      <c r="J37" s="31"/>
    </row>
    <row r="38" spans="3:10" x14ac:dyDescent="0.25">
      <c r="C38" s="30" t="s">
        <v>61</v>
      </c>
      <c r="D38" s="21" t="s">
        <v>55</v>
      </c>
      <c r="E38" s="21" t="s">
        <v>71</v>
      </c>
      <c r="F38" s="21">
        <v>0</v>
      </c>
      <c r="G38" s="23">
        <v>44743</v>
      </c>
      <c r="H38" s="26">
        <v>1000</v>
      </c>
      <c r="I38" s="75"/>
      <c r="J38" s="31"/>
    </row>
    <row r="39" spans="3:10" x14ac:dyDescent="0.25">
      <c r="C39" s="36" t="s">
        <v>32</v>
      </c>
      <c r="D39" s="21" t="s">
        <v>55</v>
      </c>
      <c r="E39" s="21" t="s">
        <v>79</v>
      </c>
      <c r="F39" s="21">
        <v>3</v>
      </c>
      <c r="G39" s="23">
        <v>44743</v>
      </c>
      <c r="H39" s="38" t="e">
        <f>'CV NB First Van'!P11</f>
        <v>#REF!</v>
      </c>
      <c r="I39" s="74" t="e">
        <f>H42+H43+H39+H40+H41</f>
        <v>#REF!</v>
      </c>
      <c r="J39" s="39"/>
    </row>
    <row r="40" spans="3:10" x14ac:dyDescent="0.25">
      <c r="C40" s="36" t="s">
        <v>33</v>
      </c>
      <c r="D40" s="21" t="s">
        <v>55</v>
      </c>
      <c r="E40" s="21" t="s">
        <v>79</v>
      </c>
      <c r="F40" s="21">
        <v>3</v>
      </c>
      <c r="G40" s="23">
        <v>44743</v>
      </c>
      <c r="H40" s="38" t="e">
        <f>'CV NB First Van'!P12</f>
        <v>#REF!</v>
      </c>
      <c r="I40" s="74"/>
      <c r="J40" s="39"/>
    </row>
    <row r="41" spans="3:10" x14ac:dyDescent="0.25">
      <c r="C41" s="36" t="s">
        <v>58</v>
      </c>
      <c r="D41" s="21" t="s">
        <v>55</v>
      </c>
      <c r="E41" s="21" t="s">
        <v>79</v>
      </c>
      <c r="F41" s="21">
        <v>3</v>
      </c>
      <c r="G41" s="23">
        <v>44743</v>
      </c>
      <c r="H41" s="38" t="e">
        <f>'CV NB First Van'!P13</f>
        <v>#REF!</v>
      </c>
      <c r="I41" s="74"/>
      <c r="J41" s="39"/>
    </row>
    <row r="42" spans="3:10" x14ac:dyDescent="0.25">
      <c r="C42" s="36" t="s">
        <v>83</v>
      </c>
      <c r="D42" s="21" t="s">
        <v>55</v>
      </c>
      <c r="E42" s="21" t="s">
        <v>79</v>
      </c>
      <c r="F42" s="21">
        <v>3</v>
      </c>
      <c r="G42" s="23">
        <v>44743</v>
      </c>
      <c r="H42" s="38" t="e">
        <f>'CV NB First Van'!P10</f>
        <v>#REF!</v>
      </c>
      <c r="I42" s="74"/>
      <c r="J42" s="39"/>
    </row>
    <row r="43" spans="3:10" x14ac:dyDescent="0.25">
      <c r="C43" s="36" t="s">
        <v>59</v>
      </c>
      <c r="D43" s="21" t="s">
        <v>55</v>
      </c>
      <c r="E43" s="21" t="s">
        <v>79</v>
      </c>
      <c r="F43" s="21">
        <v>3</v>
      </c>
      <c r="G43" s="23">
        <v>44743</v>
      </c>
      <c r="H43" s="38" t="e">
        <f>'CV NB First Van'!P14</f>
        <v>#REF!</v>
      </c>
      <c r="I43" s="75"/>
      <c r="J43" s="39"/>
    </row>
    <row r="44" spans="3:10" ht="15.75" thickBot="1" x14ac:dyDescent="0.3">
      <c r="C44" s="71" t="s">
        <v>62</v>
      </c>
      <c r="D44" s="72"/>
      <c r="E44" s="72"/>
      <c r="F44" s="72"/>
      <c r="G44" s="72"/>
      <c r="H44" s="72"/>
      <c r="I44" s="35"/>
      <c r="J44" s="34"/>
    </row>
    <row r="45" spans="3:10" ht="15.75" thickBot="1" x14ac:dyDescent="0.3">
      <c r="I45" s="22" t="e">
        <f>SUM(I32+I20+I14+I18+I39+I4)</f>
        <v>#REF!</v>
      </c>
      <c r="J45" s="17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2:J32"/>
  <sheetViews>
    <sheetView tabSelected="1" zoomScale="120" zoomScaleNormal="120" workbookViewId="0">
      <selection activeCell="K18" sqref="K18"/>
    </sheetView>
  </sheetViews>
  <sheetFormatPr defaultColWidth="9.140625" defaultRowHeight="15" x14ac:dyDescent="0.25"/>
  <cols>
    <col min="1" max="1" width="25.85546875" customWidth="1"/>
    <col min="2" max="2" width="18.42578125" customWidth="1"/>
    <col min="3" max="3" width="25.140625" customWidth="1"/>
    <col min="4" max="4" width="7.28515625" customWidth="1"/>
    <col min="5" max="5" width="17.7109375" customWidth="1"/>
    <col min="6" max="6" width="14.42578125" customWidth="1"/>
    <col min="7" max="7" width="12.42578125" bestFit="1" customWidth="1"/>
    <col min="8" max="8" width="19.5703125" bestFit="1" customWidth="1"/>
  </cols>
  <sheetData>
    <row r="2" spans="1:8" ht="15.75" thickBot="1" x14ac:dyDescent="0.3"/>
    <row r="3" spans="1:8" x14ac:dyDescent="0.25">
      <c r="A3" s="67" t="s">
        <v>38</v>
      </c>
      <c r="B3" s="67" t="s">
        <v>39</v>
      </c>
      <c r="C3" s="67" t="s">
        <v>40</v>
      </c>
      <c r="D3" s="50" t="s">
        <v>41</v>
      </c>
      <c r="E3" s="50" t="s">
        <v>42</v>
      </c>
      <c r="F3" s="67" t="s">
        <v>43</v>
      </c>
      <c r="G3" s="50" t="s">
        <v>44</v>
      </c>
      <c r="H3" s="51" t="s">
        <v>45</v>
      </c>
    </row>
    <row r="4" spans="1:8" x14ac:dyDescent="0.25">
      <c r="A4" s="45" t="s">
        <v>48</v>
      </c>
      <c r="B4" s="45" t="s">
        <v>46</v>
      </c>
      <c r="C4" s="45" t="s">
        <v>47</v>
      </c>
      <c r="D4" s="45"/>
      <c r="E4" s="53">
        <v>45717</v>
      </c>
      <c r="F4" s="48">
        <v>113091.61</v>
      </c>
      <c r="G4" s="78">
        <v>368620.09</v>
      </c>
      <c r="H4" s="65"/>
    </row>
    <row r="5" spans="1:8" x14ac:dyDescent="0.25">
      <c r="A5" s="45" t="s">
        <v>31</v>
      </c>
      <c r="B5" s="45" t="s">
        <v>46</v>
      </c>
      <c r="C5" s="45" t="s">
        <v>47</v>
      </c>
      <c r="D5" s="45"/>
      <c r="E5" s="53">
        <v>45717</v>
      </c>
      <c r="F5" s="48">
        <v>52175.76</v>
      </c>
      <c r="G5" s="79"/>
      <c r="H5" s="31"/>
    </row>
    <row r="6" spans="1:8" x14ac:dyDescent="0.25">
      <c r="A6" s="45" t="s">
        <v>29</v>
      </c>
      <c r="B6" s="45" t="s">
        <v>46</v>
      </c>
      <c r="C6" s="45" t="s">
        <v>47</v>
      </c>
      <c r="D6" s="45"/>
      <c r="E6" s="53">
        <v>45717</v>
      </c>
      <c r="F6" s="48">
        <v>21874.627170895623</v>
      </c>
      <c r="G6" s="79"/>
      <c r="H6" s="31"/>
    </row>
    <row r="7" spans="1:8" x14ac:dyDescent="0.25">
      <c r="A7" s="45" t="s">
        <v>33</v>
      </c>
      <c r="B7" s="45" t="s">
        <v>46</v>
      </c>
      <c r="C7" s="45" t="s">
        <v>47</v>
      </c>
      <c r="D7" s="45"/>
      <c r="E7" s="53">
        <v>45717</v>
      </c>
      <c r="F7" s="48">
        <v>16461.625241210626</v>
      </c>
      <c r="G7" s="79"/>
      <c r="H7" s="31"/>
    </row>
    <row r="8" spans="1:8" x14ac:dyDescent="0.25">
      <c r="A8" s="44" t="s">
        <v>70</v>
      </c>
      <c r="B8" s="45" t="s">
        <v>46</v>
      </c>
      <c r="C8" s="45" t="s">
        <v>47</v>
      </c>
      <c r="D8" s="45"/>
      <c r="E8" s="53">
        <v>45717</v>
      </c>
      <c r="F8" s="48">
        <v>16461.625241210626</v>
      </c>
      <c r="G8" s="79"/>
      <c r="H8" s="31"/>
    </row>
    <row r="9" spans="1:8" x14ac:dyDescent="0.25">
      <c r="A9" s="45" t="s">
        <v>95</v>
      </c>
      <c r="B9" s="45" t="s">
        <v>46</v>
      </c>
      <c r="C9" s="45" t="s">
        <v>47</v>
      </c>
      <c r="D9" s="45"/>
      <c r="E9" s="53">
        <v>45717</v>
      </c>
      <c r="F9" s="48">
        <v>0</v>
      </c>
      <c r="G9" s="79"/>
      <c r="H9" s="31"/>
    </row>
    <row r="10" spans="1:8" x14ac:dyDescent="0.25">
      <c r="A10" s="45" t="s">
        <v>67</v>
      </c>
      <c r="B10" s="45" t="s">
        <v>46</v>
      </c>
      <c r="C10" s="45" t="s">
        <v>47</v>
      </c>
      <c r="D10" s="45"/>
      <c r="E10" s="53">
        <v>45717</v>
      </c>
      <c r="F10" s="48">
        <v>16461.625241210626</v>
      </c>
      <c r="G10" s="79"/>
      <c r="H10" s="31"/>
    </row>
    <row r="11" spans="1:8" x14ac:dyDescent="0.25">
      <c r="A11" s="45" t="s">
        <v>50</v>
      </c>
      <c r="B11" s="45" t="s">
        <v>46</v>
      </c>
      <c r="C11" s="45" t="s">
        <v>51</v>
      </c>
      <c r="D11" s="45"/>
      <c r="E11" s="53">
        <v>45717</v>
      </c>
      <c r="F11" s="48">
        <v>132093.22</v>
      </c>
      <c r="G11" s="80"/>
      <c r="H11" s="31" t="s">
        <v>64</v>
      </c>
    </row>
    <row r="12" spans="1:8" x14ac:dyDescent="0.25">
      <c r="A12" s="44" t="s">
        <v>52</v>
      </c>
      <c r="B12" s="45" t="s">
        <v>46</v>
      </c>
      <c r="C12" s="45" t="s">
        <v>111</v>
      </c>
      <c r="D12" s="45">
        <v>0</v>
      </c>
      <c r="E12" s="53">
        <v>45717</v>
      </c>
      <c r="F12" s="48">
        <v>1210</v>
      </c>
      <c r="G12" s="66">
        <v>1210</v>
      </c>
      <c r="H12" s="31"/>
    </row>
    <row r="13" spans="1:8" x14ac:dyDescent="0.25">
      <c r="A13" s="11" t="s">
        <v>100</v>
      </c>
      <c r="B13" s="45" t="s">
        <v>55</v>
      </c>
      <c r="C13" s="45" t="s">
        <v>77</v>
      </c>
      <c r="D13" s="45" t="s">
        <v>76</v>
      </c>
      <c r="E13" s="53">
        <v>45717</v>
      </c>
      <c r="F13" s="48">
        <v>9370</v>
      </c>
      <c r="G13" s="81">
        <f>SUM(F13:F26)</f>
        <v>115325.97269761498</v>
      </c>
      <c r="H13" s="31"/>
    </row>
    <row r="14" spans="1:8" x14ac:dyDescent="0.25">
      <c r="A14" s="44" t="s">
        <v>3</v>
      </c>
      <c r="B14" s="45" t="s">
        <v>55</v>
      </c>
      <c r="C14" s="45" t="s">
        <v>77</v>
      </c>
      <c r="D14" s="45" t="s">
        <v>76</v>
      </c>
      <c r="E14" s="53">
        <v>45717</v>
      </c>
      <c r="F14" s="48">
        <v>15260</v>
      </c>
      <c r="G14" s="81"/>
      <c r="H14" s="31"/>
    </row>
    <row r="15" spans="1:8" x14ac:dyDescent="0.25">
      <c r="A15" s="44" t="s">
        <v>85</v>
      </c>
      <c r="B15" s="45" t="s">
        <v>55</v>
      </c>
      <c r="C15" s="45" t="s">
        <v>77</v>
      </c>
      <c r="D15" s="45" t="s">
        <v>76</v>
      </c>
      <c r="E15" s="53">
        <v>45717</v>
      </c>
      <c r="F15" s="48">
        <v>13660</v>
      </c>
      <c r="G15" s="81"/>
      <c r="H15" s="31"/>
    </row>
    <row r="16" spans="1:8" x14ac:dyDescent="0.25">
      <c r="A16" s="44" t="s">
        <v>4</v>
      </c>
      <c r="B16" s="45" t="s">
        <v>55</v>
      </c>
      <c r="C16" s="45" t="s">
        <v>77</v>
      </c>
      <c r="D16" s="45" t="s">
        <v>76</v>
      </c>
      <c r="E16" s="53">
        <v>45717</v>
      </c>
      <c r="F16" s="48">
        <v>13370</v>
      </c>
      <c r="G16" s="81"/>
      <c r="H16" s="59"/>
    </row>
    <row r="17" spans="1:10" x14ac:dyDescent="0.25">
      <c r="A17" s="44" t="s">
        <v>112</v>
      </c>
      <c r="B17" s="45" t="s">
        <v>55</v>
      </c>
      <c r="C17" s="45" t="s">
        <v>56</v>
      </c>
      <c r="D17" s="45" t="s">
        <v>76</v>
      </c>
      <c r="E17" s="53">
        <v>45717</v>
      </c>
      <c r="F17" s="48">
        <v>1350</v>
      </c>
      <c r="G17" s="81"/>
      <c r="H17" s="31"/>
    </row>
    <row r="18" spans="1:10" x14ac:dyDescent="0.25">
      <c r="A18" s="48" t="s">
        <v>6</v>
      </c>
      <c r="B18" s="45" t="s">
        <v>55</v>
      </c>
      <c r="C18" s="45" t="s">
        <v>56</v>
      </c>
      <c r="D18" s="45" t="s">
        <v>76</v>
      </c>
      <c r="E18" s="53">
        <v>45717</v>
      </c>
      <c r="F18" s="48">
        <v>1410</v>
      </c>
      <c r="G18" s="81"/>
      <c r="H18" s="31"/>
    </row>
    <row r="19" spans="1:10" x14ac:dyDescent="0.25">
      <c r="A19" s="48" t="s">
        <v>109</v>
      </c>
      <c r="B19" s="45" t="s">
        <v>55</v>
      </c>
      <c r="C19" s="45" t="s">
        <v>56</v>
      </c>
      <c r="D19" s="45" t="s">
        <v>76</v>
      </c>
      <c r="E19" s="53">
        <v>45717</v>
      </c>
      <c r="F19" s="48">
        <v>7620</v>
      </c>
      <c r="G19" s="81"/>
      <c r="H19" s="31"/>
    </row>
    <row r="20" spans="1:10" x14ac:dyDescent="0.25">
      <c r="A20" s="48" t="s">
        <v>97</v>
      </c>
      <c r="B20" s="45" t="s">
        <v>55</v>
      </c>
      <c r="C20" s="45" t="s">
        <v>56</v>
      </c>
      <c r="D20" s="45" t="s">
        <v>75</v>
      </c>
      <c r="E20" s="53">
        <v>45717</v>
      </c>
      <c r="F20" s="48">
        <v>10290</v>
      </c>
      <c r="G20" s="81"/>
      <c r="H20" s="31"/>
    </row>
    <row r="21" spans="1:10" x14ac:dyDescent="0.25">
      <c r="A21" s="45" t="s">
        <v>96</v>
      </c>
      <c r="B21" s="45" t="s">
        <v>55</v>
      </c>
      <c r="C21" s="45" t="s">
        <v>56</v>
      </c>
      <c r="D21" s="45" t="s">
        <v>75</v>
      </c>
      <c r="E21" s="53">
        <v>45717</v>
      </c>
      <c r="F21" s="48">
        <v>11473.561677719641</v>
      </c>
      <c r="G21" s="81"/>
      <c r="H21" s="31"/>
      <c r="J21" s="68"/>
    </row>
    <row r="22" spans="1:10" x14ac:dyDescent="0.25">
      <c r="A22" s="45" t="s">
        <v>52</v>
      </c>
      <c r="B22" s="45" t="s">
        <v>55</v>
      </c>
      <c r="C22" s="45" t="s">
        <v>56</v>
      </c>
      <c r="D22" s="45" t="s">
        <v>75</v>
      </c>
      <c r="E22" s="53">
        <v>45717</v>
      </c>
      <c r="F22" s="48">
        <v>0</v>
      </c>
      <c r="G22" s="81"/>
      <c r="H22" s="31"/>
    </row>
    <row r="23" spans="1:10" x14ac:dyDescent="0.25">
      <c r="A23" s="48" t="s">
        <v>110</v>
      </c>
      <c r="B23" s="45" t="s">
        <v>55</v>
      </c>
      <c r="C23" s="45" t="s">
        <v>56</v>
      </c>
      <c r="D23" s="45" t="s">
        <v>75</v>
      </c>
      <c r="E23" s="53">
        <v>45717</v>
      </c>
      <c r="F23" s="48">
        <v>7620</v>
      </c>
      <c r="G23" s="81"/>
      <c r="H23" s="31"/>
    </row>
    <row r="24" spans="1:10" x14ac:dyDescent="0.25">
      <c r="A24" s="48" t="s">
        <v>68</v>
      </c>
      <c r="B24" s="45" t="s">
        <v>55</v>
      </c>
      <c r="C24" s="45" t="s">
        <v>56</v>
      </c>
      <c r="D24" s="45" t="s">
        <v>75</v>
      </c>
      <c r="E24" s="53">
        <v>45717</v>
      </c>
      <c r="F24" s="48">
        <v>1840</v>
      </c>
      <c r="G24" s="81"/>
      <c r="H24" s="31"/>
    </row>
    <row r="25" spans="1:10" x14ac:dyDescent="0.25">
      <c r="A25" s="45" t="s">
        <v>36</v>
      </c>
      <c r="B25" s="45" t="s">
        <v>55</v>
      </c>
      <c r="C25" s="45" t="s">
        <v>56</v>
      </c>
      <c r="D25" s="45" t="s">
        <v>75</v>
      </c>
      <c r="E25" s="53">
        <v>45717</v>
      </c>
      <c r="F25" s="48">
        <v>1410</v>
      </c>
      <c r="G25" s="81"/>
      <c r="H25" s="31"/>
    </row>
    <row r="26" spans="1:10" x14ac:dyDescent="0.25">
      <c r="A26" s="45" t="s">
        <v>57</v>
      </c>
      <c r="B26" s="45" t="s">
        <v>55</v>
      </c>
      <c r="C26" s="45" t="s">
        <v>57</v>
      </c>
      <c r="D26" s="45" t="s">
        <v>76</v>
      </c>
      <c r="E26" s="53">
        <v>45717</v>
      </c>
      <c r="F26" s="48">
        <v>20652.411019895349</v>
      </c>
      <c r="G26" s="81"/>
      <c r="H26" s="31"/>
    </row>
    <row r="27" spans="1:10" x14ac:dyDescent="0.25">
      <c r="A27" s="52" t="s">
        <v>73</v>
      </c>
      <c r="B27" s="45" t="s">
        <v>55</v>
      </c>
      <c r="C27" s="45" t="s">
        <v>88</v>
      </c>
      <c r="D27" s="45"/>
      <c r="E27" s="53">
        <v>45717</v>
      </c>
      <c r="F27" s="48">
        <v>16007.5190526642</v>
      </c>
      <c r="G27" s="56">
        <v>16007.5190526642</v>
      </c>
      <c r="H27" s="31"/>
    </row>
    <row r="28" spans="1:10" x14ac:dyDescent="0.25">
      <c r="A28" s="52" t="s">
        <v>73</v>
      </c>
      <c r="B28" s="45" t="s">
        <v>46</v>
      </c>
      <c r="C28" s="45" t="s">
        <v>89</v>
      </c>
      <c r="D28" s="45"/>
      <c r="E28" s="53">
        <v>45717</v>
      </c>
      <c r="F28" s="48">
        <v>89048.868827137572</v>
      </c>
      <c r="G28" s="56">
        <v>89048.868827137572</v>
      </c>
      <c r="H28" s="31"/>
    </row>
    <row r="29" spans="1:10" x14ac:dyDescent="0.25">
      <c r="A29" s="60" t="s">
        <v>99</v>
      </c>
      <c r="B29" s="45" t="s">
        <v>55</v>
      </c>
      <c r="C29" s="61" t="s">
        <v>103</v>
      </c>
      <c r="D29" s="61"/>
      <c r="E29" s="53">
        <v>45717</v>
      </c>
      <c r="F29" s="48">
        <v>40023.914786736997</v>
      </c>
      <c r="G29" s="62">
        <v>40023.914786736997</v>
      </c>
      <c r="H29" s="39"/>
    </row>
    <row r="30" spans="1:10" x14ac:dyDescent="0.25">
      <c r="A30" s="60" t="s">
        <v>99</v>
      </c>
      <c r="B30" s="45" t="s">
        <v>46</v>
      </c>
      <c r="C30" s="61" t="s">
        <v>104</v>
      </c>
      <c r="D30" s="61"/>
      <c r="E30" s="53">
        <v>45717</v>
      </c>
      <c r="F30" s="48">
        <v>29245.987955840901</v>
      </c>
      <c r="G30" s="62">
        <v>29245.987955840901</v>
      </c>
      <c r="H30" s="39"/>
    </row>
    <row r="31" spans="1:10" ht="15.75" thickBot="1" x14ac:dyDescent="0.3">
      <c r="A31" s="76" t="s">
        <v>62</v>
      </c>
      <c r="B31" s="77"/>
      <c r="C31" s="77"/>
      <c r="D31" s="77"/>
      <c r="E31" s="77"/>
      <c r="F31" s="77"/>
      <c r="G31" s="57"/>
      <c r="H31" s="34"/>
    </row>
    <row r="32" spans="1:10" ht="15.75" thickBot="1" x14ac:dyDescent="0.3">
      <c r="G32" s="49">
        <v>657874.92697118712</v>
      </c>
      <c r="H32" s="17"/>
    </row>
  </sheetData>
  <autoFilter ref="A3:H32" xr:uid="{00000000-0009-0000-0000-000003000000}"/>
  <mergeCells count="3">
    <mergeCell ref="A31:F31"/>
    <mergeCell ref="G4:G11"/>
    <mergeCell ref="G13:G26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B1:V27"/>
  <sheetViews>
    <sheetView topLeftCell="O1" zoomScale="205" zoomScaleNormal="205" workbookViewId="0">
      <selection activeCell="T15" sqref="T15"/>
    </sheetView>
  </sheetViews>
  <sheetFormatPr defaultRowHeight="15" x14ac:dyDescent="0.25"/>
  <cols>
    <col min="2" max="2" width="25.85546875" bestFit="1" customWidth="1"/>
    <col min="3" max="3" width="20.85546875" bestFit="1" customWidth="1"/>
    <col min="4" max="4" width="29.85546875" bestFit="1" customWidth="1"/>
    <col min="5" max="5" width="13.28515625" bestFit="1" customWidth="1"/>
    <col min="6" max="6" width="14.7109375" bestFit="1" customWidth="1"/>
    <col min="7" max="7" width="8.140625" bestFit="1" customWidth="1"/>
    <col min="8" max="8" width="15.5703125" bestFit="1" customWidth="1"/>
    <col min="9" max="9" width="12.28515625" bestFit="1" customWidth="1"/>
    <col min="10" max="10" width="17.42578125" bestFit="1" customWidth="1"/>
    <col min="11" max="11" width="27.28515625" bestFit="1" customWidth="1"/>
    <col min="12" max="12" width="10.42578125" bestFit="1" customWidth="1"/>
    <col min="13" max="13" width="20.140625" bestFit="1" customWidth="1"/>
    <col min="14" max="14" width="35" bestFit="1" customWidth="1"/>
    <col min="15" max="15" width="32.5703125" bestFit="1" customWidth="1"/>
    <col min="16" max="16" width="18" bestFit="1" customWidth="1"/>
    <col min="17" max="17" width="15.42578125" bestFit="1" customWidth="1"/>
    <col min="18" max="18" width="18.7109375" hidden="1" customWidth="1"/>
    <col min="19" max="19" width="14.28515625" bestFit="1" customWidth="1"/>
    <col min="20" max="20" width="19.28515625" bestFit="1" customWidth="1"/>
    <col min="22" max="22" width="9.85546875" bestFit="1" customWidth="1"/>
  </cols>
  <sheetData>
    <row r="1" spans="2:22" ht="15.75" thickBot="1" x14ac:dyDescent="0.3"/>
    <row r="2" spans="2:22" ht="15.75" thickBot="1" x14ac:dyDescent="0.3">
      <c r="B2" s="15" t="s">
        <v>93</v>
      </c>
      <c r="C2" s="43" t="e">
        <f>SUM(C3-(C3*25%))</f>
        <v>#REF!</v>
      </c>
    </row>
    <row r="3" spans="2:22" ht="15.75" thickBot="1" x14ac:dyDescent="0.3">
      <c r="B3" s="15" t="s">
        <v>91</v>
      </c>
      <c r="C3" s="43" t="e">
        <f>ROUND(HLOOKUP(#REF!,#REF!,2,FALSE),0)</f>
        <v>#REF!</v>
      </c>
    </row>
    <row r="4" spans="2:22" x14ac:dyDescent="0.25">
      <c r="B4" s="19" t="s">
        <v>65</v>
      </c>
      <c r="C4" s="20">
        <v>0</v>
      </c>
    </row>
    <row r="5" spans="2:22" ht="15.75" thickBot="1" x14ac:dyDescent="0.3">
      <c r="B5" s="13" t="s">
        <v>34</v>
      </c>
      <c r="C5" s="18" t="e">
        <f>HLOOKUP(#REF!,#REF!,4,FALSE)-C4</f>
        <v>#REF!</v>
      </c>
    </row>
    <row r="8" spans="2:22" x14ac:dyDescent="0.25">
      <c r="F8" s="1"/>
    </row>
    <row r="10" spans="2:22" x14ac:dyDescent="0.25">
      <c r="C10" s="2" t="s">
        <v>0</v>
      </c>
      <c r="D10" s="2" t="s">
        <v>8</v>
      </c>
      <c r="E10" s="2" t="s">
        <v>11</v>
      </c>
      <c r="F10" s="2" t="s">
        <v>19</v>
      </c>
      <c r="G10" s="2" t="s">
        <v>1</v>
      </c>
      <c r="H10" s="2" t="s">
        <v>15</v>
      </c>
      <c r="I10" s="2" t="s">
        <v>2</v>
      </c>
      <c r="J10" s="2" t="s">
        <v>16</v>
      </c>
      <c r="K10" s="2" t="s">
        <v>10</v>
      </c>
      <c r="L10" s="2" t="s">
        <v>9</v>
      </c>
      <c r="M10" s="2" t="s">
        <v>13</v>
      </c>
      <c r="N10" s="2" t="s">
        <v>14</v>
      </c>
      <c r="O10" s="2" t="s">
        <v>17</v>
      </c>
      <c r="P10" s="2" t="s">
        <v>18</v>
      </c>
      <c r="Q10" s="2" t="s">
        <v>0</v>
      </c>
      <c r="R10" s="2" t="s">
        <v>92</v>
      </c>
      <c r="S10" s="2" t="s">
        <v>101</v>
      </c>
      <c r="T10" s="2" t="s">
        <v>102</v>
      </c>
    </row>
    <row r="11" spans="2:22" x14ac:dyDescent="0.25">
      <c r="C11" s="3" t="str">
        <f>C23</f>
        <v>Tony Lewis</v>
      </c>
      <c r="D11" s="5">
        <f>I23</f>
        <v>1</v>
      </c>
      <c r="E11" s="4" t="e">
        <f>SUM($C$5*D11)</f>
        <v>#REF!</v>
      </c>
      <c r="F11" s="6" t="e">
        <f>VLOOKUP(C11,#REF!,3,0)</f>
        <v>#REF!</v>
      </c>
      <c r="G11" s="6">
        <v>1</v>
      </c>
      <c r="H11" s="2" t="e">
        <f>SUM($D$17-F11)</f>
        <v>#REF!</v>
      </c>
      <c r="I11" s="2" t="e">
        <f>7.5*G11*H11</f>
        <v>#REF!</v>
      </c>
      <c r="J11" s="5" t="e">
        <f>SUM(1-(I11/$D$19))</f>
        <v>#REF!</v>
      </c>
      <c r="K11" s="4" t="e">
        <f>SUM(E11-(J11*E11))</f>
        <v>#REF!</v>
      </c>
      <c r="L11" s="82" t="e">
        <f>SUM(C5)-(K11+K12+K14+K13+K15)</f>
        <v>#REF!</v>
      </c>
      <c r="M11" s="8" t="e">
        <f>SUM(I11/$D$18)</f>
        <v>#REF!</v>
      </c>
      <c r="N11" s="8" t="e">
        <f>SUM(M11+D11)/2</f>
        <v>#REF!</v>
      </c>
      <c r="O11" s="10" t="e">
        <f>SUM($L$11*N11)</f>
        <v>#REF!</v>
      </c>
      <c r="P11" s="4" t="e">
        <f>_xlfn.CEILING.MATH(O11+K11,10)</f>
        <v>#REF!</v>
      </c>
      <c r="Q11" s="3" t="str">
        <f>C11</f>
        <v>Tony Lewis</v>
      </c>
      <c r="R11" s="54" t="e">
        <f>SUM($C$2*(P11/($P$11+$P$12+$P$13+$P$14+$P$15)))</f>
        <v>#REF!</v>
      </c>
      <c r="S11" s="56" t="e">
        <f>P11+'CV NB First Van'!P11</f>
        <v>#REF!</v>
      </c>
      <c r="T11" s="58" t="e">
        <f>R11+'CV NB First Van'!R11</f>
        <v>#REF!</v>
      </c>
      <c r="V11" s="1"/>
    </row>
    <row r="12" spans="2:22" x14ac:dyDescent="0.25">
      <c r="C12" s="3" t="str">
        <f>C24</f>
        <v>Spare NB CV</v>
      </c>
      <c r="D12" s="5">
        <f>I24</f>
        <v>0</v>
      </c>
      <c r="E12" s="4" t="e">
        <f>SUM($C$5*D12)</f>
        <v>#REF!</v>
      </c>
      <c r="F12" s="6" t="e">
        <f>VLOOKUP(C12,#REF!,3,0)</f>
        <v>#REF!</v>
      </c>
      <c r="G12" s="6">
        <v>1</v>
      </c>
      <c r="H12" s="2" t="e">
        <f>SUM($D$17-F12)</f>
        <v>#REF!</v>
      </c>
      <c r="I12" s="2" t="e">
        <f>7.5*G12*H12</f>
        <v>#REF!</v>
      </c>
      <c r="J12" s="5" t="e">
        <f>SUM(1-(I12/$D$19))</f>
        <v>#REF!</v>
      </c>
      <c r="K12" s="4" t="e">
        <f>SUM(E12-(J12*E12))</f>
        <v>#REF!</v>
      </c>
      <c r="L12" s="83"/>
      <c r="M12" s="8" t="e">
        <f>SUM(I12/$D$18)</f>
        <v>#REF!</v>
      </c>
      <c r="N12" s="8" t="e">
        <f>SUM(M12+D12)/2</f>
        <v>#REF!</v>
      </c>
      <c r="O12" s="10" t="e">
        <f>SUM($L$11*N12)</f>
        <v>#REF!</v>
      </c>
      <c r="P12" s="4" t="e">
        <f>_xlfn.CEILING.MATH(O12+K12,10)</f>
        <v>#REF!</v>
      </c>
      <c r="Q12" s="3" t="str">
        <f>C12</f>
        <v>Spare NB CV</v>
      </c>
      <c r="R12" s="54" t="e">
        <f>SUM($C$2*(P12/($P$11+$P$12+$P$13+$P$14+$P$15)))</f>
        <v>#REF!</v>
      </c>
      <c r="S12" s="56" t="e">
        <f>P12+'CV NB First Van'!P12</f>
        <v>#REF!</v>
      </c>
      <c r="T12" s="58" t="e">
        <f>R12+'CV NB First Van'!R12</f>
        <v>#REF!</v>
      </c>
      <c r="V12" s="1"/>
    </row>
    <row r="13" spans="2:22" x14ac:dyDescent="0.25">
      <c r="C13" s="3" t="str">
        <f>C25</f>
        <v>Spare NB CV</v>
      </c>
      <c r="D13" s="5">
        <f>I25</f>
        <v>0</v>
      </c>
      <c r="E13" s="4" t="e">
        <f>SUM($C$5*D13)</f>
        <v>#REF!</v>
      </c>
      <c r="F13" s="6" t="e">
        <f>VLOOKUP(C13,#REF!,3,0)</f>
        <v>#REF!</v>
      </c>
      <c r="G13" s="6">
        <v>1</v>
      </c>
      <c r="H13" s="2" t="e">
        <f>SUM($D$17-F13)</f>
        <v>#REF!</v>
      </c>
      <c r="I13" s="2" t="e">
        <f>7.5*G13*H13</f>
        <v>#REF!</v>
      </c>
      <c r="J13" s="5" t="e">
        <f>SUM(1-(I13/$D$19))</f>
        <v>#REF!</v>
      </c>
      <c r="K13" s="4" t="e">
        <f>SUM(E13-(J13*E13))</f>
        <v>#REF!</v>
      </c>
      <c r="L13" s="83"/>
      <c r="M13" s="7" t="e">
        <f>SUM(I13/$D$18)</f>
        <v>#REF!</v>
      </c>
      <c r="N13" s="7" t="e">
        <f>SUM(M13+D13)/2</f>
        <v>#REF!</v>
      </c>
      <c r="O13" s="4" t="e">
        <f>SUM($L$11*N13)</f>
        <v>#REF!</v>
      </c>
      <c r="P13" s="4" t="e">
        <f>_xlfn.CEILING.MATH(O13+K13,10)</f>
        <v>#REF!</v>
      </c>
      <c r="Q13" s="3" t="str">
        <f>C13</f>
        <v>Spare NB CV</v>
      </c>
      <c r="R13" s="54" t="e">
        <f>SUM($C$2*(P13/($P$11+$P$12+$P$13+$P$14+$P$15)))</f>
        <v>#REF!</v>
      </c>
      <c r="S13" s="56" t="e">
        <f>P13+'CV NB First Van'!P10</f>
        <v>#REF!</v>
      </c>
      <c r="T13" s="58" t="e">
        <f>R13+'CV NB First Van'!R10</f>
        <v>#REF!</v>
      </c>
    </row>
    <row r="14" spans="2:22" x14ac:dyDescent="0.25">
      <c r="C14" s="3" t="str">
        <f>C26</f>
        <v>Spare NB CV</v>
      </c>
      <c r="D14" s="5">
        <f>I26</f>
        <v>0</v>
      </c>
      <c r="E14" s="4" t="e">
        <f>SUM($C$5*D14)</f>
        <v>#REF!</v>
      </c>
      <c r="F14" s="6" t="e">
        <f>VLOOKUP(C14,#REF!,3,0)</f>
        <v>#REF!</v>
      </c>
      <c r="G14" s="6">
        <v>1</v>
      </c>
      <c r="H14" s="2" t="e">
        <f>SUM($D$17-F14)</f>
        <v>#REF!</v>
      </c>
      <c r="I14" s="2" t="e">
        <f>7.5*G14*H14</f>
        <v>#REF!</v>
      </c>
      <c r="J14" s="5" t="e">
        <f>SUM(1-(I14/$D$19))</f>
        <v>#REF!</v>
      </c>
      <c r="K14" s="4" t="e">
        <f>SUM(E14-(J14*E14))</f>
        <v>#REF!</v>
      </c>
      <c r="L14" s="83"/>
      <c r="M14" s="7" t="e">
        <f>SUM(I14/$D$18)</f>
        <v>#REF!</v>
      </c>
      <c r="N14" s="7" t="e">
        <f>SUM(M14+D14)/2</f>
        <v>#REF!</v>
      </c>
      <c r="O14" s="4" t="e">
        <f>SUM($L$11*N14)</f>
        <v>#REF!</v>
      </c>
      <c r="P14" s="4" t="e">
        <f>_xlfn.CEILING.MATH(O14+K14,10)</f>
        <v>#REF!</v>
      </c>
      <c r="Q14" s="3" t="str">
        <f>C14</f>
        <v>Spare NB CV</v>
      </c>
      <c r="R14" s="54" t="e">
        <f>SUM($C$2*(P14/($P$11+$P$12+$P$13+$P$14+$P$15)))</f>
        <v>#REF!</v>
      </c>
      <c r="S14" s="56" t="e">
        <f>P14+'CV NB First Van'!P13</f>
        <v>#REF!</v>
      </c>
      <c r="T14" s="58" t="e">
        <f>+R14</f>
        <v>#REF!</v>
      </c>
    </row>
    <row r="15" spans="2:22" x14ac:dyDescent="0.25">
      <c r="C15" s="3" t="str">
        <f>C27</f>
        <v>Spare NB CV</v>
      </c>
      <c r="D15" s="5">
        <f>I27</f>
        <v>0</v>
      </c>
      <c r="E15" s="4" t="e">
        <f>SUM($C$5*D15)</f>
        <v>#REF!</v>
      </c>
      <c r="F15" s="6" t="e">
        <f>VLOOKUP(C15,#REF!,3,0)</f>
        <v>#REF!</v>
      </c>
      <c r="G15" s="6">
        <v>0</v>
      </c>
      <c r="H15" s="2" t="e">
        <f>SUM($D$17-F15)</f>
        <v>#REF!</v>
      </c>
      <c r="I15" s="2" t="e">
        <f>7.5*G15*H15</f>
        <v>#REF!</v>
      </c>
      <c r="J15" s="5" t="e">
        <f>SUM(1-(I15/$D$19))</f>
        <v>#REF!</v>
      </c>
      <c r="K15" s="4" t="e">
        <f>SUM(E15-(J15*E15))</f>
        <v>#REF!</v>
      </c>
      <c r="L15" s="83"/>
      <c r="M15" s="7" t="e">
        <f>SUM(I15/$D$18)</f>
        <v>#REF!</v>
      </c>
      <c r="N15" s="7" t="e">
        <f>SUM(M15+D15)/2</f>
        <v>#REF!</v>
      </c>
      <c r="O15" s="4" t="e">
        <f>SUM($L$11*N15)</f>
        <v>#REF!</v>
      </c>
      <c r="P15" s="4" t="e">
        <f>_xlfn.CEILING.MATH(O15+K15,10)</f>
        <v>#REF!</v>
      </c>
      <c r="Q15" s="3" t="str">
        <f>C15</f>
        <v>Spare NB CV</v>
      </c>
      <c r="R15" s="54" t="e">
        <f>SUM($C$2*(P15/($P$11+$P$12+$P$13+$P$14+$P$15)))</f>
        <v>#REF!</v>
      </c>
      <c r="S15" s="56" t="e">
        <f>P15+'CV NB First Van'!P14</f>
        <v>#REF!</v>
      </c>
      <c r="T15" s="58" t="e">
        <v>#DIV/0!</v>
      </c>
    </row>
    <row r="17" spans="3:9" x14ac:dyDescent="0.25">
      <c r="C17" s="3" t="s">
        <v>37</v>
      </c>
      <c r="D17" s="6" t="e">
        <f>#REF!</f>
        <v>#REF!</v>
      </c>
    </row>
    <row r="18" spans="3:9" x14ac:dyDescent="0.25">
      <c r="C18" s="3" t="s">
        <v>7</v>
      </c>
      <c r="D18" s="3" t="e">
        <f>SUM(I11:I15)</f>
        <v>#REF!</v>
      </c>
    </row>
    <row r="19" spans="3:9" x14ac:dyDescent="0.25">
      <c r="C19" s="3" t="s">
        <v>12</v>
      </c>
      <c r="D19" s="3" t="e">
        <f>SUM(D17*7.5)</f>
        <v>#REF!</v>
      </c>
    </row>
    <row r="20" spans="3:9" x14ac:dyDescent="0.25">
      <c r="C20" s="3" t="s">
        <v>26</v>
      </c>
      <c r="D20" s="11">
        <f>SUM(H23:H27)</f>
        <v>40</v>
      </c>
    </row>
    <row r="22" spans="3:9" x14ac:dyDescent="0.25">
      <c r="C22" s="11" t="s">
        <v>20</v>
      </c>
      <c r="D22" s="11" t="s">
        <v>21</v>
      </c>
      <c r="E22" s="9" t="s">
        <v>22</v>
      </c>
      <c r="F22" s="9" t="s">
        <v>23</v>
      </c>
      <c r="G22" s="9" t="s">
        <v>24</v>
      </c>
      <c r="H22" s="9" t="s">
        <v>25</v>
      </c>
      <c r="I22" s="11" t="s">
        <v>27</v>
      </c>
    </row>
    <row r="23" spans="3:9" x14ac:dyDescent="0.25">
      <c r="C23" s="3" t="s">
        <v>32</v>
      </c>
      <c r="D23" s="6">
        <v>10</v>
      </c>
      <c r="E23" s="6">
        <v>10</v>
      </c>
      <c r="F23" s="6">
        <v>10</v>
      </c>
      <c r="G23" s="6">
        <v>10</v>
      </c>
      <c r="H23" s="11">
        <f>D23+E23+F23+G23</f>
        <v>40</v>
      </c>
      <c r="I23" s="9">
        <f>SUM(H23/$D$20)</f>
        <v>1</v>
      </c>
    </row>
    <row r="24" spans="3:9" x14ac:dyDescent="0.25">
      <c r="C24" s="3" t="s">
        <v>98</v>
      </c>
      <c r="D24" s="6">
        <v>0</v>
      </c>
      <c r="E24" s="6">
        <v>0</v>
      </c>
      <c r="F24" s="6">
        <v>0</v>
      </c>
      <c r="G24" s="6">
        <v>0</v>
      </c>
      <c r="H24" s="11">
        <f>D24+E24+F24+G24</f>
        <v>0</v>
      </c>
      <c r="I24" s="9">
        <f>SUM(H24/$D$20)</f>
        <v>0</v>
      </c>
    </row>
    <row r="25" spans="3:9" x14ac:dyDescent="0.25">
      <c r="C25" s="3" t="s">
        <v>98</v>
      </c>
      <c r="D25" s="6">
        <v>0</v>
      </c>
      <c r="E25" s="6">
        <v>0</v>
      </c>
      <c r="F25" s="6">
        <v>0</v>
      </c>
      <c r="G25" s="6">
        <v>0</v>
      </c>
      <c r="H25" s="11">
        <f>D25+E25+F25+G25</f>
        <v>0</v>
      </c>
      <c r="I25" s="9">
        <f>SUM(H25/$D$20)</f>
        <v>0</v>
      </c>
    </row>
    <row r="26" spans="3:9" x14ac:dyDescent="0.25">
      <c r="C26" s="3" t="s">
        <v>98</v>
      </c>
      <c r="D26" s="6">
        <v>0</v>
      </c>
      <c r="E26" s="6">
        <v>0</v>
      </c>
      <c r="F26" s="6">
        <v>0</v>
      </c>
      <c r="G26" s="6">
        <v>0</v>
      </c>
      <c r="H26" s="11">
        <f>D26+E26+F26+G26</f>
        <v>0</v>
      </c>
      <c r="I26" s="9">
        <f>SUM(H26/$D$20)</f>
        <v>0</v>
      </c>
    </row>
    <row r="27" spans="3:9" x14ac:dyDescent="0.25">
      <c r="C27" s="3" t="s">
        <v>98</v>
      </c>
      <c r="D27" s="6">
        <v>0</v>
      </c>
      <c r="E27" s="6">
        <v>0</v>
      </c>
      <c r="F27" s="6">
        <v>0</v>
      </c>
      <c r="G27" s="6">
        <v>0</v>
      </c>
      <c r="H27" s="11">
        <f>D27+E27+F27+G27</f>
        <v>0</v>
      </c>
      <c r="I27" s="9">
        <f>SUM(H27/$D$20)</f>
        <v>0</v>
      </c>
    </row>
  </sheetData>
  <mergeCells count="1">
    <mergeCell ref="L11:L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B1:R26"/>
  <sheetViews>
    <sheetView zoomScale="130" zoomScaleNormal="130" workbookViewId="0">
      <selection activeCell="D35" sqref="D35"/>
    </sheetView>
  </sheetViews>
  <sheetFormatPr defaultRowHeight="15" x14ac:dyDescent="0.25"/>
  <cols>
    <col min="2" max="2" width="23" bestFit="1" customWidth="1"/>
    <col min="3" max="3" width="20.85546875" bestFit="1" customWidth="1"/>
    <col min="4" max="4" width="29.85546875" bestFit="1" customWidth="1"/>
    <col min="5" max="5" width="13.28515625" bestFit="1" customWidth="1"/>
    <col min="6" max="6" width="14.7109375" bestFit="1" customWidth="1"/>
    <col min="7" max="7" width="8.140625" bestFit="1" customWidth="1"/>
    <col min="8" max="8" width="15.5703125" bestFit="1" customWidth="1"/>
    <col min="9" max="9" width="12.28515625" bestFit="1" customWidth="1"/>
    <col min="10" max="10" width="17.42578125" bestFit="1" customWidth="1"/>
    <col min="11" max="11" width="27.28515625" bestFit="1" customWidth="1"/>
    <col min="12" max="12" width="11.42578125" customWidth="1"/>
    <col min="13" max="13" width="20.140625" bestFit="1" customWidth="1"/>
    <col min="14" max="14" width="35" bestFit="1" customWidth="1"/>
    <col min="15" max="15" width="32.5703125" bestFit="1" customWidth="1"/>
    <col min="16" max="16" width="18" bestFit="1" customWidth="1"/>
    <col min="17" max="17" width="13.42578125" bestFit="1" customWidth="1"/>
    <col min="18" max="18" width="16.28515625" bestFit="1" customWidth="1"/>
  </cols>
  <sheetData>
    <row r="1" spans="2:18" ht="15.75" thickBot="1" x14ac:dyDescent="0.3"/>
    <row r="2" spans="2:18" x14ac:dyDescent="0.25">
      <c r="B2" s="12" t="s">
        <v>94</v>
      </c>
      <c r="C2" s="46" t="e">
        <f>ROUNDUP(SUM(C3-(C3*20%)),0)</f>
        <v>#REF!</v>
      </c>
    </row>
    <row r="3" spans="2:18" ht="15.75" thickBot="1" x14ac:dyDescent="0.3">
      <c r="B3" s="13" t="s">
        <v>90</v>
      </c>
      <c r="C3" s="47" t="e">
        <f>ROUND(HLOOKUP(#REF!,#REF!,2,FALSE),0)</f>
        <v>#REF!</v>
      </c>
    </row>
    <row r="4" spans="2:18" ht="15.75" thickBot="1" x14ac:dyDescent="0.3">
      <c r="B4" s="15" t="s">
        <v>86</v>
      </c>
      <c r="C4" s="16" t="e">
        <f>HLOOKUP(#REF!,#REF!,7,FALSE)</f>
        <v>#REF!</v>
      </c>
    </row>
    <row r="7" spans="2:18" x14ac:dyDescent="0.25">
      <c r="F7" s="1"/>
    </row>
    <row r="9" spans="2:18" x14ac:dyDescent="0.25">
      <c r="C9" s="2" t="s">
        <v>0</v>
      </c>
      <c r="D9" s="2" t="s">
        <v>8</v>
      </c>
      <c r="E9" s="2" t="s">
        <v>11</v>
      </c>
      <c r="F9" s="2" t="s">
        <v>19</v>
      </c>
      <c r="G9" s="2" t="s">
        <v>1</v>
      </c>
      <c r="H9" s="2" t="s">
        <v>15</v>
      </c>
      <c r="I9" s="2" t="s">
        <v>2</v>
      </c>
      <c r="J9" s="2" t="s">
        <v>16</v>
      </c>
      <c r="K9" s="2" t="s">
        <v>10</v>
      </c>
      <c r="L9" s="2" t="s">
        <v>9</v>
      </c>
      <c r="M9" s="2" t="s">
        <v>13</v>
      </c>
      <c r="N9" s="2" t="s">
        <v>14</v>
      </c>
      <c r="O9" s="2" t="s">
        <v>17</v>
      </c>
      <c r="P9" s="2" t="s">
        <v>18</v>
      </c>
      <c r="Q9" s="2" t="s">
        <v>0</v>
      </c>
      <c r="R9" s="2" t="s">
        <v>91</v>
      </c>
    </row>
    <row r="10" spans="2:18" x14ac:dyDescent="0.25">
      <c r="C10" s="3" t="str">
        <f>C22</f>
        <v>Spare NB CV</v>
      </c>
      <c r="D10" s="5">
        <f>I22</f>
        <v>0</v>
      </c>
      <c r="E10" s="4" t="e">
        <f>SUM($C$4*D10)</f>
        <v>#REF!</v>
      </c>
      <c r="F10" s="6" t="e">
        <f>VLOOKUP(C10,#REF!,3,0)</f>
        <v>#REF!</v>
      </c>
      <c r="G10" s="6">
        <v>1</v>
      </c>
      <c r="H10" s="2" t="e">
        <f>SUM($D$16-F10)</f>
        <v>#REF!</v>
      </c>
      <c r="I10" s="2" t="e">
        <f>7.5*G10*H10</f>
        <v>#REF!</v>
      </c>
      <c r="J10" s="5" t="e">
        <f>SUM(1-(I10/$D$18))</f>
        <v>#REF!</v>
      </c>
      <c r="K10" s="4" t="e">
        <f>SUM(E10-(J10*E10))</f>
        <v>#REF!</v>
      </c>
      <c r="L10" s="84" t="e">
        <f>C4-K10-K14-K11-K12-K13</f>
        <v>#REF!</v>
      </c>
      <c r="M10" s="7" t="e">
        <f>SUM(I10/$D$17)</f>
        <v>#REF!</v>
      </c>
      <c r="N10" s="7" t="e">
        <f>SUM(M10+D10)/2</f>
        <v>#REF!</v>
      </c>
      <c r="O10" s="4" t="e">
        <f>SUM($L$10*N10)</f>
        <v>#REF!</v>
      </c>
      <c r="P10" s="4" t="e">
        <f>_xlfn.CEILING.MATH(O10+K10,10)</f>
        <v>#REF!</v>
      </c>
      <c r="Q10" s="3" t="str">
        <f>C10</f>
        <v>Spare NB CV</v>
      </c>
      <c r="R10" s="55" t="e">
        <f>SUM($C$2*(P10/($P$10+$P$11+$P$12+$P$13+$P$14)))</f>
        <v>#REF!</v>
      </c>
    </row>
    <row r="11" spans="2:18" x14ac:dyDescent="0.25">
      <c r="C11" s="3" t="str">
        <f>C23</f>
        <v>Tony Lewis</v>
      </c>
      <c r="D11" s="5">
        <f>I23</f>
        <v>1</v>
      </c>
      <c r="E11" s="4" t="e">
        <f>SUM($C$4*D11)</f>
        <v>#REF!</v>
      </c>
      <c r="F11" s="6" t="e">
        <f>VLOOKUP(C11,#REF!,3,0)</f>
        <v>#REF!</v>
      </c>
      <c r="G11" s="6">
        <v>1</v>
      </c>
      <c r="H11" s="2" t="e">
        <f>SUM($D$16-F11)</f>
        <v>#REF!</v>
      </c>
      <c r="I11" s="2" t="e">
        <f>7.5*G11*H11</f>
        <v>#REF!</v>
      </c>
      <c r="J11" s="5" t="e">
        <f>SUM(1-(I11/$D$18))</f>
        <v>#REF!</v>
      </c>
      <c r="K11" s="4" t="e">
        <f>SUM(E11-(J11*E11))</f>
        <v>#REF!</v>
      </c>
      <c r="L11" s="84"/>
      <c r="M11" s="7" t="e">
        <f>SUM(I11/$D$17)</f>
        <v>#REF!</v>
      </c>
      <c r="N11" s="7" t="e">
        <f>SUM(M11+D11)/2</f>
        <v>#REF!</v>
      </c>
      <c r="O11" s="4" t="e">
        <f>SUM($L$10*N11)</f>
        <v>#REF!</v>
      </c>
      <c r="P11" s="4" t="e">
        <f>_xlfn.CEILING.MATH(O11+K11,10)</f>
        <v>#REF!</v>
      </c>
      <c r="Q11" s="3" t="str">
        <f>C11</f>
        <v>Tony Lewis</v>
      </c>
      <c r="R11" s="55" t="e">
        <f>SUM($C$2*(P11/($P$10+$P$11+$P$12+$P$13+$P$14)))</f>
        <v>#REF!</v>
      </c>
    </row>
    <row r="12" spans="2:18" x14ac:dyDescent="0.25">
      <c r="C12" s="3" t="str">
        <f>C24</f>
        <v>Spare NB CV</v>
      </c>
      <c r="D12" s="5">
        <f>I24</f>
        <v>0</v>
      </c>
      <c r="E12" s="4" t="e">
        <f>SUM($C$4*D12)</f>
        <v>#REF!</v>
      </c>
      <c r="F12" s="6" t="e">
        <f>VLOOKUP(C12,#REF!,3,0)</f>
        <v>#REF!</v>
      </c>
      <c r="G12" s="6">
        <v>1</v>
      </c>
      <c r="H12" s="2" t="e">
        <f>SUM($D$16-F12)</f>
        <v>#REF!</v>
      </c>
      <c r="I12" s="2" t="e">
        <f>7.5*G12*H12</f>
        <v>#REF!</v>
      </c>
      <c r="J12" s="5" t="e">
        <f>SUM(1-(I12/$D$18))</f>
        <v>#REF!</v>
      </c>
      <c r="K12" s="4" t="e">
        <f>SUM(E12-(J12*E12))</f>
        <v>#REF!</v>
      </c>
      <c r="L12" s="84"/>
      <c r="M12" s="7" t="e">
        <f>SUM(I12/$D$17)</f>
        <v>#REF!</v>
      </c>
      <c r="N12" s="7" t="e">
        <f>SUM(M12+D12)/2</f>
        <v>#REF!</v>
      </c>
      <c r="O12" s="4" t="e">
        <f>SUM($L$10*N12)</f>
        <v>#REF!</v>
      </c>
      <c r="P12" s="4" t="e">
        <f>_xlfn.CEILING.MATH(O12+K12,10)</f>
        <v>#REF!</v>
      </c>
      <c r="Q12" s="3" t="str">
        <f>C12</f>
        <v>Spare NB CV</v>
      </c>
      <c r="R12" s="55" t="e">
        <f>SUM($C$2*(P12/($P$10+$P$11+$P$12+$P$13+$P$14)))</f>
        <v>#REF!</v>
      </c>
    </row>
    <row r="13" spans="2:18" x14ac:dyDescent="0.25">
      <c r="C13" s="3" t="str">
        <f>C25</f>
        <v>Spare NB CV</v>
      </c>
      <c r="D13" s="5">
        <f>I25</f>
        <v>0</v>
      </c>
      <c r="E13" s="4" t="e">
        <f>SUM($C$4*D13)</f>
        <v>#REF!</v>
      </c>
      <c r="F13" s="6" t="e">
        <f>VLOOKUP(C13,#REF!,3,0)</f>
        <v>#REF!</v>
      </c>
      <c r="G13" s="6">
        <v>1</v>
      </c>
      <c r="H13" s="2" t="e">
        <f>SUM($D$16-F13)</f>
        <v>#REF!</v>
      </c>
      <c r="I13" s="2" t="e">
        <f>7.5*G13*H13</f>
        <v>#REF!</v>
      </c>
      <c r="J13" s="5" t="e">
        <f>SUM(1-(I13/$D$18))</f>
        <v>#REF!</v>
      </c>
      <c r="K13" s="4" t="e">
        <f>SUM(E13-(J13*E13))</f>
        <v>#REF!</v>
      </c>
      <c r="L13" s="84"/>
      <c r="M13" s="7" t="e">
        <f>SUM(I13/$D$17)</f>
        <v>#REF!</v>
      </c>
      <c r="N13" s="7" t="e">
        <f>SUM(M13+D13)/2</f>
        <v>#REF!</v>
      </c>
      <c r="O13" s="4" t="e">
        <f>SUM($L$10*N13)</f>
        <v>#REF!</v>
      </c>
      <c r="P13" s="4" t="e">
        <f>_xlfn.CEILING.MATH(O13+K13,10)</f>
        <v>#REF!</v>
      </c>
      <c r="Q13" s="3" t="str">
        <f>C13</f>
        <v>Spare NB CV</v>
      </c>
      <c r="R13" s="55" t="e">
        <f>SUM($C$2*(P13/($P$10+$P$11+$P$12+$P$13+$P$14)))</f>
        <v>#REF!</v>
      </c>
    </row>
    <row r="14" spans="2:18" x14ac:dyDescent="0.25">
      <c r="C14" s="3" t="str">
        <f>C26</f>
        <v>Spare NB CV</v>
      </c>
      <c r="D14" s="5">
        <f>I26</f>
        <v>0</v>
      </c>
      <c r="E14" s="4" t="e">
        <f>SUM($C$4*D14)</f>
        <v>#REF!</v>
      </c>
      <c r="F14" s="6" t="e">
        <f>VLOOKUP(C14,#REF!,3,0)</f>
        <v>#REF!</v>
      </c>
      <c r="G14" s="6">
        <v>0</v>
      </c>
      <c r="H14" s="2" t="e">
        <f>SUM($D$16-F14)</f>
        <v>#REF!</v>
      </c>
      <c r="I14" s="2" t="e">
        <f>7.5*G14*H14</f>
        <v>#REF!</v>
      </c>
      <c r="J14" s="5" t="e">
        <f>SUM(1-(I14/$D$18))</f>
        <v>#REF!</v>
      </c>
      <c r="K14" s="4" t="e">
        <f>SUM(E14-(J14*E14))</f>
        <v>#REF!</v>
      </c>
      <c r="L14" s="84"/>
      <c r="M14" s="7" t="e">
        <f>SUM(I14/$D$17)</f>
        <v>#REF!</v>
      </c>
      <c r="N14" s="7" t="e">
        <f>SUM(M14+D14)/2</f>
        <v>#REF!</v>
      </c>
      <c r="O14" s="4" t="e">
        <f>SUM($L$10*N14)</f>
        <v>#REF!</v>
      </c>
      <c r="P14" s="4" t="e">
        <f>_xlfn.CEILING.MATH(O14+K14,10)</f>
        <v>#REF!</v>
      </c>
      <c r="Q14" s="3" t="str">
        <f>C14</f>
        <v>Spare NB CV</v>
      </c>
      <c r="R14" s="55" t="e">
        <f>SUM($C$2*(P14/($P$10+$P$11+$P$12+$P$13+$P$14)))</f>
        <v>#REF!</v>
      </c>
    </row>
    <row r="15" spans="2:18" x14ac:dyDescent="0.25">
      <c r="C15" s="41"/>
    </row>
    <row r="16" spans="2:18" x14ac:dyDescent="0.25">
      <c r="C16" s="3" t="s">
        <v>37</v>
      </c>
      <c r="D16" s="6" t="e">
        <f>#REF!</f>
        <v>#REF!</v>
      </c>
    </row>
    <row r="17" spans="3:9" x14ac:dyDescent="0.25">
      <c r="C17" s="3" t="s">
        <v>7</v>
      </c>
      <c r="D17" s="3" t="e">
        <f>I10+I11+I12+I13+I14</f>
        <v>#REF!</v>
      </c>
    </row>
    <row r="18" spans="3:9" x14ac:dyDescent="0.25">
      <c r="C18" s="3" t="s">
        <v>12</v>
      </c>
      <c r="D18" s="3" t="e">
        <f>SUM(D16*7.5)</f>
        <v>#REF!</v>
      </c>
    </row>
    <row r="19" spans="3:9" x14ac:dyDescent="0.25">
      <c r="C19" s="3" t="s">
        <v>26</v>
      </c>
      <c r="D19" s="11">
        <f>H22+H23+H24+H25+H26</f>
        <v>40</v>
      </c>
    </row>
    <row r="20" spans="3:9" x14ac:dyDescent="0.25">
      <c r="C20" s="41"/>
    </row>
    <row r="21" spans="3:9" x14ac:dyDescent="0.25">
      <c r="C21" s="42" t="s">
        <v>20</v>
      </c>
      <c r="D21" s="11" t="s">
        <v>21</v>
      </c>
      <c r="E21" s="9" t="s">
        <v>22</v>
      </c>
      <c r="F21" s="9" t="s">
        <v>23</v>
      </c>
      <c r="G21" s="9" t="s">
        <v>24</v>
      </c>
      <c r="H21" s="9" t="s">
        <v>25</v>
      </c>
      <c r="I21" s="11" t="s">
        <v>27</v>
      </c>
    </row>
    <row r="22" spans="3:9" x14ac:dyDescent="0.25">
      <c r="C22" s="3" t="s">
        <v>98</v>
      </c>
      <c r="D22" s="6">
        <v>0</v>
      </c>
      <c r="E22" s="6">
        <v>0</v>
      </c>
      <c r="F22" s="6">
        <v>0</v>
      </c>
      <c r="G22" s="6">
        <v>0</v>
      </c>
      <c r="H22" s="11">
        <f>D22+E22+F22+G22</f>
        <v>0</v>
      </c>
      <c r="I22" s="9">
        <f>SUM(H22/$D$19)</f>
        <v>0</v>
      </c>
    </row>
    <row r="23" spans="3:9" x14ac:dyDescent="0.25">
      <c r="C23" s="3" t="s">
        <v>32</v>
      </c>
      <c r="D23" s="6">
        <v>10</v>
      </c>
      <c r="E23" s="6">
        <v>10</v>
      </c>
      <c r="F23" s="6">
        <v>10</v>
      </c>
      <c r="G23" s="6">
        <v>10</v>
      </c>
      <c r="H23" s="11">
        <f>D23+E23+F23+G23</f>
        <v>40</v>
      </c>
      <c r="I23" s="9">
        <f>SUM(H23/$D$19)</f>
        <v>1</v>
      </c>
    </row>
    <row r="24" spans="3:9" x14ac:dyDescent="0.25">
      <c r="C24" s="3" t="s">
        <v>98</v>
      </c>
      <c r="D24" s="6">
        <v>0</v>
      </c>
      <c r="E24" s="6">
        <v>0</v>
      </c>
      <c r="F24" s="6">
        <v>0</v>
      </c>
      <c r="G24" s="6">
        <v>0</v>
      </c>
      <c r="H24" s="11">
        <f>D24+E24+F24+G24</f>
        <v>0</v>
      </c>
      <c r="I24" s="9">
        <f>SUM(H24/$D$19)</f>
        <v>0</v>
      </c>
    </row>
    <row r="25" spans="3:9" x14ac:dyDescent="0.25">
      <c r="C25" s="3" t="s">
        <v>98</v>
      </c>
      <c r="D25" s="6">
        <v>0</v>
      </c>
      <c r="E25" s="6">
        <v>0</v>
      </c>
      <c r="F25" s="6">
        <v>0</v>
      </c>
      <c r="G25" s="6">
        <v>0</v>
      </c>
      <c r="H25" s="11">
        <f>D25+E25+F25+G25</f>
        <v>0</v>
      </c>
      <c r="I25" s="9">
        <f>SUM(H25/$D$19)</f>
        <v>0</v>
      </c>
    </row>
    <row r="26" spans="3:9" x14ac:dyDescent="0.25">
      <c r="C26" s="3" t="s">
        <v>98</v>
      </c>
      <c r="D26" s="6">
        <v>0</v>
      </c>
      <c r="E26" s="6">
        <v>0</v>
      </c>
      <c r="F26" s="6">
        <v>0</v>
      </c>
      <c r="G26" s="6">
        <v>0</v>
      </c>
      <c r="H26" s="11">
        <f>D26+E26+F26+G26</f>
        <v>0</v>
      </c>
      <c r="I26" s="9">
        <f>SUM(H26/$D$19)</f>
        <v>0</v>
      </c>
    </row>
  </sheetData>
  <mergeCells count="1">
    <mergeCell ref="L10:L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H7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8" x14ac:dyDescent="0.25">
      <c r="A3" s="63" t="s">
        <v>105</v>
      </c>
      <c r="B3" t="s">
        <v>108</v>
      </c>
    </row>
    <row r="4" spans="1:8" x14ac:dyDescent="0.25">
      <c r="A4" s="64" t="s">
        <v>80</v>
      </c>
      <c r="B4">
        <v>270</v>
      </c>
      <c r="E4">
        <v>223</v>
      </c>
      <c r="F4">
        <f>E4/E7*100</f>
        <v>71.935483870967744</v>
      </c>
      <c r="H4">
        <f>100-F4</f>
        <v>28.064516129032256</v>
      </c>
    </row>
    <row r="5" spans="1:8" x14ac:dyDescent="0.25">
      <c r="A5" s="64" t="s">
        <v>106</v>
      </c>
      <c r="E5">
        <v>87</v>
      </c>
    </row>
    <row r="6" spans="1:8" x14ac:dyDescent="0.25">
      <c r="A6" s="64" t="s">
        <v>107</v>
      </c>
      <c r="B6">
        <v>270</v>
      </c>
    </row>
    <row r="7" spans="1:8" x14ac:dyDescent="0.25">
      <c r="E7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 sheet July</vt:lpstr>
      <vt:lpstr>Target sheet Dev</vt:lpstr>
      <vt:lpstr>CV NB CAQ </vt:lpstr>
      <vt:lpstr>CV NB First Van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2025-02-27T16:14:24Z</dcterms:modified>
</cp:coreProperties>
</file>