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lements\Desktop\"/>
    </mc:Choice>
  </mc:AlternateContent>
  <bookViews>
    <workbookView xWindow="0" yWindow="0" windowWidth="20490" windowHeight="7620"/>
  </bookViews>
  <sheets>
    <sheet name="Summary" sheetId="10" r:id="rId1"/>
    <sheet name="SME NB " sheetId="7" r:id="rId2"/>
    <sheet name="SME EB INDIVIDUAL" sheetId="6" r:id="rId3"/>
    <sheet name="SME EB" sheetId="3" r:id="rId4"/>
    <sheet name="VAN NB" sheetId="8" r:id="rId5"/>
    <sheet name="VAN EB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0" l="1"/>
  <c r="E5" i="10"/>
  <c r="E34" i="10"/>
  <c r="E33" i="10"/>
  <c r="E32" i="10"/>
  <c r="E31" i="10"/>
  <c r="E30" i="10"/>
  <c r="E29" i="10"/>
  <c r="E27" i="10"/>
  <c r="E26" i="10"/>
  <c r="E25" i="10"/>
  <c r="E24" i="10"/>
  <c r="E23" i="10"/>
  <c r="E22" i="10"/>
  <c r="E21" i="10"/>
  <c r="E20" i="10"/>
  <c r="E19" i="10"/>
  <c r="E28" i="10"/>
  <c r="E18" i="10"/>
  <c r="E17" i="10"/>
  <c r="E16" i="10"/>
  <c r="E15" i="10"/>
  <c r="E14" i="10"/>
  <c r="E13" i="10"/>
  <c r="E12" i="10"/>
  <c r="E4" i="10"/>
  <c r="E3" i="10"/>
  <c r="E10" i="10"/>
  <c r="E9" i="10"/>
  <c r="E7" i="10"/>
  <c r="E11" i="10"/>
  <c r="E6" i="10"/>
  <c r="E2" i="10"/>
  <c r="F29" i="10" l="1"/>
  <c r="F18" i="10"/>
  <c r="F14" i="10"/>
  <c r="F2" i="10"/>
  <c r="F38" i="10" l="1"/>
  <c r="D5" i="3" l="1"/>
  <c r="B19" i="7" l="1"/>
  <c r="D9" i="7" l="1"/>
  <c r="E9" i="7"/>
  <c r="M9" i="7"/>
  <c r="P9" i="7" s="1"/>
  <c r="Q9" i="7" s="1"/>
  <c r="D6" i="6"/>
  <c r="E6" i="6" s="1"/>
  <c r="D7" i="6"/>
  <c r="E7" i="6" s="1"/>
  <c r="M6" i="6"/>
  <c r="M7" i="6"/>
  <c r="F5" i="3" l="1"/>
  <c r="F6" i="3"/>
  <c r="I2" i="3" l="1"/>
  <c r="B25" i="6" s="1"/>
  <c r="B26" i="7"/>
  <c r="B26" i="6" l="1"/>
  <c r="D5" i="6"/>
  <c r="E5" i="6" s="1"/>
  <c r="M5" i="6"/>
  <c r="E6" i="8" l="1"/>
  <c r="D6" i="8"/>
  <c r="C4" i="3" l="1"/>
  <c r="C3" i="3"/>
  <c r="C2" i="3"/>
  <c r="D3" i="3"/>
  <c r="D4" i="3"/>
  <c r="F3" i="3" l="1"/>
  <c r="F4" i="3"/>
  <c r="D4" i="6"/>
  <c r="E4" i="6" s="1"/>
  <c r="M4" i="6"/>
  <c r="B14" i="9" l="1"/>
  <c r="J7" i="9"/>
  <c r="K7" i="9" s="1"/>
  <c r="L5" i="9"/>
  <c r="D4" i="9"/>
  <c r="E4" i="9" s="1"/>
  <c r="D3" i="9"/>
  <c r="E3" i="9" s="1"/>
  <c r="D2" i="9"/>
  <c r="E2" i="9" s="1"/>
  <c r="K11" i="8"/>
  <c r="L9" i="8"/>
  <c r="D8" i="8"/>
  <c r="E8" i="8" s="1"/>
  <c r="E7" i="8"/>
  <c r="D5" i="8"/>
  <c r="E5" i="8" s="1"/>
  <c r="D4" i="8"/>
  <c r="E4" i="8" s="1"/>
  <c r="D3" i="8"/>
  <c r="E3" i="8" s="1"/>
  <c r="D2" i="8"/>
  <c r="E2" i="8" s="1"/>
  <c r="E7" i="9" l="1"/>
  <c r="F7" i="9" s="1"/>
  <c r="F3" i="9"/>
  <c r="G3" i="9" s="1"/>
  <c r="J3" i="9" s="1"/>
  <c r="K3" i="9" s="1"/>
  <c r="E11" i="8"/>
  <c r="F6" i="8" s="1"/>
  <c r="G6" i="8" s="1"/>
  <c r="J6" i="8" s="1"/>
  <c r="K6" i="8" s="1"/>
  <c r="F2" i="8" l="1"/>
  <c r="G2" i="8" s="1"/>
  <c r="J2" i="8" s="1"/>
  <c r="K2" i="8" s="1"/>
  <c r="F4" i="9"/>
  <c r="G4" i="9" s="1"/>
  <c r="J4" i="9" s="1"/>
  <c r="K4" i="9" s="1"/>
  <c r="F2" i="9"/>
  <c r="G2" i="9" s="1"/>
  <c r="J2" i="9" s="1"/>
  <c r="K2" i="9" s="1"/>
  <c r="F11" i="8"/>
  <c r="F8" i="8"/>
  <c r="G8" i="8" s="1"/>
  <c r="J8" i="8" s="1"/>
  <c r="K8" i="8" s="1"/>
  <c r="F7" i="8"/>
  <c r="G7" i="8" s="1"/>
  <c r="J7" i="8" s="1"/>
  <c r="K7" i="8" s="1"/>
  <c r="F5" i="8"/>
  <c r="G5" i="8" s="1"/>
  <c r="J5" i="8" s="1"/>
  <c r="K5" i="8" s="1"/>
  <c r="F4" i="8"/>
  <c r="G4" i="8" s="1"/>
  <c r="J4" i="8" s="1"/>
  <c r="K4" i="8" s="1"/>
  <c r="F3" i="8"/>
  <c r="G3" i="8" s="1"/>
  <c r="J3" i="8" s="1"/>
  <c r="K3" i="8" s="1"/>
  <c r="C7" i="3" l="1"/>
  <c r="D2" i="3"/>
  <c r="F2" i="3" s="1"/>
  <c r="F7" i="3" s="1"/>
  <c r="B24" i="6" l="1"/>
  <c r="D8" i="7" l="1"/>
  <c r="E8" i="7" s="1"/>
  <c r="M8" i="7"/>
  <c r="P8" i="7" s="1"/>
  <c r="Q8" i="7" l="1"/>
  <c r="D3" i="6" l="1"/>
  <c r="E3" i="6" s="1"/>
  <c r="M3" i="6"/>
  <c r="B7" i="3"/>
  <c r="D6" i="7" l="1"/>
  <c r="E6" i="7" s="1"/>
  <c r="M6" i="7"/>
  <c r="P6" i="7" s="1"/>
  <c r="Q6" i="7" l="1"/>
  <c r="D3" i="7"/>
  <c r="E3" i="7" s="1"/>
  <c r="M3" i="7"/>
  <c r="P3" i="7" s="1"/>
  <c r="Q3" i="7" l="1"/>
  <c r="B22" i="6" l="1"/>
  <c r="D11" i="6" l="1"/>
  <c r="C9" i="3" l="1"/>
  <c r="M2" i="6" l="1"/>
  <c r="D2" i="6"/>
  <c r="E2" i="6" s="1"/>
  <c r="M8" i="6" l="1"/>
  <c r="D8" i="6"/>
  <c r="E8" i="6" s="1"/>
  <c r="E13" i="6" l="1"/>
  <c r="M10" i="7"/>
  <c r="P10" i="7" s="1"/>
  <c r="D10" i="7"/>
  <c r="E10" i="7" s="1"/>
  <c r="M7" i="7"/>
  <c r="P7" i="7" s="1"/>
  <c r="D7" i="7"/>
  <c r="E7" i="7" s="1"/>
  <c r="M5" i="7"/>
  <c r="P5" i="7" s="1"/>
  <c r="D5" i="7"/>
  <c r="E5" i="7" s="1"/>
  <c r="M4" i="7"/>
  <c r="P4" i="7" s="1"/>
  <c r="D4" i="7"/>
  <c r="E4" i="7" s="1"/>
  <c r="M2" i="7"/>
  <c r="P2" i="7" s="1"/>
  <c r="D2" i="7"/>
  <c r="E2" i="7" s="1"/>
  <c r="F6" i="6" l="1"/>
  <c r="F7" i="6"/>
  <c r="F3" i="6"/>
  <c r="F8" i="6"/>
  <c r="F5" i="6"/>
  <c r="F4" i="6"/>
  <c r="Q5" i="7"/>
  <c r="Q2" i="7"/>
  <c r="Q10" i="7"/>
  <c r="Q7" i="7"/>
  <c r="Q4" i="7"/>
  <c r="P11" i="7"/>
  <c r="E12" i="7"/>
  <c r="F9" i="7" s="1"/>
  <c r="G9" i="7" s="1"/>
  <c r="J9" i="7" s="1"/>
  <c r="F6" i="7" l="1"/>
  <c r="G6" i="7" s="1"/>
  <c r="J6" i="7" s="1"/>
  <c r="F8" i="7"/>
  <c r="G8" i="7" s="1"/>
  <c r="J8" i="7" s="1"/>
  <c r="F3" i="7"/>
  <c r="G3" i="7" s="1"/>
  <c r="J3" i="7" s="1"/>
  <c r="F12" i="7"/>
  <c r="F2" i="7"/>
  <c r="G2" i="7" s="1"/>
  <c r="J2" i="7" s="1"/>
  <c r="F7" i="7"/>
  <c r="G7" i="7" s="1"/>
  <c r="J7" i="7" s="1"/>
  <c r="F5" i="7"/>
  <c r="G5" i="7" s="1"/>
  <c r="J5" i="7" s="1"/>
  <c r="F4" i="7"/>
  <c r="G4" i="7" s="1"/>
  <c r="J4" i="7" s="1"/>
  <c r="F10" i="7"/>
  <c r="G10" i="7" s="1"/>
  <c r="J10" i="7" s="1"/>
  <c r="F2" i="6" l="1"/>
  <c r="F13" i="6"/>
  <c r="B23" i="6" l="1"/>
  <c r="B27" i="6" l="1"/>
  <c r="B18" i="6"/>
  <c r="G7" i="6" l="1"/>
  <c r="J7" i="6" s="1"/>
  <c r="K7" i="6" s="1"/>
  <c r="G6" i="6"/>
  <c r="J6" i="6" s="1"/>
  <c r="K6" i="6" s="1"/>
  <c r="G5" i="6"/>
  <c r="J5" i="6" s="1"/>
  <c r="K5" i="6" s="1"/>
  <c r="G8" i="6"/>
  <c r="J8" i="6" s="1"/>
  <c r="K8" i="6" s="1"/>
  <c r="G4" i="6"/>
  <c r="J4" i="6" s="1"/>
  <c r="K4" i="6" s="1"/>
  <c r="G3" i="6"/>
  <c r="J3" i="6" s="1"/>
  <c r="K3" i="6" s="1"/>
  <c r="G2" i="6"/>
  <c r="J2" i="6" s="1"/>
  <c r="K2" i="6" s="1"/>
</calcChain>
</file>

<file path=xl/sharedStrings.xml><?xml version="1.0" encoding="utf-8"?>
<sst xmlns="http://schemas.openxmlformats.org/spreadsheetml/2006/main" count="271" uniqueCount="112">
  <si>
    <t>Agent</t>
  </si>
  <si>
    <t>Time Off</t>
  </si>
  <si>
    <t>ft/pt</t>
  </si>
  <si>
    <t>Days Worked</t>
  </si>
  <si>
    <t>Hours Worked</t>
  </si>
  <si>
    <t>%</t>
  </si>
  <si>
    <t>Split</t>
  </si>
  <si>
    <t>Inexperience Adj</t>
  </si>
  <si>
    <t>Salary Adj</t>
  </si>
  <si>
    <t>Adjusted</t>
  </si>
  <si>
    <t>Target</t>
  </si>
  <si>
    <t>Avg Inc</t>
  </si>
  <si>
    <t>Policies</t>
  </si>
  <si>
    <t>Final</t>
  </si>
  <si>
    <t>Conversion</t>
  </si>
  <si>
    <t>Quotes</t>
  </si>
  <si>
    <t>Aimee Davies</t>
  </si>
  <si>
    <t>Elisha Perry</t>
  </si>
  <si>
    <t>Reece Bullock</t>
  </si>
  <si>
    <t>Nick Dibble</t>
  </si>
  <si>
    <t>Nikki Thomas</t>
  </si>
  <si>
    <t>Sophie Roberts</t>
  </si>
  <si>
    <t>Working Days</t>
  </si>
  <si>
    <t>Total</t>
  </si>
  <si>
    <t>NB BREAKDOWN</t>
  </si>
  <si>
    <t>WEB</t>
  </si>
  <si>
    <t>T1-6</t>
  </si>
  <si>
    <t>TOTAL</t>
  </si>
  <si>
    <t>Growth</t>
  </si>
  <si>
    <t>&lt;£100</t>
  </si>
  <si>
    <t>£100-£250</t>
  </si>
  <si>
    <t>£250 - £500</t>
  </si>
  <si>
    <t>£500-£750</t>
  </si>
  <si>
    <t>£750-£1k</t>
  </si>
  <si>
    <t>£1k - £2k</t>
  </si>
  <si>
    <t>£2-3k</t>
  </si>
  <si>
    <t>£3-5k</t>
  </si>
  <si>
    <t>£5k+</t>
  </si>
  <si>
    <t>Auto CC</t>
  </si>
  <si>
    <t>Auto DD</t>
  </si>
  <si>
    <t>CC Expired</t>
  </si>
  <si>
    <t>Non Auto</t>
  </si>
  <si>
    <t>Av</t>
  </si>
  <si>
    <t>Placement</t>
  </si>
  <si>
    <t>VAN EB</t>
  </si>
  <si>
    <t>VAN NB</t>
  </si>
  <si>
    <t>Diane Barnaby</t>
  </si>
  <si>
    <t>Paul Rogers</t>
  </si>
  <si>
    <t>Lee Powell</t>
  </si>
  <si>
    <t>Tony Lewis</t>
  </si>
  <si>
    <t>Hayley Donovan</t>
  </si>
  <si>
    <t>Auto</t>
  </si>
  <si>
    <t>Kelly Mordecai</t>
  </si>
  <si>
    <t>EB BREAKDOWN</t>
  </si>
  <si>
    <t>Jessica Pope</t>
  </si>
  <si>
    <t>Agents</t>
  </si>
  <si>
    <t>Aimee Matthews</t>
  </si>
  <si>
    <t>Auto (Diane)</t>
  </si>
  <si>
    <t>Kirsty</t>
  </si>
  <si>
    <t>Auto into EB</t>
  </si>
  <si>
    <t>Nicola Christensen</t>
  </si>
  <si>
    <t>M</t>
  </si>
  <si>
    <t>Daily Quotes</t>
  </si>
  <si>
    <t>Keira Saunders</t>
  </si>
  <si>
    <t>Aimee Wood</t>
  </si>
  <si>
    <t>Gemma Hardy</t>
  </si>
  <si>
    <t>Iris</t>
  </si>
  <si>
    <t>EB</t>
  </si>
  <si>
    <t>Target EB</t>
  </si>
  <si>
    <t>Thomas Hughes</t>
  </si>
  <si>
    <t>Stacey Brown</t>
  </si>
  <si>
    <t>Validation</t>
  </si>
  <si>
    <t>Natalie Paul</t>
  </si>
  <si>
    <t>Tara Griffiths</t>
  </si>
  <si>
    <t>Michael Adam</t>
  </si>
  <si>
    <t>Marc Edwards</t>
  </si>
  <si>
    <t>Lewis Lloyd</t>
  </si>
  <si>
    <t>Tyrone Phillips</t>
  </si>
  <si>
    <t>TGSL Name</t>
  </si>
  <si>
    <t>DEPT</t>
  </si>
  <si>
    <t>Team</t>
  </si>
  <si>
    <t>HierarchyMonthID</t>
  </si>
  <si>
    <t>MonthlyTarget</t>
  </si>
  <si>
    <t>Team Target</t>
  </si>
  <si>
    <t>Comments</t>
  </si>
  <si>
    <t>Kirsty Greenslade</t>
  </si>
  <si>
    <t>Existing Business</t>
  </si>
  <si>
    <t>SME RNL</t>
  </si>
  <si>
    <t>P/T</t>
  </si>
  <si>
    <t>Iris Lewis</t>
  </si>
  <si>
    <t>David Kaminski</t>
  </si>
  <si>
    <t>M RNL</t>
  </si>
  <si>
    <t>Diane Verity</t>
  </si>
  <si>
    <t>SME RNL - Tier 3 (Admin)</t>
  </si>
  <si>
    <t>Van - EB</t>
  </si>
  <si>
    <t>Auto Renewal</t>
  </si>
  <si>
    <t>New Business</t>
  </si>
  <si>
    <t>M NB</t>
  </si>
  <si>
    <t>Daniel Veall</t>
  </si>
  <si>
    <t>SME M (NB)</t>
  </si>
  <si>
    <t>SME NB - Tier 3</t>
  </si>
  <si>
    <t>Web App</t>
  </si>
  <si>
    <t>Web Application</t>
  </si>
  <si>
    <t>Van-NB</t>
  </si>
  <si>
    <t>Van -NB</t>
  </si>
  <si>
    <t>Helen Bailey</t>
  </si>
  <si>
    <t>Jayne Clemo</t>
  </si>
  <si>
    <t>Jaquie Dearson</t>
  </si>
  <si>
    <t>Rhys Pugh</t>
  </si>
  <si>
    <t>Management</t>
  </si>
  <si>
    <t>Sales Manager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</si>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</sst>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1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/>
    <xf numFmtId="165" fontId="0" fillId="0" borderId="0" xfId="0" applyNumberFormat="1"/>
    <xf numFmtId="8" fontId="0" fillId="0" borderId="0" xfId="0" applyNumberForma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8" fontId="0" fillId="0" borderId="0" xfId="0" applyNumberFormat="1" applyBorder="1"/>
    <xf numFmtId="6" fontId="0" fillId="0" borderId="0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Fill="1" applyBorder="1" applyAlignment="1">
      <alignment horizontal="center" vertical="center"/>
    </xf>
    <xf numFmtId="10" fontId="1" fillId="0" borderId="3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Fill="1" applyBorder="1"/>
    <xf numFmtId="165" fontId="3" fillId="0" borderId="1" xfId="0" applyNumberFormat="1" applyFont="1" applyBorder="1"/>
    <xf numFmtId="0" fontId="1" fillId="6" borderId="0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164" fontId="3" fillId="0" borderId="0" xfId="0" applyNumberFormat="1" applyFont="1" applyBorder="1"/>
    <xf numFmtId="0" fontId="1" fillId="0" borderId="1" xfId="0" applyFont="1" applyBorder="1" applyAlignment="1">
      <alignment horizontal="center"/>
    </xf>
    <xf numFmtId="6" fontId="0" fillId="0" borderId="1" xfId="0" applyNumberFormat="1" applyBorder="1"/>
    <xf numFmtId="165" fontId="1" fillId="0" borderId="0" xfId="0" applyNumberFormat="1" applyFont="1"/>
    <xf numFmtId="164" fontId="0" fillId="0" borderId="1" xfId="0" applyNumberFormat="1" applyBorder="1"/>
    <xf numFmtId="1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165" fontId="3" fillId="0" borderId="1" xfId="0" applyNumberFormat="1" applyFont="1" applyFill="1" applyBorder="1"/>
    <xf numFmtId="165" fontId="2" fillId="0" borderId="1" xfId="0" applyNumberFormat="1" applyFont="1" applyBorder="1" applyAlignment="1">
      <alignment horizontal="center" vertical="center"/>
    </xf>
    <xf numFmtId="0" fontId="1" fillId="6" borderId="0" xfId="0" applyFont="1" applyFill="1" applyBorder="1"/>
    <xf numFmtId="164" fontId="1" fillId="6" borderId="0" xfId="0" applyNumberFormat="1" applyFont="1" applyFill="1" applyBorder="1"/>
    <xf numFmtId="0" fontId="0" fillId="6" borderId="0" xfId="0" applyFill="1" applyBorder="1"/>
    <xf numFmtId="164" fontId="0" fillId="6" borderId="0" xfId="0" applyNumberFormat="1" applyFill="1" applyBorder="1"/>
    <xf numFmtId="165" fontId="0" fillId="6" borderId="0" xfId="0" applyNumberFormat="1" applyFill="1" applyBorder="1"/>
    <xf numFmtId="1" fontId="0" fillId="0" borderId="1" xfId="0" applyNumberFormat="1" applyBorder="1"/>
    <xf numFmtId="0" fontId="5" fillId="6" borderId="1" xfId="1" applyFont="1" applyFill="1" applyBorder="1" applyAlignment="1">
      <alignment horizontal="center" vertical="center"/>
    </xf>
    <xf numFmtId="165" fontId="5" fillId="6" borderId="1" xfId="0" applyNumberFormat="1" applyFont="1" applyFill="1" applyBorder="1"/>
    <xf numFmtId="165" fontId="6" fillId="6" borderId="0" xfId="0" applyNumberFormat="1" applyFont="1" applyFill="1"/>
    <xf numFmtId="8" fontId="1" fillId="0" borderId="0" xfId="0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0" fontId="4" fillId="0" borderId="0" xfId="0" applyFont="1" applyBorder="1"/>
    <xf numFmtId="165" fontId="0" fillId="0" borderId="0" xfId="0" applyNumberFormat="1" applyBorder="1"/>
    <xf numFmtId="164" fontId="1" fillId="6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>
      <alignment horizont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9" fontId="0" fillId="0" borderId="0" xfId="2" applyFont="1"/>
    <xf numFmtId="0" fontId="0" fillId="7" borderId="0" xfId="0" applyFill="1"/>
    <xf numFmtId="10" fontId="0" fillId="0" borderId="0" xfId="0" applyNumberFormat="1" applyBorder="1"/>
    <xf numFmtId="165" fontId="3" fillId="0" borderId="5" xfId="0" applyNumberFormat="1" applyFont="1" applyFill="1" applyBorder="1"/>
    <xf numFmtId="6" fontId="1" fillId="0" borderId="0" xfId="0" applyNumberFormat="1" applyFont="1"/>
    <xf numFmtId="164" fontId="3" fillId="0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7" fontId="9" fillId="0" borderId="7" xfId="0" applyNumberFormat="1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12" xfId="0" applyBorder="1"/>
    <xf numFmtId="0" fontId="8" fillId="0" borderId="7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5" fontId="3" fillId="3" borderId="21" xfId="0" applyNumberFormat="1" applyFont="1" applyFill="1" applyBorder="1" applyAlignment="1">
      <alignment horizontal="center" vertical="center"/>
    </xf>
    <xf numFmtId="0" fontId="0" fillId="0" borderId="6" xfId="0" applyBorder="1"/>
    <xf numFmtId="165" fontId="3" fillId="0" borderId="0" xfId="0" applyNumberFormat="1" applyFont="1" applyFill="1" applyBorder="1" applyAlignment="1">
      <alignment horizontal="center" vertical="center"/>
    </xf>
    <xf numFmtId="17" fontId="9" fillId="0" borderId="6" xfId="0" applyNumberFormat="1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165" fontId="0" fillId="0" borderId="17" xfId="0" applyNumberFormat="1" applyFill="1" applyBorder="1" applyAlignment="1">
      <alignment horizontal="center" vertical="center"/>
    </xf>
    <xf numFmtId="165" fontId="0" fillId="0" borderId="8" xfId="0" applyNumberFormat="1" applyFill="1" applyBorder="1" applyAlignment="1">
      <alignment horizontal="center" vertical="center"/>
    </xf>
    <xf numFmtId="165" fontId="0" fillId="0" borderId="19" xfId="0" applyNumberFormat="1" applyFill="1" applyBorder="1" applyAlignment="1">
      <alignment horizontal="center" vertical="center"/>
    </xf>
    <xf numFmtId="165" fontId="0" fillId="0" borderId="21" xfId="0" applyNumberFormat="1" applyFill="1" applyBorder="1" applyAlignment="1">
      <alignment horizontal="center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25"/>
  <cols>
    <col min="1" max="1" width="21.7109375" bestFit="1" customWidth="1"/>
    <col min="2" max="2" width="16.140625" bestFit="1" customWidth="1"/>
    <col min="3" max="3" width="23.140625" bestFit="1" customWidth="1"/>
    <col min="4" max="4" width="17.5703125" bestFit="1" customWidth="1"/>
    <col min="5" max="5" width="14.28515625" bestFit="1" customWidth="1"/>
    <col min="6" max="6" width="15.140625" customWidth="1"/>
    <col min="7" max="7" width="24.85546875" bestFit="1" customWidth="1"/>
  </cols>
  <sheetData>
    <row r="1" spans="1:8" ht="15.75" thickBot="1" x14ac:dyDescent="0.3">
      <c r="A1" s="93" t="s">
        <v>78</v>
      </c>
      <c r="B1" s="93" t="s">
        <v>79</v>
      </c>
      <c r="C1" s="93" t="s">
        <v>80</v>
      </c>
      <c r="D1" s="94" t="s">
        <v>81</v>
      </c>
      <c r="E1" s="95" t="s">
        <v>82</v>
      </c>
      <c r="F1" s="96" t="s">
        <v>83</v>
      </c>
      <c r="G1" s="97" t="s">
        <v>84</v>
      </c>
    </row>
    <row r="2" spans="1:8" ht="15.75" thickBot="1" x14ac:dyDescent="0.3">
      <c r="A2" s="98" t="s">
        <v>85</v>
      </c>
      <c r="B2" s="98" t="s">
        <v>86</v>
      </c>
      <c r="C2" s="99" t="s">
        <v>87</v>
      </c>
      <c r="D2" s="100">
        <v>44409</v>
      </c>
      <c r="E2" s="101">
        <f>'SME EB'!F3</f>
        <v>64237.5</v>
      </c>
      <c r="F2" s="102">
        <f>SUM(E2:E13)</f>
        <v>342307.88</v>
      </c>
      <c r="G2" s="103"/>
    </row>
    <row r="3" spans="1:8" ht="15.75" thickBot="1" x14ac:dyDescent="0.3">
      <c r="A3" s="98" t="s">
        <v>17</v>
      </c>
      <c r="B3" s="98" t="s">
        <v>86</v>
      </c>
      <c r="C3" s="99" t="s">
        <v>87</v>
      </c>
      <c r="D3" s="100">
        <v>44409</v>
      </c>
      <c r="E3" s="104">
        <f>VLOOKUP(A3,'SME EB INDIVIDUAL'!$A$2:$N$11,14,0)</f>
        <v>10500</v>
      </c>
      <c r="F3" s="105"/>
      <c r="G3" s="103"/>
    </row>
    <row r="4" spans="1:8" ht="15.75" thickBot="1" x14ac:dyDescent="0.3">
      <c r="A4" s="98" t="s">
        <v>16</v>
      </c>
      <c r="B4" s="98" t="s">
        <v>86</v>
      </c>
      <c r="C4" s="99" t="s">
        <v>87</v>
      </c>
      <c r="D4" s="100">
        <v>44409</v>
      </c>
      <c r="E4" s="104">
        <f>VLOOKUP(A4,'SME EB INDIVIDUAL'!$A$2:$N$11,14,0)</f>
        <v>8250</v>
      </c>
      <c r="F4" s="105"/>
      <c r="G4" s="103"/>
    </row>
    <row r="5" spans="1:8" ht="15.75" thickBot="1" x14ac:dyDescent="0.3">
      <c r="A5" s="99" t="s">
        <v>75</v>
      </c>
      <c r="B5" s="99" t="s">
        <v>86</v>
      </c>
      <c r="C5" s="99" t="s">
        <v>87</v>
      </c>
      <c r="D5" s="100">
        <v>44409</v>
      </c>
      <c r="E5" s="104">
        <f>VLOOKUP(A5,'SME EB INDIVIDUAL'!$A$2:$N$11,14,0)</f>
        <v>5000</v>
      </c>
      <c r="F5" s="105"/>
      <c r="G5" s="103"/>
      <c r="H5" t="s">
        <v>111</v>
      </c>
    </row>
    <row r="6" spans="1:8" ht="15.75" thickBot="1" x14ac:dyDescent="0.3">
      <c r="A6" s="98" t="s">
        <v>89</v>
      </c>
      <c r="B6" s="98" t="s">
        <v>86</v>
      </c>
      <c r="C6" s="99" t="s">
        <v>87</v>
      </c>
      <c r="D6" s="100">
        <v>44409</v>
      </c>
      <c r="E6" s="104">
        <f>'SME EB'!F4</f>
        <v>57413.7</v>
      </c>
      <c r="F6" s="105"/>
      <c r="G6" s="103"/>
    </row>
    <row r="7" spans="1:8" ht="15.75" thickBot="1" x14ac:dyDescent="0.3">
      <c r="A7" s="98" t="s">
        <v>73</v>
      </c>
      <c r="B7" s="98" t="s">
        <v>86</v>
      </c>
      <c r="C7" s="99" t="s">
        <v>87</v>
      </c>
      <c r="D7" s="100">
        <v>44409</v>
      </c>
      <c r="E7" s="104">
        <f>VLOOKUP(A7,'SME EB INDIVIDUAL'!$A$2:$N$11,14,0)</f>
        <v>9000</v>
      </c>
      <c r="F7" s="105"/>
      <c r="G7" s="103"/>
    </row>
    <row r="8" spans="1:8" ht="15.75" thickBot="1" x14ac:dyDescent="0.3">
      <c r="A8" s="98" t="s">
        <v>76</v>
      </c>
      <c r="B8" s="98" t="s">
        <v>86</v>
      </c>
      <c r="C8" s="99" t="s">
        <v>87</v>
      </c>
      <c r="D8" s="100">
        <v>44409</v>
      </c>
      <c r="E8" s="104">
        <f>VLOOKUP(A8,'SME EB INDIVIDUAL'!$A$2:$N$11,14,0)</f>
        <v>5000</v>
      </c>
      <c r="F8" s="105"/>
      <c r="G8" s="103"/>
      <c r="H8" t="s">
        <v>111</v>
      </c>
    </row>
    <row r="9" spans="1:8" ht="15.75" thickBot="1" x14ac:dyDescent="0.3">
      <c r="A9" s="98" t="s">
        <v>72</v>
      </c>
      <c r="B9" s="98" t="s">
        <v>86</v>
      </c>
      <c r="C9" s="99" t="s">
        <v>87</v>
      </c>
      <c r="D9" s="100">
        <v>44409</v>
      </c>
      <c r="E9" s="104">
        <f>VLOOKUP(A9,'SME EB INDIVIDUAL'!$A$2:$N$11,14,0)</f>
        <v>17500</v>
      </c>
      <c r="F9" s="105"/>
      <c r="G9" s="103"/>
    </row>
    <row r="10" spans="1:8" ht="15.75" thickBot="1" x14ac:dyDescent="0.3">
      <c r="A10" s="98" t="s">
        <v>54</v>
      </c>
      <c r="B10" s="98" t="s">
        <v>86</v>
      </c>
      <c r="C10" s="99" t="s">
        <v>87</v>
      </c>
      <c r="D10" s="100">
        <v>44409</v>
      </c>
      <c r="E10" s="104">
        <f>VLOOKUP(A10,'SME EB INDIVIDUAL'!$A$2:$N$11,14,0)</f>
        <v>18000</v>
      </c>
      <c r="F10" s="105"/>
      <c r="G10" s="103"/>
    </row>
    <row r="11" spans="1:8" ht="15.75" thickBot="1" x14ac:dyDescent="0.3">
      <c r="A11" s="98" t="s">
        <v>60</v>
      </c>
      <c r="B11" s="98" t="s">
        <v>86</v>
      </c>
      <c r="C11" s="99" t="s">
        <v>87</v>
      </c>
      <c r="D11" s="100">
        <v>44409</v>
      </c>
      <c r="E11" s="104">
        <f>VLOOKUP(A11,'SME EB INDIVIDUAL'!$A$2:$N$11,14,0)</f>
        <v>9000</v>
      </c>
      <c r="F11" s="105"/>
      <c r="G11" s="103"/>
    </row>
    <row r="12" spans="1:8" ht="15.75" thickBot="1" x14ac:dyDescent="0.3">
      <c r="A12" s="98" t="s">
        <v>90</v>
      </c>
      <c r="B12" s="98" t="s">
        <v>86</v>
      </c>
      <c r="C12" s="99" t="s">
        <v>91</v>
      </c>
      <c r="D12" s="100">
        <v>44409</v>
      </c>
      <c r="E12" s="106">
        <f>'SME EB'!F2</f>
        <v>25520.039999999997</v>
      </c>
      <c r="F12" s="105"/>
      <c r="G12" s="103"/>
    </row>
    <row r="13" spans="1:8" ht="15.75" thickBot="1" x14ac:dyDescent="0.3">
      <c r="A13" s="98" t="s">
        <v>92</v>
      </c>
      <c r="B13" s="98" t="s">
        <v>86</v>
      </c>
      <c r="C13" s="98" t="s">
        <v>93</v>
      </c>
      <c r="D13" s="100">
        <v>44409</v>
      </c>
      <c r="E13" s="107">
        <f>'SME EB INDIVIDUAL'!B26</f>
        <v>112886.64</v>
      </c>
      <c r="F13" s="108"/>
      <c r="G13" s="103"/>
    </row>
    <row r="14" spans="1:8" ht="15.75" thickBot="1" x14ac:dyDescent="0.3">
      <c r="A14" s="98" t="s">
        <v>46</v>
      </c>
      <c r="B14" s="98" t="s">
        <v>86</v>
      </c>
      <c r="C14" s="98" t="s">
        <v>94</v>
      </c>
      <c r="D14" s="100">
        <v>44409</v>
      </c>
      <c r="E14" s="109">
        <f>VLOOKUP(A14,'VAN EB'!$A$2:$L$4,12,0)</f>
        <v>5130</v>
      </c>
      <c r="F14" s="124">
        <f>SUM(E14:E17)</f>
        <v>43288</v>
      </c>
      <c r="G14" s="103"/>
    </row>
    <row r="15" spans="1:8" ht="15.75" thickBot="1" x14ac:dyDescent="0.3">
      <c r="A15" s="98" t="s">
        <v>48</v>
      </c>
      <c r="B15" s="98" t="s">
        <v>86</v>
      </c>
      <c r="C15" s="98" t="s">
        <v>94</v>
      </c>
      <c r="D15" s="100">
        <v>44409</v>
      </c>
      <c r="E15" s="109">
        <f>VLOOKUP(A15,'VAN EB'!$A$2:$L$4,12,0)</f>
        <v>6733</v>
      </c>
      <c r="F15" s="125"/>
      <c r="G15" s="103"/>
    </row>
    <row r="16" spans="1:8" ht="15.75" thickBot="1" x14ac:dyDescent="0.3">
      <c r="A16" s="98" t="s">
        <v>47</v>
      </c>
      <c r="B16" s="98" t="s">
        <v>86</v>
      </c>
      <c r="C16" s="98" t="s">
        <v>94</v>
      </c>
      <c r="D16" s="100">
        <v>44409</v>
      </c>
      <c r="E16" s="109">
        <f>VLOOKUP(A16,'VAN EB'!$A$2:$L$4,12,0)</f>
        <v>5130</v>
      </c>
      <c r="F16" s="125"/>
      <c r="G16" s="103"/>
    </row>
    <row r="17" spans="1:7" ht="15.75" thickBot="1" x14ac:dyDescent="0.3">
      <c r="A17" s="111" t="s">
        <v>95</v>
      </c>
      <c r="B17" s="111" t="s">
        <v>86</v>
      </c>
      <c r="C17" s="111" t="s">
        <v>94</v>
      </c>
      <c r="D17" s="100">
        <v>44409</v>
      </c>
      <c r="E17" s="109">
        <f>'VAN EB'!B12</f>
        <v>26295</v>
      </c>
      <c r="F17" s="126"/>
      <c r="G17" s="103"/>
    </row>
    <row r="18" spans="1:7" ht="15.75" thickBot="1" x14ac:dyDescent="0.3">
      <c r="A18" s="111" t="s">
        <v>90</v>
      </c>
      <c r="B18" s="98" t="s">
        <v>96</v>
      </c>
      <c r="C18" s="111" t="s">
        <v>97</v>
      </c>
      <c r="D18" s="100">
        <v>44409</v>
      </c>
      <c r="E18" s="110">
        <f>'SME NB '!B23</f>
        <v>7500</v>
      </c>
      <c r="F18" s="127">
        <f>SUM(E18:E28)</f>
        <v>114722</v>
      </c>
      <c r="G18" s="103"/>
    </row>
    <row r="19" spans="1:7" ht="15.75" thickBot="1" x14ac:dyDescent="0.3">
      <c r="A19" s="98" t="s">
        <v>98</v>
      </c>
      <c r="B19" s="98" t="s">
        <v>96</v>
      </c>
      <c r="C19" s="98" t="s">
        <v>99</v>
      </c>
      <c r="D19" s="100">
        <v>44409</v>
      </c>
      <c r="E19" s="110">
        <f>VLOOKUP(A19,'SME NB '!$A$2:$K$10,11,0)</f>
        <v>22500</v>
      </c>
      <c r="F19" s="128"/>
      <c r="G19" s="103"/>
    </row>
    <row r="20" spans="1:7" ht="15.75" thickBot="1" x14ac:dyDescent="0.3">
      <c r="A20" s="99" t="s">
        <v>74</v>
      </c>
      <c r="B20" s="99" t="s">
        <v>96</v>
      </c>
      <c r="C20" s="99" t="s">
        <v>100</v>
      </c>
      <c r="D20" s="100">
        <v>44409</v>
      </c>
      <c r="E20" s="110">
        <f>VLOOKUP(A20,'SME NB '!$A$2:$K$10,11,0)</f>
        <v>4000</v>
      </c>
      <c r="F20" s="128"/>
      <c r="G20" s="103"/>
    </row>
    <row r="21" spans="1:7" ht="15.75" thickBot="1" x14ac:dyDescent="0.3">
      <c r="A21" s="99" t="s">
        <v>19</v>
      </c>
      <c r="B21" s="99" t="s">
        <v>96</v>
      </c>
      <c r="C21" s="99" t="s">
        <v>100</v>
      </c>
      <c r="D21" s="100">
        <v>44409</v>
      </c>
      <c r="E21" s="110">
        <f>VLOOKUP(A21,'SME NB '!$A$2:$K$10,11,0)</f>
        <v>7522</v>
      </c>
      <c r="F21" s="128"/>
      <c r="G21" s="112"/>
    </row>
    <row r="22" spans="1:7" ht="15.75" thickBot="1" x14ac:dyDescent="0.3">
      <c r="A22" s="99" t="s">
        <v>18</v>
      </c>
      <c r="B22" s="99" t="s">
        <v>96</v>
      </c>
      <c r="C22" s="99" t="s">
        <v>100</v>
      </c>
      <c r="D22" s="100">
        <v>44409</v>
      </c>
      <c r="E22" s="110">
        <f>VLOOKUP(A22,'SME NB '!$A$2:$K$10,11,0)</f>
        <v>16500</v>
      </c>
      <c r="F22" s="128"/>
      <c r="G22" s="103"/>
    </row>
    <row r="23" spans="1:7" ht="15.75" thickBot="1" x14ac:dyDescent="0.3">
      <c r="A23" s="99" t="s">
        <v>20</v>
      </c>
      <c r="B23" s="99" t="s">
        <v>96</v>
      </c>
      <c r="C23" s="99" t="s">
        <v>100</v>
      </c>
      <c r="D23" s="100">
        <v>44409</v>
      </c>
      <c r="E23" s="110">
        <f>VLOOKUP(A23,'SME NB '!$A$2:$K$10,11,0)</f>
        <v>11600</v>
      </c>
      <c r="F23" s="128"/>
      <c r="G23" s="103"/>
    </row>
    <row r="24" spans="1:7" ht="15.75" thickBot="1" x14ac:dyDescent="0.3">
      <c r="A24" s="99" t="s">
        <v>21</v>
      </c>
      <c r="B24" s="99" t="s">
        <v>96</v>
      </c>
      <c r="C24" s="99" t="s">
        <v>100</v>
      </c>
      <c r="D24" s="100">
        <v>44409</v>
      </c>
      <c r="E24" s="110">
        <f>VLOOKUP(A24,'SME NB '!$A$2:$K$10,11,0)</f>
        <v>3000</v>
      </c>
      <c r="F24" s="128"/>
      <c r="G24" s="103" t="s">
        <v>88</v>
      </c>
    </row>
    <row r="25" spans="1:7" ht="15.75" thickBot="1" x14ac:dyDescent="0.3">
      <c r="A25" s="99" t="s">
        <v>63</v>
      </c>
      <c r="B25" s="99" t="s">
        <v>96</v>
      </c>
      <c r="C25" s="99" t="s">
        <v>100</v>
      </c>
      <c r="D25" s="100">
        <v>44409</v>
      </c>
      <c r="E25" s="110">
        <f>VLOOKUP(A25,'SME NB '!$A$2:$K$10,11,0)</f>
        <v>10500</v>
      </c>
      <c r="F25" s="128"/>
      <c r="G25" s="103"/>
    </row>
    <row r="26" spans="1:7" ht="15.75" thickBot="1" x14ac:dyDescent="0.3">
      <c r="A26" s="99" t="s">
        <v>64</v>
      </c>
      <c r="B26" s="99" t="s">
        <v>96</v>
      </c>
      <c r="C26" s="99" t="s">
        <v>100</v>
      </c>
      <c r="D26" s="100">
        <v>44409</v>
      </c>
      <c r="E26" s="110">
        <f>VLOOKUP(A26,'SME NB '!$A$2:$K$10,11,0)</f>
        <v>7500</v>
      </c>
      <c r="F26" s="128"/>
      <c r="G26" s="103"/>
    </row>
    <row r="27" spans="1:7" ht="15.75" thickBot="1" x14ac:dyDescent="0.3">
      <c r="A27" s="99" t="s">
        <v>65</v>
      </c>
      <c r="B27" s="99" t="s">
        <v>96</v>
      </c>
      <c r="C27" s="99" t="s">
        <v>100</v>
      </c>
      <c r="D27" s="100">
        <v>44409</v>
      </c>
      <c r="E27" s="110">
        <f>VLOOKUP(A27,'SME NB '!$A$2:$K$10,11,0)</f>
        <v>8100</v>
      </c>
      <c r="F27" s="128"/>
      <c r="G27" s="103"/>
    </row>
    <row r="28" spans="1:7" ht="15.75" thickBot="1" x14ac:dyDescent="0.3">
      <c r="A28" s="113" t="s">
        <v>101</v>
      </c>
      <c r="B28" s="113" t="s">
        <v>96</v>
      </c>
      <c r="C28" s="113" t="s">
        <v>102</v>
      </c>
      <c r="D28" s="100">
        <v>44409</v>
      </c>
      <c r="E28" s="109">
        <f>'SME NB '!B24</f>
        <v>16000</v>
      </c>
      <c r="F28" s="129"/>
      <c r="G28" s="103"/>
    </row>
    <row r="29" spans="1:7" ht="15.75" thickBot="1" x14ac:dyDescent="0.3">
      <c r="A29" s="98" t="s">
        <v>50</v>
      </c>
      <c r="B29" s="98" t="s">
        <v>96</v>
      </c>
      <c r="C29" s="98" t="s">
        <v>103</v>
      </c>
      <c r="D29" s="100">
        <v>44409</v>
      </c>
      <c r="E29" s="110">
        <f>VLOOKUP(A29,'VAN NB'!$A$2:$L$8,12,0)</f>
        <v>25000</v>
      </c>
      <c r="F29" s="127">
        <f>SUM(E29:E37)</f>
        <v>83750</v>
      </c>
      <c r="G29" s="103"/>
    </row>
    <row r="30" spans="1:7" ht="15.75" thickBot="1" x14ac:dyDescent="0.3">
      <c r="A30" s="98" t="s">
        <v>70</v>
      </c>
      <c r="B30" s="98" t="s">
        <v>96</v>
      </c>
      <c r="C30" s="98" t="s">
        <v>103</v>
      </c>
      <c r="D30" s="100">
        <v>44409</v>
      </c>
      <c r="E30" s="110">
        <f>VLOOKUP(A30,'VAN NB'!$A$2:$L$8,12,0)</f>
        <v>11750</v>
      </c>
      <c r="F30" s="128"/>
      <c r="G30" s="103"/>
    </row>
    <row r="31" spans="1:7" ht="15.75" thickBot="1" x14ac:dyDescent="0.3">
      <c r="A31" s="98" t="s">
        <v>52</v>
      </c>
      <c r="B31" s="98" t="s">
        <v>96</v>
      </c>
      <c r="C31" s="98" t="s">
        <v>104</v>
      </c>
      <c r="D31" s="100">
        <v>44409</v>
      </c>
      <c r="E31" s="110">
        <f>VLOOKUP(A31,'VAN NB'!$A$2:$L$8,12,0)</f>
        <v>6000</v>
      </c>
      <c r="F31" s="128"/>
      <c r="G31" s="103"/>
    </row>
    <row r="32" spans="1:7" ht="15.75" thickBot="1" x14ac:dyDescent="0.3">
      <c r="A32" s="98" t="s">
        <v>49</v>
      </c>
      <c r="B32" s="98" t="s">
        <v>96</v>
      </c>
      <c r="C32" s="98" t="s">
        <v>103</v>
      </c>
      <c r="D32" s="100">
        <v>44409</v>
      </c>
      <c r="E32" s="110">
        <f>VLOOKUP(A32,'VAN NB'!$A$2:$L$8,12,0)</f>
        <v>17000</v>
      </c>
      <c r="F32" s="128"/>
      <c r="G32" s="103"/>
    </row>
    <row r="33" spans="1:7" ht="15.75" thickBot="1" x14ac:dyDescent="0.3">
      <c r="A33" s="98" t="s">
        <v>77</v>
      </c>
      <c r="B33" s="98" t="s">
        <v>96</v>
      </c>
      <c r="C33" s="98" t="s">
        <v>103</v>
      </c>
      <c r="D33" s="100">
        <v>44409</v>
      </c>
      <c r="E33" s="110">
        <f>VLOOKUP(A33,'VAN NB'!$A$2:$L$8,12,0)</f>
        <v>6000</v>
      </c>
      <c r="F33" s="128"/>
      <c r="G33" s="103"/>
    </row>
    <row r="34" spans="1:7" ht="15.75" thickBot="1" x14ac:dyDescent="0.3">
      <c r="A34" s="98" t="s">
        <v>69</v>
      </c>
      <c r="B34" s="98" t="s">
        <v>96</v>
      </c>
      <c r="C34" s="98" t="s">
        <v>103</v>
      </c>
      <c r="D34" s="100">
        <v>44409</v>
      </c>
      <c r="E34" s="110">
        <f>VLOOKUP(A34,'VAN NB'!$A$2:$L$8,12,0)</f>
        <v>15000</v>
      </c>
      <c r="F34" s="128"/>
      <c r="G34" s="103"/>
    </row>
    <row r="35" spans="1:7" ht="15.75" thickBot="1" x14ac:dyDescent="0.3">
      <c r="A35" s="98" t="s">
        <v>105</v>
      </c>
      <c r="B35" s="98" t="s">
        <v>96</v>
      </c>
      <c r="C35" s="98" t="s">
        <v>71</v>
      </c>
      <c r="D35" s="100">
        <v>44409</v>
      </c>
      <c r="E35" s="110">
        <v>1000</v>
      </c>
      <c r="F35" s="128"/>
      <c r="G35" s="114"/>
    </row>
    <row r="36" spans="1:7" ht="15.75" thickBot="1" x14ac:dyDescent="0.3">
      <c r="A36" s="98" t="s">
        <v>106</v>
      </c>
      <c r="B36" s="98" t="s">
        <v>96</v>
      </c>
      <c r="C36" s="98" t="s">
        <v>71</v>
      </c>
      <c r="D36" s="100">
        <v>44409</v>
      </c>
      <c r="E36" s="110">
        <v>1000</v>
      </c>
      <c r="F36" s="128"/>
      <c r="G36" s="114"/>
    </row>
    <row r="37" spans="1:7" ht="15.75" thickBot="1" x14ac:dyDescent="0.3">
      <c r="A37" s="98" t="s">
        <v>107</v>
      </c>
      <c r="B37" s="98" t="s">
        <v>96</v>
      </c>
      <c r="C37" s="98" t="s">
        <v>71</v>
      </c>
      <c r="D37" s="100">
        <v>44409</v>
      </c>
      <c r="E37" s="110">
        <v>1000</v>
      </c>
      <c r="F37" s="129"/>
      <c r="G37" s="114"/>
    </row>
    <row r="38" spans="1:7" ht="15.75" thickBot="1" x14ac:dyDescent="0.3">
      <c r="A38" s="115" t="s">
        <v>23</v>
      </c>
      <c r="B38" s="116"/>
      <c r="C38" s="116"/>
      <c r="D38" s="116"/>
      <c r="E38" s="117"/>
      <c r="F38" s="118">
        <f>SUM(F2:F35)</f>
        <v>584067.88</v>
      </c>
      <c r="G38" s="119"/>
    </row>
    <row r="39" spans="1:7" x14ac:dyDescent="0.25">
      <c r="F39" s="120"/>
    </row>
    <row r="40" spans="1:7" ht="15.75" thickBot="1" x14ac:dyDescent="0.3">
      <c r="F40" s="120"/>
    </row>
    <row r="41" spans="1:7" ht="15.75" thickBot="1" x14ac:dyDescent="0.3">
      <c r="A41" s="98" t="s">
        <v>108</v>
      </c>
      <c r="B41" s="98" t="s">
        <v>109</v>
      </c>
      <c r="C41" s="98" t="s">
        <v>110</v>
      </c>
      <c r="D41" s="121">
        <v>44378</v>
      </c>
      <c r="E41" s="18"/>
      <c r="F41" s="120"/>
    </row>
    <row r="42" spans="1:7" x14ac:dyDescent="0.25">
      <c r="E42" s="122"/>
    </row>
    <row r="43" spans="1:7" x14ac:dyDescent="0.25">
      <c r="E43" s="122"/>
    </row>
    <row r="44" spans="1:7" x14ac:dyDescent="0.25">
      <c r="E44" s="123"/>
    </row>
  </sheetData>
  <mergeCells count="5">
    <mergeCell ref="F2:F13"/>
    <mergeCell ref="F14:F17"/>
    <mergeCell ref="F18:F28"/>
    <mergeCell ref="F29:F37"/>
    <mergeCell ref="A38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zoomScaleNormal="100" workbookViewId="0">
      <selection activeCell="E37" sqref="E37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9" customWidth="1"/>
    <col min="4" max="4" width="11.42578125" bestFit="1" customWidth="1"/>
    <col min="5" max="5" width="12.28515625" bestFit="1" customWidth="1"/>
    <col min="6" max="6" width="7.7109375" bestFit="1" customWidth="1"/>
    <col min="7" max="7" width="9.85546875" bestFit="1" customWidth="1"/>
    <col min="8" max="8" width="14.140625" bestFit="1" customWidth="1"/>
    <col min="9" max="9" width="11.140625" bestFit="1" customWidth="1"/>
    <col min="10" max="10" width="9.85546875" bestFit="1" customWidth="1"/>
    <col min="11" max="11" width="10.85546875" bestFit="1" customWidth="1"/>
    <col min="12" max="12" width="6.5703125" bestFit="1" customWidth="1"/>
    <col min="14" max="14" width="14.85546875" hidden="1" customWidth="1"/>
    <col min="15" max="15" width="9.85546875" hidden="1" customWidth="1"/>
    <col min="17" max="17" width="12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62</v>
      </c>
    </row>
    <row r="2" spans="1:20" x14ac:dyDescent="0.25">
      <c r="A2" s="3" t="s">
        <v>18</v>
      </c>
      <c r="B2" s="4">
        <v>0</v>
      </c>
      <c r="C2" s="2">
        <v>1</v>
      </c>
      <c r="D2" s="2">
        <f t="shared" ref="D2:D10" si="0">$B$13-B2</f>
        <v>21</v>
      </c>
      <c r="E2" s="2">
        <f t="shared" ref="E2:E10" si="1">7.5*D2*C2</f>
        <v>157.5</v>
      </c>
      <c r="F2" s="5">
        <f t="shared" ref="F2:F10" si="2">E2/$E$12</f>
        <v>0.13583441138421734</v>
      </c>
      <c r="G2" s="6">
        <f t="shared" ref="G2:G10" si="3">$B$18*F2</f>
        <v>12900.058214747736</v>
      </c>
      <c r="H2" s="7">
        <v>1.25</v>
      </c>
      <c r="I2" s="6"/>
      <c r="J2" s="6">
        <f t="shared" ref="J2:J10" si="4">G2*H2</f>
        <v>16125.072768434671</v>
      </c>
      <c r="K2" s="6">
        <v>16500</v>
      </c>
      <c r="L2" s="8">
        <v>289</v>
      </c>
      <c r="M2" s="9">
        <f t="shared" ref="M2:M10" si="5">N2/L2</f>
        <v>44.982698961937714</v>
      </c>
      <c r="N2" s="10">
        <v>13000</v>
      </c>
      <c r="O2" s="11">
        <v>0.35</v>
      </c>
      <c r="P2" s="9">
        <f t="shared" ref="P2:P10" si="6">M2/O2</f>
        <v>128.52199703410776</v>
      </c>
      <c r="Q2" s="67">
        <f t="shared" ref="Q2:Q10" si="7">P2/D2</f>
        <v>6.1200950968622738</v>
      </c>
    </row>
    <row r="3" spans="1:20" x14ac:dyDescent="0.25">
      <c r="A3" s="3" t="s">
        <v>63</v>
      </c>
      <c r="B3" s="4">
        <v>2</v>
      </c>
      <c r="C3" s="2">
        <v>1</v>
      </c>
      <c r="D3" s="2">
        <f t="shared" si="0"/>
        <v>19</v>
      </c>
      <c r="E3" s="2">
        <f>7.5*D3*C3</f>
        <v>142.5</v>
      </c>
      <c r="F3" s="5">
        <f t="shared" si="2"/>
        <v>0.12289780077619664</v>
      </c>
      <c r="G3" s="6">
        <f t="shared" si="3"/>
        <v>11671.481241914618</v>
      </c>
      <c r="H3" s="7">
        <v>1</v>
      </c>
      <c r="I3" s="6"/>
      <c r="J3" s="6">
        <f>G3*H3</f>
        <v>11671.481241914618</v>
      </c>
      <c r="K3" s="6">
        <v>10500</v>
      </c>
      <c r="L3" s="8">
        <v>166</v>
      </c>
      <c r="M3" s="9">
        <f>N3/L3</f>
        <v>78.313253012048193</v>
      </c>
      <c r="N3" s="10">
        <v>13000</v>
      </c>
      <c r="O3" s="11">
        <v>0.35</v>
      </c>
      <c r="P3" s="9">
        <f>M3/O3</f>
        <v>223.75215146299485</v>
      </c>
      <c r="Q3" s="67">
        <f>P3/D3</f>
        <v>11.77642902436815</v>
      </c>
    </row>
    <row r="4" spans="1:20" x14ac:dyDescent="0.25">
      <c r="A4" s="3" t="s">
        <v>19</v>
      </c>
      <c r="B4" s="4">
        <v>0</v>
      </c>
      <c r="C4" s="2">
        <v>0.8</v>
      </c>
      <c r="D4" s="2">
        <f t="shared" si="0"/>
        <v>21</v>
      </c>
      <c r="E4" s="2">
        <f t="shared" si="1"/>
        <v>126</v>
      </c>
      <c r="F4" s="5">
        <f t="shared" si="2"/>
        <v>0.10866752910737387</v>
      </c>
      <c r="G4" s="6">
        <f t="shared" si="3"/>
        <v>10320.04657179819</v>
      </c>
      <c r="H4" s="7">
        <v>1</v>
      </c>
      <c r="I4" s="6"/>
      <c r="J4" s="6">
        <f t="shared" si="4"/>
        <v>10320.04657179819</v>
      </c>
      <c r="K4" s="6">
        <v>7522</v>
      </c>
      <c r="L4" s="8">
        <v>74</v>
      </c>
      <c r="M4" s="9">
        <f t="shared" si="5"/>
        <v>135.13513513513513</v>
      </c>
      <c r="N4" s="10">
        <v>10000</v>
      </c>
      <c r="O4" s="11">
        <v>0.35</v>
      </c>
      <c r="P4" s="9">
        <f t="shared" si="6"/>
        <v>386.10038610038612</v>
      </c>
      <c r="Q4" s="67">
        <f t="shared" si="7"/>
        <v>18.385732671446959</v>
      </c>
    </row>
    <row r="5" spans="1:20" x14ac:dyDescent="0.25">
      <c r="A5" s="3" t="s">
        <v>20</v>
      </c>
      <c r="B5" s="4">
        <v>2</v>
      </c>
      <c r="C5" s="2">
        <v>1</v>
      </c>
      <c r="D5" s="2">
        <f t="shared" si="0"/>
        <v>19</v>
      </c>
      <c r="E5" s="2">
        <f t="shared" si="1"/>
        <v>142.5</v>
      </c>
      <c r="F5" s="5">
        <f t="shared" si="2"/>
        <v>0.12289780077619664</v>
      </c>
      <c r="G5" s="6">
        <f t="shared" si="3"/>
        <v>11671.481241914618</v>
      </c>
      <c r="H5" s="7">
        <v>1</v>
      </c>
      <c r="I5" s="6"/>
      <c r="J5" s="6">
        <f t="shared" si="4"/>
        <v>11671.481241914618</v>
      </c>
      <c r="K5" s="6">
        <v>11600</v>
      </c>
      <c r="L5" s="8">
        <v>173</v>
      </c>
      <c r="M5" s="9">
        <f t="shared" si="5"/>
        <v>59.248554913294797</v>
      </c>
      <c r="N5" s="10">
        <v>10250</v>
      </c>
      <c r="O5" s="11">
        <v>0.35</v>
      </c>
      <c r="P5" s="9">
        <f t="shared" si="6"/>
        <v>169.28158546655658</v>
      </c>
      <c r="Q5" s="67">
        <f t="shared" si="7"/>
        <v>8.9095571298187668</v>
      </c>
    </row>
    <row r="6" spans="1:20" x14ac:dyDescent="0.25">
      <c r="A6" s="3" t="s">
        <v>64</v>
      </c>
      <c r="B6" s="4">
        <v>5</v>
      </c>
      <c r="C6" s="2">
        <v>1</v>
      </c>
      <c r="D6" s="2">
        <f t="shared" si="0"/>
        <v>16</v>
      </c>
      <c r="E6" s="2">
        <f t="shared" si="1"/>
        <v>120</v>
      </c>
      <c r="F6" s="5">
        <f t="shared" si="2"/>
        <v>0.10349288486416559</v>
      </c>
      <c r="G6" s="6">
        <f t="shared" si="3"/>
        <v>9828.6157826649414</v>
      </c>
      <c r="H6" s="7">
        <v>1</v>
      </c>
      <c r="I6" s="6"/>
      <c r="J6" s="6">
        <f>G6*H6</f>
        <v>9828.6157826649414</v>
      </c>
      <c r="K6" s="6">
        <v>7500</v>
      </c>
      <c r="L6" s="8">
        <v>169</v>
      </c>
      <c r="M6" s="9">
        <f>N6/L6</f>
        <v>58.284023668639051</v>
      </c>
      <c r="N6" s="10">
        <v>9850</v>
      </c>
      <c r="O6" s="11">
        <v>0.35</v>
      </c>
      <c r="P6" s="9">
        <f>M6/O6</f>
        <v>166.52578191039731</v>
      </c>
      <c r="Q6" s="67">
        <f>P6/D6</f>
        <v>10.407861369399832</v>
      </c>
    </row>
    <row r="7" spans="1:20" x14ac:dyDescent="0.25">
      <c r="A7" s="3" t="s">
        <v>98</v>
      </c>
      <c r="B7" s="4">
        <v>0</v>
      </c>
      <c r="C7" s="1">
        <v>1</v>
      </c>
      <c r="D7" s="2">
        <f t="shared" si="0"/>
        <v>21</v>
      </c>
      <c r="E7" s="2">
        <f t="shared" si="1"/>
        <v>157.5</v>
      </c>
      <c r="F7" s="5">
        <f t="shared" si="2"/>
        <v>0.13583441138421734</v>
      </c>
      <c r="G7" s="6">
        <f t="shared" si="3"/>
        <v>12900.058214747736</v>
      </c>
      <c r="H7" s="7">
        <v>1.5</v>
      </c>
      <c r="I7" s="6"/>
      <c r="J7" s="6">
        <f t="shared" si="4"/>
        <v>19350.087322121602</v>
      </c>
      <c r="K7" s="6">
        <v>22500</v>
      </c>
      <c r="L7" s="8">
        <v>494</v>
      </c>
      <c r="M7" s="9">
        <f t="shared" si="5"/>
        <v>44.331983805668017</v>
      </c>
      <c r="N7" s="10">
        <v>21900</v>
      </c>
      <c r="O7" s="11">
        <v>0.35</v>
      </c>
      <c r="P7" s="9">
        <f t="shared" si="6"/>
        <v>126.66281087333719</v>
      </c>
      <c r="Q7" s="67">
        <f t="shared" si="7"/>
        <v>6.0315624225398663</v>
      </c>
      <c r="T7" s="86"/>
    </row>
    <row r="8" spans="1:20" x14ac:dyDescent="0.25">
      <c r="A8" s="3" t="s">
        <v>65</v>
      </c>
      <c r="B8" s="4">
        <v>0</v>
      </c>
      <c r="C8" s="1">
        <v>1</v>
      </c>
      <c r="D8" s="2">
        <f t="shared" si="0"/>
        <v>21</v>
      </c>
      <c r="E8" s="2">
        <f>7.5*D8*C8</f>
        <v>157.5</v>
      </c>
      <c r="F8" s="5">
        <f t="shared" si="2"/>
        <v>0.13583441138421734</v>
      </c>
      <c r="G8" s="6">
        <f t="shared" si="3"/>
        <v>12900.058214747736</v>
      </c>
      <c r="H8" s="7">
        <v>1</v>
      </c>
      <c r="I8" s="6"/>
      <c r="J8" s="6">
        <f>G8*H8</f>
        <v>12900.058214747736</v>
      </c>
      <c r="K8" s="6">
        <v>8100</v>
      </c>
      <c r="L8" s="8">
        <v>59</v>
      </c>
      <c r="M8" s="9">
        <f>N8/L8</f>
        <v>111.44067796610169</v>
      </c>
      <c r="N8" s="10">
        <v>6575</v>
      </c>
      <c r="O8" s="11">
        <v>0.35</v>
      </c>
      <c r="P8" s="9">
        <f>M8/O8</f>
        <v>318.40193704600483</v>
      </c>
      <c r="Q8" s="67">
        <f>P8/D8</f>
        <v>15.161997002190706</v>
      </c>
    </row>
    <row r="9" spans="1:20" x14ac:dyDescent="0.25">
      <c r="A9" s="3" t="s">
        <v>74</v>
      </c>
      <c r="B9" s="4">
        <v>0</v>
      </c>
      <c r="C9" s="1">
        <v>0.8</v>
      </c>
      <c r="D9" s="2">
        <f t="shared" si="0"/>
        <v>21</v>
      </c>
      <c r="E9" s="2">
        <f>7.5*D9*C9</f>
        <v>126</v>
      </c>
      <c r="F9" s="5">
        <f t="shared" si="2"/>
        <v>0.10866752910737387</v>
      </c>
      <c r="G9" s="6">
        <f t="shared" si="3"/>
        <v>10320.04657179819</v>
      </c>
      <c r="H9" s="7">
        <v>0.5</v>
      </c>
      <c r="I9" s="6"/>
      <c r="J9" s="6">
        <f>G9*H9</f>
        <v>5160.0232858990948</v>
      </c>
      <c r="K9" s="6">
        <v>4000</v>
      </c>
      <c r="L9" s="8">
        <v>60</v>
      </c>
      <c r="M9" s="9">
        <f>N9/L9</f>
        <v>23.233333333333334</v>
      </c>
      <c r="N9" s="10">
        <v>1394</v>
      </c>
      <c r="O9" s="11">
        <v>0.35</v>
      </c>
      <c r="P9" s="9">
        <f>M9/O9</f>
        <v>66.380952380952394</v>
      </c>
      <c r="Q9" s="67">
        <f>P9/D9</f>
        <v>3.1609977324263046</v>
      </c>
    </row>
    <row r="10" spans="1:20" x14ac:dyDescent="0.25">
      <c r="A10" s="3" t="s">
        <v>21</v>
      </c>
      <c r="B10" s="4">
        <v>17</v>
      </c>
      <c r="C10" s="2">
        <v>1</v>
      </c>
      <c r="D10" s="2">
        <f t="shared" si="0"/>
        <v>4</v>
      </c>
      <c r="E10" s="2">
        <f t="shared" si="1"/>
        <v>30</v>
      </c>
      <c r="F10" s="5">
        <f t="shared" si="2"/>
        <v>2.5873221216041398E-2</v>
      </c>
      <c r="G10" s="6">
        <f t="shared" si="3"/>
        <v>2457.1539456662354</v>
      </c>
      <c r="H10" s="7">
        <v>1.25</v>
      </c>
      <c r="I10" s="6"/>
      <c r="J10" s="6">
        <f t="shared" si="4"/>
        <v>3071.4424320827943</v>
      </c>
      <c r="K10" s="6">
        <v>3000</v>
      </c>
      <c r="L10" s="8">
        <v>368</v>
      </c>
      <c r="M10" s="9">
        <f t="shared" si="5"/>
        <v>24.456521739130434</v>
      </c>
      <c r="N10" s="10">
        <v>9000</v>
      </c>
      <c r="O10" s="11">
        <v>0.35</v>
      </c>
      <c r="P10" s="9">
        <f t="shared" si="6"/>
        <v>69.875776397515523</v>
      </c>
      <c r="Q10" s="67">
        <f t="shared" si="7"/>
        <v>17.468944099378881</v>
      </c>
    </row>
    <row r="11" spans="1:20" x14ac:dyDescent="0.25">
      <c r="A11" s="26"/>
      <c r="B11" s="27"/>
      <c r="C11" s="27"/>
      <c r="D11" s="27"/>
      <c r="E11" s="36"/>
      <c r="F11" s="37"/>
      <c r="G11" s="15"/>
      <c r="H11" s="28"/>
      <c r="I11" s="15"/>
      <c r="J11" s="15"/>
      <c r="K11" s="15"/>
      <c r="L11" s="29"/>
      <c r="M11" s="30"/>
      <c r="N11" s="18"/>
      <c r="P11" s="25">
        <f>SUM(P2:P10)</f>
        <v>1655.5033786722522</v>
      </c>
    </row>
    <row r="12" spans="1:20" x14ac:dyDescent="0.25">
      <c r="A12" s="12"/>
      <c r="B12" s="12"/>
      <c r="C12" s="12"/>
      <c r="D12" s="12"/>
      <c r="E12" s="1">
        <f>SUM(E2:E10)</f>
        <v>1159.5</v>
      </c>
      <c r="F12" s="13">
        <f>E12/$E$12</f>
        <v>1</v>
      </c>
      <c r="G12" s="14"/>
      <c r="H12" s="12"/>
      <c r="I12" s="12"/>
      <c r="J12" s="15"/>
      <c r="K12" s="12">
        <v>1</v>
      </c>
    </row>
    <row r="13" spans="1:20" x14ac:dyDescent="0.25">
      <c r="A13" s="3" t="s">
        <v>22</v>
      </c>
      <c r="B13" s="4">
        <v>21</v>
      </c>
      <c r="C13" s="12"/>
      <c r="D13" s="12"/>
      <c r="E13" s="12"/>
      <c r="F13" s="16"/>
      <c r="G13" s="14"/>
      <c r="H13" s="12"/>
      <c r="I13" s="12"/>
      <c r="J13" s="15"/>
      <c r="K13" s="12"/>
    </row>
    <row r="14" spans="1:2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34"/>
      <c r="K14" s="34"/>
      <c r="L14" s="31"/>
      <c r="M14" s="75"/>
      <c r="N14" s="31"/>
    </row>
    <row r="15" spans="1:20" x14ac:dyDescent="0.25">
      <c r="A15" s="12"/>
      <c r="B15" s="12"/>
      <c r="C15" s="12"/>
      <c r="D15" s="12"/>
      <c r="E15" s="34"/>
      <c r="F15" s="12"/>
      <c r="G15" s="12"/>
      <c r="H15" s="12"/>
      <c r="I15" s="12"/>
      <c r="J15" s="34"/>
      <c r="K15" s="34"/>
      <c r="L15" s="27"/>
      <c r="M15" s="27"/>
      <c r="N15" s="31"/>
    </row>
    <row r="16" spans="1:20" x14ac:dyDescent="0.25">
      <c r="A16" s="34"/>
      <c r="B16" s="34"/>
      <c r="C16" s="12"/>
      <c r="D16" s="12"/>
      <c r="E16" s="29"/>
      <c r="F16" s="12"/>
      <c r="G16" s="12"/>
      <c r="H16" s="35"/>
      <c r="I16" s="35"/>
      <c r="J16" s="35"/>
      <c r="K16" s="35"/>
      <c r="L16" s="31"/>
      <c r="M16" s="31"/>
      <c r="N16" s="31"/>
    </row>
    <row r="17" spans="1:14" x14ac:dyDescent="0.25">
      <c r="A17" s="34"/>
      <c r="B17" s="29"/>
      <c r="C17" s="12"/>
      <c r="D17" s="12"/>
      <c r="E17" s="34"/>
      <c r="F17" s="12"/>
      <c r="G17" s="12"/>
      <c r="H17" s="47"/>
      <c r="I17" s="48"/>
      <c r="J17" s="48"/>
      <c r="K17" s="35"/>
      <c r="N17" s="18"/>
    </row>
    <row r="18" spans="1:14" x14ac:dyDescent="0.25">
      <c r="A18" s="1" t="s">
        <v>26</v>
      </c>
      <c r="B18" s="8">
        <v>94969</v>
      </c>
      <c r="C18" s="12"/>
      <c r="D18" s="12"/>
      <c r="E18" s="34"/>
      <c r="F18" s="12"/>
      <c r="G18" s="12"/>
      <c r="H18" s="49"/>
      <c r="I18" s="50"/>
      <c r="J18" s="50"/>
      <c r="K18" s="35"/>
    </row>
    <row r="19" spans="1:14" x14ac:dyDescent="0.25">
      <c r="A19" s="1" t="s">
        <v>23</v>
      </c>
      <c r="B19" s="10">
        <f>B18</f>
        <v>94969</v>
      </c>
      <c r="C19" s="12"/>
      <c r="D19" s="12"/>
      <c r="E19" s="34"/>
      <c r="F19" s="12"/>
      <c r="G19" s="12"/>
      <c r="H19" s="49"/>
      <c r="I19" s="50"/>
      <c r="J19" s="50"/>
      <c r="K19" s="35"/>
    </row>
    <row r="20" spans="1:14" x14ac:dyDescent="0.25">
      <c r="A20" s="17"/>
      <c r="B20" s="17"/>
      <c r="C20" s="17"/>
      <c r="D20" s="17"/>
      <c r="E20" s="55"/>
      <c r="F20" s="17"/>
      <c r="G20" s="17"/>
      <c r="H20" s="49"/>
      <c r="I20" s="50"/>
      <c r="J20" s="50"/>
      <c r="K20" s="35"/>
    </row>
    <row r="21" spans="1:14" x14ac:dyDescent="0.25">
      <c r="A21" s="17"/>
      <c r="B21" s="17"/>
      <c r="C21" s="17"/>
      <c r="D21" s="17"/>
      <c r="E21" s="17"/>
      <c r="F21" s="17"/>
      <c r="G21" s="55"/>
      <c r="H21" s="49"/>
      <c r="I21" s="50">
        <v>114722</v>
      </c>
      <c r="J21" s="50"/>
      <c r="K21" s="35"/>
    </row>
    <row r="22" spans="1:14" x14ac:dyDescent="0.25">
      <c r="A22" s="92" t="s">
        <v>24</v>
      </c>
      <c r="B22" s="92"/>
      <c r="C22" s="17"/>
      <c r="D22" s="17"/>
      <c r="E22" s="17"/>
      <c r="F22" s="17"/>
      <c r="G22" s="17"/>
      <c r="H22" s="51"/>
      <c r="I22" s="50"/>
      <c r="J22" s="52"/>
      <c r="K22" s="35"/>
    </row>
    <row r="23" spans="1:14" x14ac:dyDescent="0.25">
      <c r="A23" s="58" t="s">
        <v>61</v>
      </c>
      <c r="B23" s="61">
        <v>7500</v>
      </c>
      <c r="C23" s="17"/>
      <c r="D23" s="17"/>
      <c r="E23" s="17"/>
      <c r="F23" s="17"/>
      <c r="G23" s="55"/>
      <c r="H23" s="78"/>
      <c r="I23" s="50"/>
      <c r="J23" s="52"/>
      <c r="K23" s="35"/>
    </row>
    <row r="24" spans="1:14" x14ac:dyDescent="0.25">
      <c r="A24" s="1" t="s">
        <v>25</v>
      </c>
      <c r="B24" s="8">
        <v>16000</v>
      </c>
      <c r="C24" s="17"/>
      <c r="D24" s="17"/>
      <c r="E24" s="55"/>
      <c r="F24" s="17"/>
      <c r="G24" s="55"/>
      <c r="H24" s="35"/>
      <c r="I24" s="35"/>
      <c r="J24" s="35"/>
      <c r="K24" s="35"/>
    </row>
    <row r="25" spans="1:14" x14ac:dyDescent="0.25">
      <c r="A25" s="1" t="s">
        <v>26</v>
      </c>
      <c r="B25" s="8">
        <v>91222</v>
      </c>
      <c r="C25" s="17"/>
      <c r="D25" s="17"/>
      <c r="E25" s="17"/>
      <c r="F25" s="17"/>
      <c r="G25" s="17"/>
      <c r="H25" s="17"/>
      <c r="I25" s="17"/>
      <c r="J25" s="17"/>
      <c r="K25" s="17"/>
    </row>
    <row r="26" spans="1:14" x14ac:dyDescent="0.25">
      <c r="A26" s="1" t="s">
        <v>27</v>
      </c>
      <c r="B26" s="8">
        <f>SUM(B23:B25)</f>
        <v>114722</v>
      </c>
      <c r="C26" s="17"/>
      <c r="D26" s="17"/>
      <c r="E26" s="17"/>
      <c r="F26" s="17"/>
      <c r="G26" s="17"/>
      <c r="H26" s="17"/>
      <c r="I26" s="17"/>
      <c r="J26" s="17"/>
      <c r="K26" s="55"/>
    </row>
    <row r="27" spans="1:14" x14ac:dyDescent="0.25">
      <c r="C27" s="17"/>
      <c r="D27" s="17"/>
      <c r="E27" s="17"/>
      <c r="F27" s="17"/>
      <c r="G27" s="17"/>
      <c r="H27" s="17"/>
      <c r="I27" s="17"/>
      <c r="J27" s="17"/>
      <c r="K27" s="17"/>
    </row>
  </sheetData>
  <mergeCells count="1">
    <mergeCell ref="A22:B22"/>
  </mergeCells>
  <pageMargins left="0.25" right="0.25" top="0.75" bottom="0.75" header="0.3" footer="0.3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zoomScaleNormal="100" workbookViewId="0">
      <selection activeCell="N11" sqref="N2:N11"/>
    </sheetView>
  </sheetViews>
  <sheetFormatPr defaultRowHeight="15" x14ac:dyDescent="0.25"/>
  <cols>
    <col min="1" max="1" width="16.5703125" bestFit="1" customWidth="1"/>
    <col min="2" max="2" width="10.85546875" bestFit="1" customWidth="1"/>
    <col min="4" max="4" width="11.42578125" bestFit="1" customWidth="1"/>
    <col min="5" max="5" width="12.28515625" bestFit="1" customWidth="1"/>
    <col min="6" max="6" width="11.140625" bestFit="1" customWidth="1"/>
    <col min="7" max="7" width="9.85546875" bestFit="1" customWidth="1"/>
    <col min="8" max="8" width="14.140625" bestFit="1" customWidth="1"/>
    <col min="9" max="9" width="9" bestFit="1" customWidth="1"/>
    <col min="10" max="11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54</v>
      </c>
      <c r="B2" s="4">
        <v>1</v>
      </c>
      <c r="C2" s="2">
        <v>1</v>
      </c>
      <c r="D2" s="2">
        <f t="shared" ref="D2:D8" si="0">$B$14-B2</f>
        <v>20</v>
      </c>
      <c r="E2" s="2">
        <f t="shared" ref="E2:E8" si="1">7.5*D2*C2</f>
        <v>150</v>
      </c>
      <c r="F2" s="5">
        <f t="shared" ref="F2:F8" si="2">E2/$E$13</f>
        <v>0.16887612935911508</v>
      </c>
      <c r="G2" s="6">
        <f t="shared" ref="G2:G8" si="3">$B$18*F2</f>
        <v>14117.336823440006</v>
      </c>
      <c r="H2" s="7">
        <v>1</v>
      </c>
      <c r="I2" s="6"/>
      <c r="J2" s="6">
        <f>G2*H2</f>
        <v>14117.336823440006</v>
      </c>
      <c r="K2" s="6">
        <f>J2*$K$13</f>
        <v>14117.336823440006</v>
      </c>
      <c r="L2" s="8">
        <v>141</v>
      </c>
      <c r="M2" s="9">
        <f>N2/L2</f>
        <v>127.65957446808511</v>
      </c>
      <c r="N2" s="10">
        <v>18000</v>
      </c>
    </row>
    <row r="3" spans="1:14" x14ac:dyDescent="0.25">
      <c r="A3" s="3" t="s">
        <v>73</v>
      </c>
      <c r="B3" s="4">
        <v>0</v>
      </c>
      <c r="C3" s="2">
        <v>0.43</v>
      </c>
      <c r="D3" s="2">
        <f t="shared" si="0"/>
        <v>21</v>
      </c>
      <c r="E3" s="2">
        <f t="shared" si="1"/>
        <v>67.724999999999994</v>
      </c>
      <c r="F3" s="5">
        <f t="shared" si="2"/>
        <v>7.6247572405640451E-2</v>
      </c>
      <c r="G3" s="6">
        <f t="shared" si="3"/>
        <v>6373.9775757831621</v>
      </c>
      <c r="H3" s="7">
        <v>1</v>
      </c>
      <c r="I3" s="6"/>
      <c r="J3" s="6">
        <f>G3*H3</f>
        <v>6373.9775757831621</v>
      </c>
      <c r="K3" s="6">
        <f>J3*$K$13</f>
        <v>6373.9775757831621</v>
      </c>
      <c r="L3" s="8">
        <v>143</v>
      </c>
      <c r="M3" s="9">
        <f>N3/L3</f>
        <v>62.93706293706294</v>
      </c>
      <c r="N3" s="10">
        <v>9000</v>
      </c>
    </row>
    <row r="4" spans="1:14" x14ac:dyDescent="0.25">
      <c r="A4" s="3" t="s">
        <v>72</v>
      </c>
      <c r="B4" s="4">
        <v>0</v>
      </c>
      <c r="C4" s="2">
        <v>1</v>
      </c>
      <c r="D4" s="2">
        <f t="shared" si="0"/>
        <v>21</v>
      </c>
      <c r="E4" s="2">
        <f t="shared" si="1"/>
        <v>157.5</v>
      </c>
      <c r="F4" s="5">
        <f t="shared" si="2"/>
        <v>0.17731993582707084</v>
      </c>
      <c r="G4" s="6">
        <f t="shared" si="3"/>
        <v>14823.203664612007</v>
      </c>
      <c r="H4" s="7">
        <v>1</v>
      </c>
      <c r="I4" s="6"/>
      <c r="J4" s="6">
        <f>G4*H4</f>
        <v>14823.203664612007</v>
      </c>
      <c r="K4" s="6">
        <f>J4*$K$13</f>
        <v>14823.203664612007</v>
      </c>
      <c r="L4" s="8">
        <v>144</v>
      </c>
      <c r="M4" s="9">
        <f>N4/L4</f>
        <v>121.52777777777777</v>
      </c>
      <c r="N4" s="10">
        <v>17500</v>
      </c>
    </row>
    <row r="5" spans="1:14" x14ac:dyDescent="0.25">
      <c r="A5" s="3" t="s">
        <v>16</v>
      </c>
      <c r="B5" s="4">
        <v>3</v>
      </c>
      <c r="C5" s="2">
        <v>0.8</v>
      </c>
      <c r="D5" s="2">
        <f t="shared" si="0"/>
        <v>18</v>
      </c>
      <c r="E5" s="2">
        <f t="shared" si="1"/>
        <v>108</v>
      </c>
      <c r="F5" s="5">
        <f t="shared" si="2"/>
        <v>0.12159081313856286</v>
      </c>
      <c r="G5" s="6">
        <f t="shared" si="3"/>
        <v>10164.482512876804</v>
      </c>
      <c r="H5" s="7">
        <v>1</v>
      </c>
      <c r="I5" s="6"/>
      <c r="J5" s="6">
        <f>G5*H5</f>
        <v>10164.482512876804</v>
      </c>
      <c r="K5" s="6">
        <f>J5*$K$13</f>
        <v>10164.482512876804</v>
      </c>
      <c r="L5" s="8">
        <v>145</v>
      </c>
      <c r="M5" s="9">
        <f>N5/L5</f>
        <v>56.896551724137929</v>
      </c>
      <c r="N5" s="10">
        <v>8250</v>
      </c>
    </row>
    <row r="6" spans="1:14" x14ac:dyDescent="0.25">
      <c r="A6" s="3" t="s">
        <v>76</v>
      </c>
      <c r="B6" s="4">
        <v>0</v>
      </c>
      <c r="C6" s="2">
        <v>1</v>
      </c>
      <c r="D6" s="2">
        <f t="shared" si="0"/>
        <v>21</v>
      </c>
      <c r="E6" s="2">
        <f t="shared" si="1"/>
        <v>157.5</v>
      </c>
      <c r="F6" s="5">
        <f t="shared" si="2"/>
        <v>0.17731993582707084</v>
      </c>
      <c r="G6" s="6">
        <f t="shared" si="3"/>
        <v>14823.203664612007</v>
      </c>
      <c r="H6" s="7">
        <v>1</v>
      </c>
      <c r="I6" s="6"/>
      <c r="J6" s="6">
        <f t="shared" ref="J6:J7" si="4">G6*H6</f>
        <v>14823.203664612007</v>
      </c>
      <c r="K6" s="6">
        <f>J6*$K$13</f>
        <v>14823.203664612007</v>
      </c>
      <c r="L6" s="8">
        <v>146</v>
      </c>
      <c r="M6" s="9">
        <f t="shared" ref="M6:M7" si="5">N6/L6</f>
        <v>34.246575342465754</v>
      </c>
      <c r="N6" s="10">
        <v>5000</v>
      </c>
    </row>
    <row r="7" spans="1:14" x14ac:dyDescent="0.25">
      <c r="A7" s="3" t="s">
        <v>75</v>
      </c>
      <c r="B7" s="4">
        <v>0</v>
      </c>
      <c r="C7" s="2">
        <v>1</v>
      </c>
      <c r="D7" s="2">
        <f t="shared" si="0"/>
        <v>21</v>
      </c>
      <c r="E7" s="2">
        <f t="shared" si="1"/>
        <v>157.5</v>
      </c>
      <c r="F7" s="5">
        <f t="shared" si="2"/>
        <v>0.17731993582707084</v>
      </c>
      <c r="G7" s="6">
        <f t="shared" si="3"/>
        <v>14823.203664612007</v>
      </c>
      <c r="H7" s="7">
        <v>1</v>
      </c>
      <c r="I7" s="6"/>
      <c r="J7" s="6">
        <f t="shared" si="4"/>
        <v>14823.203664612007</v>
      </c>
      <c r="K7" s="6">
        <f t="shared" ref="K7" si="6">J7*$K$13</f>
        <v>14823.203664612007</v>
      </c>
      <c r="L7" s="8">
        <v>147</v>
      </c>
      <c r="M7" s="9">
        <f t="shared" si="5"/>
        <v>34.013605442176868</v>
      </c>
      <c r="N7" s="10">
        <v>5000</v>
      </c>
    </row>
    <row r="8" spans="1:14" x14ac:dyDescent="0.25">
      <c r="A8" s="3" t="s">
        <v>17</v>
      </c>
      <c r="B8" s="4">
        <v>9</v>
      </c>
      <c r="C8" s="2">
        <v>1</v>
      </c>
      <c r="D8" s="2">
        <f t="shared" si="0"/>
        <v>12</v>
      </c>
      <c r="E8" s="2">
        <f t="shared" si="1"/>
        <v>90</v>
      </c>
      <c r="F8" s="5">
        <f t="shared" si="2"/>
        <v>0.10132567761546905</v>
      </c>
      <c r="G8" s="6">
        <f t="shared" si="3"/>
        <v>8470.4020940640039</v>
      </c>
      <c r="H8" s="7">
        <v>1</v>
      </c>
      <c r="I8" s="6"/>
      <c r="J8" s="6">
        <f>G8*H8</f>
        <v>8470.4020940640039</v>
      </c>
      <c r="K8" s="6">
        <f>J8*$K$13</f>
        <v>8470.4020940640039</v>
      </c>
      <c r="L8" s="8">
        <v>143</v>
      </c>
      <c r="M8" s="9">
        <f>N8/L8</f>
        <v>73.426573426573427</v>
      </c>
      <c r="N8" s="10">
        <v>10500</v>
      </c>
    </row>
    <row r="9" spans="1:14" s="87" customFormat="1" x14ac:dyDescent="0.25">
      <c r="A9" s="79"/>
      <c r="B9" s="80"/>
      <c r="C9" s="80"/>
      <c r="D9" s="80"/>
      <c r="E9" s="80"/>
      <c r="F9" s="81"/>
      <c r="G9" s="82"/>
      <c r="H9" s="83"/>
      <c r="I9" s="82"/>
      <c r="J9" s="82"/>
      <c r="K9" s="82"/>
      <c r="L9" s="84"/>
      <c r="M9" s="85"/>
      <c r="N9" s="84"/>
    </row>
    <row r="10" spans="1:14" x14ac:dyDescent="0.25">
      <c r="A10" s="79"/>
      <c r="B10" s="80"/>
      <c r="C10" s="80"/>
      <c r="D10" s="80"/>
      <c r="E10" s="80"/>
      <c r="F10" s="81"/>
      <c r="G10" s="82"/>
      <c r="H10" s="83"/>
      <c r="I10" s="82"/>
      <c r="J10" s="82"/>
      <c r="K10" s="82"/>
      <c r="L10" s="84"/>
      <c r="M10" s="85"/>
      <c r="N10" s="84"/>
    </row>
    <row r="11" spans="1:14" x14ac:dyDescent="0.25">
      <c r="A11" s="3" t="s">
        <v>60</v>
      </c>
      <c r="B11" s="4">
        <v>11</v>
      </c>
      <c r="C11" s="2">
        <v>0.8</v>
      </c>
      <c r="D11" s="2">
        <f>$B$14-B11</f>
        <v>10</v>
      </c>
      <c r="E11" s="2"/>
      <c r="F11" s="5"/>
      <c r="G11" s="6"/>
      <c r="H11" s="7"/>
      <c r="I11" s="6"/>
      <c r="J11" s="6"/>
      <c r="K11" s="6"/>
      <c r="L11" s="8"/>
      <c r="M11" s="9"/>
      <c r="N11" s="10">
        <v>9000</v>
      </c>
    </row>
    <row r="12" spans="1:14" x14ac:dyDescent="0.25">
      <c r="A12" s="26"/>
      <c r="B12" s="27"/>
      <c r="C12" s="27"/>
      <c r="D12" s="27"/>
      <c r="E12" s="36"/>
      <c r="F12" s="37"/>
      <c r="G12" s="15"/>
      <c r="H12" s="28"/>
      <c r="I12" s="15"/>
      <c r="J12" s="15"/>
      <c r="K12" s="15"/>
      <c r="L12" s="29"/>
      <c r="M12" s="30"/>
      <c r="N12" s="18"/>
    </row>
    <row r="13" spans="1:14" x14ac:dyDescent="0.25">
      <c r="A13" s="12"/>
      <c r="B13" s="12"/>
      <c r="C13" s="12"/>
      <c r="D13" s="12"/>
      <c r="E13" s="1">
        <f>SUM(E2:E8)</f>
        <v>888.22500000000002</v>
      </c>
      <c r="F13" s="13">
        <f>E13/$E$13</f>
        <v>1</v>
      </c>
      <c r="G13" s="14"/>
      <c r="H13" s="12"/>
      <c r="I13" s="12"/>
      <c r="J13" s="15"/>
      <c r="K13" s="12">
        <v>1</v>
      </c>
    </row>
    <row r="14" spans="1:14" x14ac:dyDescent="0.25">
      <c r="A14" s="3" t="s">
        <v>22</v>
      </c>
      <c r="B14" s="4">
        <v>21</v>
      </c>
      <c r="C14" s="12"/>
      <c r="D14" s="12"/>
      <c r="E14" s="12"/>
      <c r="F14" s="16"/>
      <c r="G14" s="14"/>
      <c r="H14" s="12"/>
      <c r="I14" s="12"/>
      <c r="J14" s="15"/>
      <c r="K14" s="12"/>
    </row>
    <row r="15" spans="1:14" x14ac:dyDescent="0.25">
      <c r="A15" s="26"/>
      <c r="B15" s="45"/>
      <c r="C15" s="12"/>
      <c r="D15" s="12"/>
      <c r="E15" s="12"/>
      <c r="F15" s="16"/>
      <c r="G15" s="14"/>
      <c r="H15" s="12"/>
      <c r="I15" s="12"/>
      <c r="J15" s="15"/>
      <c r="K15" s="12"/>
    </row>
    <row r="16" spans="1:14" x14ac:dyDescent="0.25">
      <c r="A16" s="3" t="s">
        <v>56</v>
      </c>
      <c r="B16" s="76">
        <v>1346</v>
      </c>
      <c r="C16" s="12"/>
      <c r="D16" s="12"/>
      <c r="E16" s="12"/>
      <c r="F16" s="16"/>
      <c r="G16" s="14"/>
      <c r="H16" s="12"/>
      <c r="I16" s="12"/>
      <c r="J16" s="15"/>
      <c r="K16" s="12"/>
    </row>
    <row r="17" spans="1:14" x14ac:dyDescent="0.25">
      <c r="A17" s="12"/>
      <c r="B17" s="12"/>
      <c r="C17" s="12"/>
      <c r="D17" s="12"/>
      <c r="E17" s="34"/>
      <c r="F17" s="12"/>
      <c r="G17" s="12"/>
      <c r="H17" s="12"/>
      <c r="I17" s="12"/>
      <c r="J17" s="29"/>
      <c r="K17" s="34"/>
      <c r="L17" s="31"/>
      <c r="M17" s="31"/>
      <c r="N17" s="31"/>
    </row>
    <row r="18" spans="1:14" x14ac:dyDescent="0.25">
      <c r="A18" s="1" t="s">
        <v>68</v>
      </c>
      <c r="B18" s="46">
        <f>B25</f>
        <v>83595.81</v>
      </c>
      <c r="C18" s="12"/>
      <c r="D18" s="12"/>
      <c r="E18" s="34"/>
      <c r="F18" s="12"/>
      <c r="G18" s="77"/>
      <c r="H18" s="17"/>
      <c r="I18" s="17"/>
      <c r="J18" s="35"/>
      <c r="K18" s="35"/>
      <c r="L18" s="31"/>
      <c r="M18" s="31"/>
      <c r="N18" s="31"/>
    </row>
    <row r="19" spans="1:14" x14ac:dyDescent="0.25">
      <c r="A19" s="17"/>
      <c r="B19" s="17"/>
      <c r="C19" s="17"/>
      <c r="D19" s="17"/>
      <c r="E19" s="17"/>
      <c r="F19" s="17"/>
      <c r="G19" s="55"/>
      <c r="H19" s="17"/>
      <c r="I19" s="17"/>
      <c r="J19" s="17"/>
      <c r="K19" s="17"/>
    </row>
    <row r="20" spans="1:14" x14ac:dyDescent="0.25">
      <c r="A20" s="17"/>
      <c r="B20" s="17"/>
      <c r="C20" s="17"/>
      <c r="D20" s="17"/>
      <c r="E20" s="71"/>
      <c r="F20" s="35"/>
      <c r="G20" s="35"/>
      <c r="H20" s="35"/>
      <c r="I20" s="17"/>
      <c r="J20" s="17"/>
      <c r="K20" s="17"/>
    </row>
    <row r="21" spans="1:14" x14ac:dyDescent="0.25">
      <c r="A21" s="92" t="s">
        <v>53</v>
      </c>
      <c r="B21" s="92"/>
      <c r="C21" s="17"/>
      <c r="D21" s="17"/>
      <c r="E21" s="35"/>
      <c r="F21" s="35"/>
      <c r="G21" s="35"/>
      <c r="H21" s="35">
        <v>343654</v>
      </c>
      <c r="I21" s="90"/>
      <c r="J21" s="17"/>
      <c r="K21" s="17"/>
    </row>
    <row r="22" spans="1:14" x14ac:dyDescent="0.25">
      <c r="A22" s="1" t="s">
        <v>61</v>
      </c>
      <c r="B22" s="8">
        <f>'SME EB'!F2</f>
        <v>25520.039999999997</v>
      </c>
      <c r="C22" s="17"/>
      <c r="D22" s="17"/>
      <c r="E22" s="72"/>
      <c r="F22" s="73"/>
      <c r="G22" s="35"/>
      <c r="H22" s="35"/>
      <c r="I22" s="17"/>
      <c r="J22" s="17"/>
      <c r="K22" s="55"/>
    </row>
    <row r="23" spans="1:14" x14ac:dyDescent="0.25">
      <c r="A23" s="1" t="s">
        <v>58</v>
      </c>
      <c r="B23" s="8">
        <f>'SME EB'!F3</f>
        <v>64237.5</v>
      </c>
      <c r="C23" s="17"/>
      <c r="D23" s="17"/>
      <c r="E23" s="35"/>
      <c r="F23" s="74"/>
      <c r="G23" s="35"/>
      <c r="H23" s="35"/>
      <c r="I23" s="17"/>
      <c r="J23" s="17"/>
      <c r="K23" s="17"/>
    </row>
    <row r="24" spans="1:14" x14ac:dyDescent="0.25">
      <c r="A24" s="1" t="s">
        <v>66</v>
      </c>
      <c r="B24" s="8">
        <f>'SME EB'!F4</f>
        <v>57413.7</v>
      </c>
      <c r="C24" s="17"/>
      <c r="D24" s="17"/>
      <c r="E24" s="35"/>
      <c r="F24" s="74"/>
      <c r="G24" s="35"/>
      <c r="H24" s="35"/>
      <c r="I24" s="17"/>
      <c r="J24" s="17"/>
      <c r="K24" s="17"/>
    </row>
    <row r="25" spans="1:14" x14ac:dyDescent="0.25">
      <c r="A25" s="1" t="s">
        <v>67</v>
      </c>
      <c r="B25" s="8">
        <f>'SME EB'!F5+'SME EB'!I2</f>
        <v>83595.81</v>
      </c>
      <c r="C25" s="17"/>
      <c r="D25" s="17"/>
      <c r="E25" s="35"/>
      <c r="F25" s="74"/>
      <c r="G25" s="35"/>
      <c r="H25" s="35"/>
      <c r="I25" s="17"/>
      <c r="J25" s="17"/>
      <c r="K25" s="17"/>
    </row>
    <row r="26" spans="1:14" x14ac:dyDescent="0.25">
      <c r="A26" s="1" t="s">
        <v>57</v>
      </c>
      <c r="B26" s="8">
        <f>'SME EB'!F6-'SME EB'!I2</f>
        <v>112886.64</v>
      </c>
      <c r="C26" s="17"/>
      <c r="D26" s="17"/>
      <c r="E26" s="35"/>
      <c r="F26" s="35"/>
      <c r="G26" s="35"/>
      <c r="H26" s="35"/>
      <c r="I26" s="17"/>
      <c r="J26" s="17"/>
      <c r="K26" s="17"/>
    </row>
    <row r="27" spans="1:14" x14ac:dyDescent="0.25">
      <c r="A27" s="68" t="s">
        <v>23</v>
      </c>
      <c r="B27" s="69">
        <f>SUM(B22:B26)</f>
        <v>343653.69</v>
      </c>
      <c r="E27" s="31"/>
      <c r="F27" s="50"/>
      <c r="G27" s="31"/>
      <c r="H27" s="31"/>
    </row>
    <row r="28" spans="1:14" x14ac:dyDescent="0.25">
      <c r="E28" s="31"/>
      <c r="F28" s="31"/>
      <c r="G28" s="31"/>
      <c r="H28" s="88"/>
    </row>
    <row r="29" spans="1:14" x14ac:dyDescent="0.25">
      <c r="E29" s="31"/>
      <c r="F29" s="31"/>
      <c r="G29" s="31"/>
      <c r="H29" s="31"/>
    </row>
  </sheetData>
  <mergeCells count="1">
    <mergeCell ref="A21:B21"/>
  </mergeCells>
  <pageMargins left="0.25" right="0.25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7"/>
  <sheetViews>
    <sheetView workbookViewId="0">
      <selection activeCell="E37" sqref="E37"/>
    </sheetView>
  </sheetViews>
  <sheetFormatPr defaultRowHeight="15" x14ac:dyDescent="0.25"/>
  <cols>
    <col min="1" max="1" width="11.5703125" bestFit="1" customWidth="1"/>
    <col min="2" max="4" width="11.140625" bestFit="1" customWidth="1"/>
    <col min="5" max="5" width="19.42578125" customWidth="1"/>
    <col min="6" max="6" width="11.140625" bestFit="1" customWidth="1"/>
    <col min="7" max="8" width="10.140625" bestFit="1" customWidth="1"/>
    <col min="9" max="9" width="11.85546875" bestFit="1" customWidth="1"/>
    <col min="10" max="10" width="11.5703125" bestFit="1" customWidth="1"/>
    <col min="11" max="11" width="12.5703125" bestFit="1" customWidth="1"/>
    <col min="12" max="12" width="9.42578125" bestFit="1" customWidth="1"/>
    <col min="13" max="13" width="10.42578125" bestFit="1" customWidth="1"/>
    <col min="14" max="19" width="10.140625" bestFit="1" customWidth="1"/>
    <col min="20" max="20" width="17.28515625" bestFit="1" customWidth="1"/>
    <col min="21" max="21" width="11.140625" bestFit="1" customWidth="1"/>
    <col min="22" max="22" width="10.140625" bestFit="1" customWidth="1"/>
    <col min="23" max="23" width="13.7109375" customWidth="1"/>
  </cols>
  <sheetData>
    <row r="1" spans="1:34" x14ac:dyDescent="0.25">
      <c r="A1" s="42"/>
      <c r="B1" s="59" t="s">
        <v>42</v>
      </c>
      <c r="C1" s="59" t="s">
        <v>10</v>
      </c>
      <c r="D1" s="21" t="s">
        <v>28</v>
      </c>
      <c r="E1" s="21" t="s">
        <v>43</v>
      </c>
      <c r="F1" s="43" t="s">
        <v>23</v>
      </c>
      <c r="I1" s="43" t="s">
        <v>59</v>
      </c>
    </row>
    <row r="2" spans="1:34" x14ac:dyDescent="0.25">
      <c r="A2" s="21" t="s">
        <v>61</v>
      </c>
      <c r="B2" s="44">
        <v>28044</v>
      </c>
      <c r="C2" s="44">
        <f>B2*0.85</f>
        <v>23837.399999999998</v>
      </c>
      <c r="D2" s="44">
        <f>B2*0.06</f>
        <v>1682.6399999999999</v>
      </c>
      <c r="E2" s="44"/>
      <c r="F2" s="60">
        <f t="shared" ref="F2:F6" si="0">C2+D2</f>
        <v>25520.039999999997</v>
      </c>
      <c r="I2" s="91">
        <f>F6*0.17</f>
        <v>23121.360000000001</v>
      </c>
    </row>
    <row r="3" spans="1:34" x14ac:dyDescent="0.25">
      <c r="A3" s="21" t="s">
        <v>58</v>
      </c>
      <c r="B3" s="44">
        <v>71375</v>
      </c>
      <c r="C3" s="44">
        <f>B3*0.85</f>
        <v>60668.75</v>
      </c>
      <c r="D3" s="44">
        <f>B3*0.05</f>
        <v>3568.75</v>
      </c>
      <c r="E3" s="44"/>
      <c r="F3" s="60">
        <f t="shared" si="0"/>
        <v>64237.5</v>
      </c>
      <c r="I3" s="56"/>
    </row>
    <row r="4" spans="1:34" x14ac:dyDescent="0.25">
      <c r="A4" s="21" t="s">
        <v>66</v>
      </c>
      <c r="B4" s="44">
        <v>63793</v>
      </c>
      <c r="C4" s="44">
        <f>B4*0.85</f>
        <v>54224.049999999996</v>
      </c>
      <c r="D4" s="44">
        <f>B4*0.05</f>
        <v>3189.65</v>
      </c>
      <c r="E4" s="44"/>
      <c r="F4" s="60">
        <f t="shared" si="0"/>
        <v>57413.7</v>
      </c>
      <c r="I4" s="50"/>
    </row>
    <row r="5" spans="1:34" x14ac:dyDescent="0.25">
      <c r="A5" s="21" t="s">
        <v>41</v>
      </c>
      <c r="B5" s="44">
        <v>72789</v>
      </c>
      <c r="C5" s="44">
        <v>56835</v>
      </c>
      <c r="D5" s="44">
        <f t="shared" ref="D5" si="1">B5*0.05</f>
        <v>3639.4500000000003</v>
      </c>
      <c r="E5" s="44"/>
      <c r="F5" s="60">
        <f t="shared" si="0"/>
        <v>60474.45</v>
      </c>
      <c r="I5" s="24"/>
    </row>
    <row r="6" spans="1:34" x14ac:dyDescent="0.25">
      <c r="A6" s="21" t="s">
        <v>51</v>
      </c>
      <c r="B6" s="89">
        <v>158983</v>
      </c>
      <c r="C6" s="44">
        <v>131725</v>
      </c>
      <c r="D6" s="44">
        <v>4283</v>
      </c>
      <c r="E6" s="44"/>
      <c r="F6" s="60">
        <f t="shared" si="0"/>
        <v>136008</v>
      </c>
    </row>
    <row r="7" spans="1:34" x14ac:dyDescent="0.25">
      <c r="A7" s="21"/>
      <c r="B7" s="44">
        <f>SUM(B2:B6)</f>
        <v>394984</v>
      </c>
      <c r="C7" s="44">
        <f>SUM(C2:C6)</f>
        <v>327290.19999999995</v>
      </c>
      <c r="D7" s="44">
        <v>16364</v>
      </c>
      <c r="E7" s="44"/>
      <c r="F7" s="44">
        <f>SUM(F2:F6)</f>
        <v>343653.69</v>
      </c>
    </row>
    <row r="9" spans="1:34" x14ac:dyDescent="0.25">
      <c r="C9" s="70">
        <f>W16-C7</f>
        <v>-0.89220000000204891</v>
      </c>
      <c r="D9" s="18"/>
    </row>
    <row r="11" spans="1:34" x14ac:dyDescent="0.25">
      <c r="B11" s="20" t="s">
        <v>29</v>
      </c>
      <c r="C11" s="20" t="s">
        <v>30</v>
      </c>
      <c r="D11" s="20" t="s">
        <v>31</v>
      </c>
      <c r="E11" s="20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23</v>
      </c>
      <c r="N11" s="21" t="s">
        <v>29</v>
      </c>
      <c r="O11" s="21" t="s">
        <v>30</v>
      </c>
      <c r="P11" s="21" t="s">
        <v>31</v>
      </c>
      <c r="Q11" s="21" t="s">
        <v>32</v>
      </c>
      <c r="R11" s="21" t="s">
        <v>33</v>
      </c>
      <c r="S11" s="21" t="s">
        <v>34</v>
      </c>
      <c r="T11" s="21" t="s">
        <v>35</v>
      </c>
      <c r="U11" s="21" t="s">
        <v>36</v>
      </c>
      <c r="V11" s="21" t="s">
        <v>37</v>
      </c>
      <c r="W11" s="21" t="s">
        <v>23</v>
      </c>
    </row>
    <row r="12" spans="1:34" x14ac:dyDescent="0.25">
      <c r="A12" s="22" t="s">
        <v>38</v>
      </c>
      <c r="B12" s="38">
        <v>13253.109999999999</v>
      </c>
      <c r="C12" s="38">
        <v>15675.650000000001</v>
      </c>
      <c r="D12" s="38">
        <v>14880.280000000002</v>
      </c>
      <c r="E12" s="38">
        <v>6272.58</v>
      </c>
      <c r="F12" s="38">
        <v>3545.91</v>
      </c>
      <c r="G12" s="38">
        <v>8469.869999999999</v>
      </c>
      <c r="H12" s="38"/>
      <c r="I12" s="38">
        <v>1335.9</v>
      </c>
      <c r="J12" s="38">
        <v>3135.19</v>
      </c>
      <c r="K12" s="39">
        <v>66568.490000000005</v>
      </c>
      <c r="M12" s="23" t="s">
        <v>38</v>
      </c>
      <c r="N12" s="40">
        <v>9939.8324999999986</v>
      </c>
      <c r="O12" s="40">
        <v>12540.520000000002</v>
      </c>
      <c r="P12" s="40">
        <v>12053.026800000003</v>
      </c>
      <c r="Q12" s="40">
        <v>5143.5155999999997</v>
      </c>
      <c r="R12" s="40">
        <v>2978.5643999999998</v>
      </c>
      <c r="S12" s="40">
        <v>7199.3894999999993</v>
      </c>
      <c r="T12" s="40">
        <v>0</v>
      </c>
      <c r="U12" s="40">
        <v>1202.3100000000002</v>
      </c>
      <c r="V12" s="40">
        <v>2821.6710000000003</v>
      </c>
      <c r="W12" s="40">
        <v>53878.8298</v>
      </c>
      <c r="AH12">
        <v>10862.38</v>
      </c>
    </row>
    <row r="13" spans="1:34" x14ac:dyDescent="0.25">
      <c r="A13" s="22" t="s">
        <v>39</v>
      </c>
      <c r="B13" s="38">
        <v>207.52</v>
      </c>
      <c r="C13" s="38">
        <v>12015.449999999997</v>
      </c>
      <c r="D13" s="38">
        <v>31239.569999999996</v>
      </c>
      <c r="E13" s="38">
        <v>21587.25</v>
      </c>
      <c r="F13" s="38">
        <v>20572.030000000002</v>
      </c>
      <c r="G13" s="38">
        <v>52632.459999999963</v>
      </c>
      <c r="H13" s="38">
        <v>20850.310000000001</v>
      </c>
      <c r="I13" s="38">
        <v>25461.149999999994</v>
      </c>
      <c r="J13" s="38">
        <v>12002.21</v>
      </c>
      <c r="K13" s="39">
        <v>196567.94999999992</v>
      </c>
      <c r="M13" s="23" t="s">
        <v>39</v>
      </c>
      <c r="N13" s="40">
        <v>155.64000000000001</v>
      </c>
      <c r="O13" s="40">
        <v>9612.3599999999988</v>
      </c>
      <c r="P13" s="40">
        <v>25304.0517</v>
      </c>
      <c r="Q13" s="40">
        <v>17701.544999999998</v>
      </c>
      <c r="R13" s="40">
        <v>17280.505200000003</v>
      </c>
      <c r="S13" s="40">
        <v>44737.590999999964</v>
      </c>
      <c r="T13" s="40">
        <v>18556.775900000001</v>
      </c>
      <c r="U13" s="40">
        <v>22915.034999999996</v>
      </c>
      <c r="V13" s="40">
        <v>10801.989</v>
      </c>
      <c r="W13" s="40">
        <v>167065.49279999998</v>
      </c>
    </row>
    <row r="14" spans="1:34" x14ac:dyDescent="0.25">
      <c r="A14" s="22" t="s">
        <v>40</v>
      </c>
      <c r="B14" s="38">
        <v>6393.4100000000044</v>
      </c>
      <c r="C14" s="38">
        <v>7505.2599999999993</v>
      </c>
      <c r="D14" s="38">
        <v>7428.0700000000006</v>
      </c>
      <c r="E14" s="38">
        <v>3454.21</v>
      </c>
      <c r="F14" s="38">
        <v>1750.6899999999998</v>
      </c>
      <c r="G14" s="38">
        <v>4294.2700000000004</v>
      </c>
      <c r="H14" s="38">
        <v>606.38</v>
      </c>
      <c r="I14" s="38">
        <v>1590.67</v>
      </c>
      <c r="J14" s="38">
        <v>8749.3000000000011</v>
      </c>
      <c r="K14" s="39">
        <v>41772.260000000009</v>
      </c>
      <c r="M14" s="23" t="s">
        <v>40</v>
      </c>
      <c r="N14" s="40">
        <v>4795.0575000000035</v>
      </c>
      <c r="O14" s="40">
        <v>5929.1553999999996</v>
      </c>
      <c r="P14" s="40">
        <v>5868.1753000000008</v>
      </c>
      <c r="Q14" s="40">
        <v>2728.8259000000003</v>
      </c>
      <c r="R14" s="40">
        <v>1418.0589</v>
      </c>
      <c r="S14" s="40">
        <v>3478.3587000000007</v>
      </c>
      <c r="T14" s="40">
        <v>515.423</v>
      </c>
      <c r="U14" s="40">
        <v>1367.9762000000001</v>
      </c>
      <c r="V14" s="40">
        <v>7611.8910000000005</v>
      </c>
      <c r="W14" s="40">
        <v>33712.921900000001</v>
      </c>
    </row>
    <row r="15" spans="1:34" x14ac:dyDescent="0.25">
      <c r="A15" s="22" t="s">
        <v>41</v>
      </c>
      <c r="B15" s="38">
        <v>6924.6099999999969</v>
      </c>
      <c r="C15" s="38">
        <v>7221.3400000000029</v>
      </c>
      <c r="D15" s="38">
        <v>13572.530000000004</v>
      </c>
      <c r="E15" s="38">
        <v>11103.820000000005</v>
      </c>
      <c r="F15" s="38">
        <v>7435.0399999999981</v>
      </c>
      <c r="G15" s="38">
        <v>21287.170000000009</v>
      </c>
      <c r="H15" s="38">
        <v>8339.73</v>
      </c>
      <c r="I15" s="38">
        <v>7775.6900000000005</v>
      </c>
      <c r="J15" s="38">
        <v>6415.76</v>
      </c>
      <c r="K15" s="39">
        <v>90075.690000000017</v>
      </c>
      <c r="M15" s="23" t="s">
        <v>41</v>
      </c>
      <c r="N15" s="40">
        <v>5193.4574999999977</v>
      </c>
      <c r="O15" s="40">
        <v>5632.6452000000027</v>
      </c>
      <c r="P15" s="40">
        <v>10586.573400000003</v>
      </c>
      <c r="Q15" s="40">
        <v>8660.9796000000042</v>
      </c>
      <c r="R15" s="40">
        <v>6022.3823999999986</v>
      </c>
      <c r="S15" s="40">
        <v>17242.607700000008</v>
      </c>
      <c r="T15" s="40">
        <v>7088.7704999999996</v>
      </c>
      <c r="U15" s="40">
        <v>6687.0934000000007</v>
      </c>
      <c r="V15" s="40">
        <v>5517.5536000000002</v>
      </c>
      <c r="W15" s="40">
        <v>72632.063300000009</v>
      </c>
    </row>
    <row r="16" spans="1:34" x14ac:dyDescent="0.25">
      <c r="A16" s="22" t="s">
        <v>23</v>
      </c>
      <c r="B16" s="39">
        <v>26778.65</v>
      </c>
      <c r="C16" s="39">
        <v>42417.700000000004</v>
      </c>
      <c r="D16" s="39">
        <v>67120.45</v>
      </c>
      <c r="E16" s="39">
        <v>42417.860000000008</v>
      </c>
      <c r="F16" s="39">
        <v>33303.67</v>
      </c>
      <c r="G16" s="39">
        <v>86683.769999999975</v>
      </c>
      <c r="H16" s="39">
        <v>29796.420000000002</v>
      </c>
      <c r="I16" s="39">
        <v>36163.409999999996</v>
      </c>
      <c r="J16" s="39">
        <v>30302.46</v>
      </c>
      <c r="K16" s="39">
        <v>394984.38999999996</v>
      </c>
      <c r="M16" s="23" t="s">
        <v>23</v>
      </c>
      <c r="N16" s="40">
        <v>20083.987499999999</v>
      </c>
      <c r="O16" s="40">
        <v>33714.680600000007</v>
      </c>
      <c r="P16" s="40">
        <v>53811.827200000007</v>
      </c>
      <c r="Q16" s="40">
        <v>34234.866099999999</v>
      </c>
      <c r="R16" s="40">
        <v>27699.510900000001</v>
      </c>
      <c r="S16" s="40">
        <v>72657.946899999966</v>
      </c>
      <c r="T16" s="40">
        <v>26160.969399999998</v>
      </c>
      <c r="U16" s="40">
        <v>32172.4146</v>
      </c>
      <c r="V16" s="40">
        <v>26753.104599999999</v>
      </c>
      <c r="W16" s="41">
        <v>327289.30779999995</v>
      </c>
    </row>
    <row r="20" spans="3:13" x14ac:dyDescent="0.25">
      <c r="H20" s="31"/>
      <c r="I20" s="32"/>
      <c r="J20" s="33"/>
      <c r="K20" s="33"/>
      <c r="L20" s="33"/>
      <c r="M20" s="33"/>
    </row>
    <row r="21" spans="3:13" x14ac:dyDescent="0.25">
      <c r="C21" s="57"/>
      <c r="E21" s="31"/>
      <c r="F21" s="32"/>
      <c r="G21" s="33"/>
      <c r="H21" s="33"/>
      <c r="I21" s="33"/>
      <c r="J21" s="33"/>
    </row>
    <row r="22" spans="3:13" x14ac:dyDescent="0.25">
      <c r="C22" s="57"/>
      <c r="E22" s="31"/>
      <c r="F22" s="32"/>
      <c r="G22" s="33"/>
      <c r="H22" s="33"/>
      <c r="I22" s="33"/>
      <c r="J22" s="33"/>
    </row>
    <row r="29" spans="3:13" x14ac:dyDescent="0.25">
      <c r="D29" s="24"/>
      <c r="E29" s="24"/>
    </row>
    <row r="33" spans="2:5" x14ac:dyDescent="0.25">
      <c r="C33" s="18"/>
    </row>
    <row r="37" spans="2:5" x14ac:dyDescent="0.25">
      <c r="B37" s="19"/>
      <c r="D37" s="19"/>
      <c r="E37" s="24"/>
    </row>
  </sheetData>
  <pageMargins left="0.25" right="0.25" top="0.75" bottom="0.75" header="0.3" footer="0.3"/>
  <pageSetup paperSize="9" scale="3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workbookViewId="0">
      <selection activeCell="L8" sqref="L8"/>
    </sheetView>
  </sheetViews>
  <sheetFormatPr defaultRowHeight="15" x14ac:dyDescent="0.25"/>
  <cols>
    <col min="1" max="1" width="16.42578125" bestFit="1" customWidth="1"/>
    <col min="3" max="3" width="10.140625" bestFit="1" customWidth="1"/>
    <col min="4" max="4" width="12.28515625" customWidth="1"/>
    <col min="5" max="5" width="15.42578125" bestFit="1" customWidth="1"/>
    <col min="7" max="7" width="9.85546875" bestFit="1" customWidth="1"/>
    <col min="8" max="8" width="14.140625" bestFit="1" customWidth="1"/>
    <col min="10" max="11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13</v>
      </c>
    </row>
    <row r="2" spans="1:13" x14ac:dyDescent="0.25">
      <c r="A2" s="3" t="s">
        <v>49</v>
      </c>
      <c r="B2" s="4">
        <v>10</v>
      </c>
      <c r="C2" s="2">
        <v>1</v>
      </c>
      <c r="D2" s="2">
        <f>$B$12-B2</f>
        <v>11</v>
      </c>
      <c r="E2" s="2">
        <f t="shared" ref="E2:E8" si="0">7.5*D2*C2</f>
        <v>82.5</v>
      </c>
      <c r="F2" s="5">
        <f t="shared" ref="F2:F8" si="1">E2/$E$11</f>
        <v>8.6887835703001584E-2</v>
      </c>
      <c r="G2" s="6">
        <f t="shared" ref="G2:G8" si="2">$B$16*F2</f>
        <v>7276.8562401263825</v>
      </c>
      <c r="H2" s="7">
        <v>1.55</v>
      </c>
      <c r="I2" s="6"/>
      <c r="J2" s="6">
        <f t="shared" ref="J2:J8" si="3">G2*H2</f>
        <v>11279.127172195893</v>
      </c>
      <c r="K2" s="6">
        <f t="shared" ref="K2:K8" si="4">J2*$K$11</f>
        <v>23615.672516785151</v>
      </c>
      <c r="L2" s="10">
        <v>17000</v>
      </c>
      <c r="M2" s="24"/>
    </row>
    <row r="3" spans="1:13" x14ac:dyDescent="0.25">
      <c r="A3" s="3" t="s">
        <v>50</v>
      </c>
      <c r="B3" s="4">
        <v>2</v>
      </c>
      <c r="C3" s="2">
        <v>1</v>
      </c>
      <c r="D3" s="2">
        <f>$B$12-B3</f>
        <v>19</v>
      </c>
      <c r="E3" s="2">
        <f t="shared" si="0"/>
        <v>142.5</v>
      </c>
      <c r="F3" s="5">
        <f t="shared" si="1"/>
        <v>0.1500789889415482</v>
      </c>
      <c r="G3" s="6">
        <f t="shared" si="2"/>
        <v>12569.115323854661</v>
      </c>
      <c r="H3" s="7">
        <v>1.45</v>
      </c>
      <c r="I3" s="6"/>
      <c r="J3" s="6">
        <f t="shared" si="3"/>
        <v>18225.21721958926</v>
      </c>
      <c r="K3" s="6">
        <f t="shared" si="4"/>
        <v>38159.048553515015</v>
      </c>
      <c r="L3" s="10">
        <v>25000</v>
      </c>
      <c r="M3" s="24"/>
    </row>
    <row r="4" spans="1:13" x14ac:dyDescent="0.25">
      <c r="A4" s="3" t="s">
        <v>69</v>
      </c>
      <c r="B4" s="4">
        <v>0</v>
      </c>
      <c r="C4" s="2">
        <v>1</v>
      </c>
      <c r="D4" s="2">
        <f>$B$12-B4</f>
        <v>21</v>
      </c>
      <c r="E4" s="2">
        <f t="shared" si="0"/>
        <v>157.5</v>
      </c>
      <c r="F4" s="5">
        <f t="shared" si="1"/>
        <v>0.16587677725118483</v>
      </c>
      <c r="G4" s="6">
        <f t="shared" si="2"/>
        <v>13892.180094786729</v>
      </c>
      <c r="H4" s="7">
        <v>0.5</v>
      </c>
      <c r="I4" s="6"/>
      <c r="J4" s="6">
        <f t="shared" si="3"/>
        <v>6946.0900473933643</v>
      </c>
      <c r="K4" s="6">
        <f t="shared" si="4"/>
        <v>14543.376036729856</v>
      </c>
      <c r="L4" s="10">
        <v>15000</v>
      </c>
      <c r="M4" s="24"/>
    </row>
    <row r="5" spans="1:13" x14ac:dyDescent="0.25">
      <c r="A5" s="3" t="s">
        <v>52</v>
      </c>
      <c r="B5" s="4">
        <v>4</v>
      </c>
      <c r="C5" s="2">
        <v>0.8</v>
      </c>
      <c r="D5" s="2">
        <f>$B$12-B5</f>
        <v>17</v>
      </c>
      <c r="E5" s="2">
        <f t="shared" si="0"/>
        <v>102</v>
      </c>
      <c r="F5" s="5">
        <f t="shared" si="1"/>
        <v>0.10742496050552923</v>
      </c>
      <c r="G5" s="6">
        <f t="shared" si="2"/>
        <v>8996.8404423380725</v>
      </c>
      <c r="H5" s="7">
        <v>1</v>
      </c>
      <c r="I5" s="6"/>
      <c r="J5" s="6">
        <f t="shared" si="3"/>
        <v>8996.8404423380725</v>
      </c>
      <c r="K5" s="6">
        <f t="shared" si="4"/>
        <v>18837.134676145339</v>
      </c>
      <c r="L5" s="10">
        <v>6000</v>
      </c>
      <c r="M5" s="24"/>
    </row>
    <row r="6" spans="1:13" x14ac:dyDescent="0.25">
      <c r="A6" s="3" t="s">
        <v>77</v>
      </c>
      <c r="B6" s="4">
        <v>0</v>
      </c>
      <c r="C6" s="2">
        <v>1</v>
      </c>
      <c r="D6" s="2">
        <f>$B$12-B6</f>
        <v>21</v>
      </c>
      <c r="E6" s="2">
        <f t="shared" si="0"/>
        <v>157.5</v>
      </c>
      <c r="F6" s="5">
        <f t="shared" si="1"/>
        <v>0.16587677725118483</v>
      </c>
      <c r="G6" s="6">
        <f t="shared" si="2"/>
        <v>13892.180094786729</v>
      </c>
      <c r="H6" s="7">
        <v>0.5</v>
      </c>
      <c r="I6" s="6"/>
      <c r="J6" s="6">
        <f t="shared" si="3"/>
        <v>6946.0900473933643</v>
      </c>
      <c r="K6" s="6">
        <f t="shared" si="4"/>
        <v>14543.376036729856</v>
      </c>
      <c r="L6" s="10">
        <v>6000</v>
      </c>
      <c r="M6" s="24"/>
    </row>
    <row r="7" spans="1:13" x14ac:dyDescent="0.25">
      <c r="A7" s="3" t="s">
        <v>70</v>
      </c>
      <c r="B7" s="4">
        <v>5</v>
      </c>
      <c r="C7" s="2">
        <v>1</v>
      </c>
      <c r="D7" s="2">
        <v>20</v>
      </c>
      <c r="E7" s="2">
        <f t="shared" si="0"/>
        <v>150</v>
      </c>
      <c r="F7" s="5">
        <f t="shared" si="1"/>
        <v>0.15797788309636651</v>
      </c>
      <c r="G7" s="6">
        <f t="shared" si="2"/>
        <v>13230.647709320696</v>
      </c>
      <c r="H7" s="7">
        <v>0.8</v>
      </c>
      <c r="I7" s="6"/>
      <c r="J7" s="6">
        <f t="shared" si="3"/>
        <v>10584.518167456557</v>
      </c>
      <c r="K7" s="6">
        <f t="shared" si="4"/>
        <v>22161.334913112169</v>
      </c>
      <c r="L7" s="10">
        <v>11750</v>
      </c>
      <c r="M7" s="24"/>
    </row>
    <row r="8" spans="1:13" x14ac:dyDescent="0.25">
      <c r="A8" s="3" t="s">
        <v>71</v>
      </c>
      <c r="B8" s="4">
        <v>0</v>
      </c>
      <c r="C8" s="2">
        <v>1</v>
      </c>
      <c r="D8" s="2">
        <f>$B$12-B8</f>
        <v>21</v>
      </c>
      <c r="E8" s="2">
        <f t="shared" si="0"/>
        <v>157.5</v>
      </c>
      <c r="F8" s="5">
        <f t="shared" si="1"/>
        <v>0.16587677725118483</v>
      </c>
      <c r="G8" s="6">
        <f t="shared" si="2"/>
        <v>13892.180094786729</v>
      </c>
      <c r="H8" s="7">
        <v>1</v>
      </c>
      <c r="I8" s="6"/>
      <c r="J8" s="6">
        <f t="shared" si="3"/>
        <v>13892.180094786729</v>
      </c>
      <c r="K8" s="6">
        <f t="shared" si="4"/>
        <v>29086.752073459713</v>
      </c>
      <c r="L8" s="10">
        <v>3000</v>
      </c>
      <c r="M8" s="24"/>
    </row>
    <row r="9" spans="1:13" x14ac:dyDescent="0.25">
      <c r="A9" s="26"/>
      <c r="B9" s="27"/>
      <c r="C9" s="27"/>
      <c r="D9" s="27"/>
      <c r="E9" s="36"/>
      <c r="F9" s="37"/>
      <c r="G9" s="15"/>
      <c r="H9" s="28"/>
      <c r="I9" s="15"/>
      <c r="J9" s="15"/>
      <c r="K9" s="15"/>
      <c r="L9" s="18">
        <f>SUM(L2:L8)</f>
        <v>83750</v>
      </c>
      <c r="M9" s="24"/>
    </row>
    <row r="10" spans="1:13" x14ac:dyDescent="0.25">
      <c r="A10" s="26"/>
      <c r="B10" s="27"/>
      <c r="C10" s="27"/>
      <c r="D10" s="27"/>
      <c r="E10" s="2"/>
      <c r="F10" s="5"/>
      <c r="G10" s="15"/>
      <c r="H10" s="28"/>
      <c r="I10" s="15"/>
      <c r="J10" s="15"/>
      <c r="K10" s="15"/>
    </row>
    <row r="11" spans="1:13" x14ac:dyDescent="0.25">
      <c r="A11" s="12"/>
      <c r="B11" s="12"/>
      <c r="C11" s="12"/>
      <c r="D11" s="12"/>
      <c r="E11" s="1">
        <f>SUM(E2:E8)</f>
        <v>949.5</v>
      </c>
      <c r="F11" s="13">
        <f>E11/$E$11</f>
        <v>1</v>
      </c>
      <c r="G11" s="14"/>
      <c r="H11" s="12"/>
      <c r="I11" s="12"/>
      <c r="J11" s="15">
        <v>40000</v>
      </c>
      <c r="K11" s="12">
        <f>B16/J11</f>
        <v>2.09375</v>
      </c>
    </row>
    <row r="12" spans="1:13" x14ac:dyDescent="0.25">
      <c r="A12" s="3" t="s">
        <v>22</v>
      </c>
      <c r="B12" s="4">
        <v>21</v>
      </c>
      <c r="C12" s="12"/>
      <c r="D12" s="12"/>
      <c r="E12" s="12"/>
      <c r="F12" s="16"/>
      <c r="G12" s="14"/>
      <c r="H12" s="12"/>
      <c r="I12" s="12"/>
      <c r="J12" s="15"/>
      <c r="K12" s="12"/>
    </row>
    <row r="13" spans="1:13" x14ac:dyDescent="0.25">
      <c r="A13" s="12"/>
      <c r="B13" s="12"/>
      <c r="C13" s="12"/>
      <c r="D13" s="12"/>
      <c r="E13" s="45"/>
      <c r="F13" s="45"/>
      <c r="G13" s="45"/>
      <c r="H13" s="45"/>
      <c r="I13" s="45"/>
      <c r="J13" s="34"/>
      <c r="K13" s="34"/>
      <c r="L13" s="31"/>
    </row>
    <row r="14" spans="1:13" x14ac:dyDescent="0.25">
      <c r="A14" s="17"/>
      <c r="B14" s="17"/>
      <c r="C14" s="17"/>
      <c r="D14" s="17"/>
      <c r="E14" s="62"/>
      <c r="F14" s="62"/>
      <c r="G14" s="62"/>
      <c r="H14" s="62"/>
      <c r="I14" s="62"/>
      <c r="J14" s="17"/>
      <c r="K14" s="17"/>
    </row>
    <row r="15" spans="1:13" x14ac:dyDescent="0.25">
      <c r="A15" s="92" t="s">
        <v>45</v>
      </c>
      <c r="B15" s="92"/>
      <c r="C15" s="17"/>
      <c r="D15" s="17"/>
      <c r="E15" s="62"/>
      <c r="F15" s="62"/>
      <c r="G15" s="62"/>
      <c r="H15" s="62"/>
      <c r="I15" s="63"/>
      <c r="J15" s="17"/>
      <c r="K15" s="17"/>
    </row>
    <row r="16" spans="1:13" x14ac:dyDescent="0.25">
      <c r="A16" s="1" t="s">
        <v>27</v>
      </c>
      <c r="B16" s="8">
        <v>83750</v>
      </c>
      <c r="C16" s="17"/>
      <c r="D16" s="17"/>
      <c r="E16" s="62"/>
      <c r="F16" s="62"/>
      <c r="G16" s="62"/>
      <c r="H16" s="62"/>
      <c r="I16" s="63"/>
      <c r="J16" s="17"/>
      <c r="K16" s="17"/>
    </row>
    <row r="17" spans="5:9" x14ac:dyDescent="0.25">
      <c r="E17" s="64"/>
      <c r="F17" s="64"/>
      <c r="G17" s="64"/>
      <c r="H17" s="64"/>
      <c r="I17" s="65"/>
    </row>
    <row r="18" spans="5:9" x14ac:dyDescent="0.25">
      <c r="E18" s="64"/>
      <c r="F18" s="66"/>
      <c r="G18" s="64"/>
      <c r="H18" s="64"/>
      <c r="I18" s="65"/>
    </row>
    <row r="19" spans="5:9" x14ac:dyDescent="0.25">
      <c r="E19" s="64"/>
      <c r="F19" s="64"/>
      <c r="G19" s="64"/>
      <c r="H19" s="64"/>
      <c r="I19" s="64"/>
    </row>
    <row r="20" spans="5:9" x14ac:dyDescent="0.25">
      <c r="E20" s="64"/>
      <c r="F20" s="64"/>
      <c r="G20" s="64"/>
      <c r="H20" s="64"/>
      <c r="I20" s="64"/>
    </row>
  </sheetData>
  <mergeCells count="1">
    <mergeCell ref="A15:B15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workbookViewId="0">
      <selection activeCell="E37" sqref="E37"/>
    </sheetView>
  </sheetViews>
  <sheetFormatPr defaultRowHeight="15" x14ac:dyDescent="0.25"/>
  <cols>
    <col min="1" max="1" width="16.5703125" customWidth="1"/>
    <col min="2" max="2" width="8" customWidth="1"/>
    <col min="3" max="3" width="11.140625" bestFit="1" customWidth="1"/>
    <col min="4" max="4" width="11.42578125" bestFit="1" customWidth="1"/>
    <col min="5" max="5" width="16.42578125" customWidth="1"/>
    <col min="7" max="7" width="12.7109375" customWidth="1"/>
    <col min="8" max="8" width="14.140625" bestFit="1" customWidth="1"/>
    <col min="10" max="11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13</v>
      </c>
    </row>
    <row r="2" spans="1:12" x14ac:dyDescent="0.25">
      <c r="A2" s="3" t="s">
        <v>46</v>
      </c>
      <c r="B2" s="4">
        <v>5</v>
      </c>
      <c r="C2" s="2">
        <v>1</v>
      </c>
      <c r="D2" s="2">
        <f>$B$8-B2</f>
        <v>16</v>
      </c>
      <c r="E2" s="2">
        <f>7.5*D2*C2</f>
        <v>120</v>
      </c>
      <c r="F2" s="5">
        <f>E2/$E$7</f>
        <v>0.30188679245283018</v>
      </c>
      <c r="G2" s="6">
        <f>$B$13*F2</f>
        <v>5130.566037735849</v>
      </c>
      <c r="H2" s="7">
        <v>1</v>
      </c>
      <c r="I2" s="6"/>
      <c r="J2" s="6">
        <f>G2*H2</f>
        <v>5130.566037735849</v>
      </c>
      <c r="K2" s="6">
        <f>J2*$K$7</f>
        <v>5130.566037735849</v>
      </c>
      <c r="L2" s="10">
        <v>5130</v>
      </c>
    </row>
    <row r="3" spans="1:12" x14ac:dyDescent="0.25">
      <c r="A3" s="3" t="s">
        <v>47</v>
      </c>
      <c r="B3" s="4">
        <v>5</v>
      </c>
      <c r="C3" s="2">
        <v>1</v>
      </c>
      <c r="D3" s="2">
        <f>$B$8-B3</f>
        <v>16</v>
      </c>
      <c r="E3" s="2">
        <f>7.5*D3*C3</f>
        <v>120</v>
      </c>
      <c r="F3" s="5">
        <f>E3/$E$7</f>
        <v>0.30188679245283018</v>
      </c>
      <c r="G3" s="6">
        <f>$B$13*F3</f>
        <v>5130.566037735849</v>
      </c>
      <c r="H3" s="7">
        <v>1</v>
      </c>
      <c r="I3" s="6"/>
      <c r="J3" s="6">
        <f>G3*H3</f>
        <v>5130.566037735849</v>
      </c>
      <c r="K3" s="6">
        <f>J3*$K$7</f>
        <v>5130.566037735849</v>
      </c>
      <c r="L3" s="10">
        <v>5130</v>
      </c>
    </row>
    <row r="4" spans="1:12" x14ac:dyDescent="0.25">
      <c r="A4" s="3" t="s">
        <v>48</v>
      </c>
      <c r="B4" s="4">
        <v>0</v>
      </c>
      <c r="C4" s="2">
        <v>1</v>
      </c>
      <c r="D4" s="2">
        <f>$B$8-B4</f>
        <v>21</v>
      </c>
      <c r="E4" s="2">
        <f>7.5*D4*C4</f>
        <v>157.5</v>
      </c>
      <c r="F4" s="5">
        <f>E4/$E$7</f>
        <v>0.39622641509433965</v>
      </c>
      <c r="G4" s="6">
        <f>$B$13*F4</f>
        <v>6733.867924528302</v>
      </c>
      <c r="H4" s="7">
        <v>1</v>
      </c>
      <c r="I4" s="6"/>
      <c r="J4" s="6">
        <f>G4*H4</f>
        <v>6733.867924528302</v>
      </c>
      <c r="K4" s="6">
        <f>J4*$K$7</f>
        <v>6733.867924528302</v>
      </c>
      <c r="L4" s="10">
        <v>6733</v>
      </c>
    </row>
    <row r="5" spans="1:12" x14ac:dyDescent="0.25">
      <c r="A5" s="26"/>
      <c r="B5" s="27"/>
      <c r="C5" s="27"/>
      <c r="D5" s="27"/>
      <c r="E5" s="2"/>
      <c r="F5" s="5"/>
      <c r="G5" s="15"/>
      <c r="H5" s="28"/>
      <c r="I5" s="15"/>
      <c r="J5" s="15"/>
      <c r="K5" s="15"/>
      <c r="L5" s="18">
        <f>SUM(L2:L4)</f>
        <v>16993</v>
      </c>
    </row>
    <row r="6" spans="1:12" x14ac:dyDescent="0.25">
      <c r="A6" s="26"/>
      <c r="B6" s="27"/>
      <c r="C6" s="27"/>
      <c r="D6" s="27"/>
      <c r="E6" s="2"/>
      <c r="F6" s="5"/>
      <c r="G6" s="15"/>
      <c r="H6" s="28"/>
      <c r="I6" s="15"/>
      <c r="J6" s="15"/>
      <c r="K6" s="15"/>
    </row>
    <row r="7" spans="1:12" x14ac:dyDescent="0.25">
      <c r="A7" s="12"/>
      <c r="B7" s="12"/>
      <c r="C7" s="12"/>
      <c r="D7" s="12"/>
      <c r="E7" s="1">
        <f>SUM(E2:E4)</f>
        <v>397.5</v>
      </c>
      <c r="F7" s="13">
        <f>E7/$E$7</f>
        <v>1</v>
      </c>
      <c r="G7" s="14"/>
      <c r="H7" s="12"/>
      <c r="I7" s="12"/>
      <c r="J7" s="15">
        <f>B13</f>
        <v>16995</v>
      </c>
      <c r="K7" s="12">
        <f>B13/J7</f>
        <v>1</v>
      </c>
    </row>
    <row r="8" spans="1:12" x14ac:dyDescent="0.25">
      <c r="A8" s="3" t="s">
        <v>22</v>
      </c>
      <c r="B8" s="4">
        <v>21</v>
      </c>
      <c r="C8" s="12"/>
      <c r="D8" s="12"/>
      <c r="E8" s="12"/>
      <c r="F8" s="16"/>
      <c r="G8" s="14"/>
      <c r="H8" s="12"/>
      <c r="I8" s="12"/>
      <c r="J8" s="15"/>
      <c r="K8" s="12"/>
    </row>
    <row r="9" spans="1:12" x14ac:dyDescent="0.25">
      <c r="A9" s="12"/>
      <c r="B9" s="12"/>
      <c r="C9" s="12"/>
      <c r="D9" s="12"/>
      <c r="E9" s="12"/>
      <c r="F9" s="12"/>
      <c r="G9" s="12"/>
      <c r="H9" s="12"/>
      <c r="I9" s="12"/>
      <c r="J9" s="34"/>
      <c r="K9" s="34"/>
      <c r="L9" s="31"/>
    </row>
    <row r="10" spans="1:12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2" x14ac:dyDescent="0.25">
      <c r="A11" s="92" t="s">
        <v>44</v>
      </c>
      <c r="B11" s="92"/>
      <c r="C11" s="17"/>
      <c r="D11" s="17"/>
      <c r="E11" s="17"/>
      <c r="F11" s="17"/>
      <c r="G11" s="17"/>
      <c r="H11" s="17"/>
      <c r="I11" s="17"/>
      <c r="J11" s="17"/>
      <c r="K11" s="17"/>
    </row>
    <row r="12" spans="1:12" x14ac:dyDescent="0.25">
      <c r="A12" s="1" t="s">
        <v>51</v>
      </c>
      <c r="B12" s="46">
        <v>26295</v>
      </c>
      <c r="C12" s="17"/>
      <c r="D12" s="17"/>
      <c r="E12" s="55"/>
      <c r="F12" s="17"/>
      <c r="G12" s="17"/>
      <c r="H12" s="17"/>
      <c r="I12" s="17"/>
      <c r="J12" s="17"/>
      <c r="K12" s="17"/>
    </row>
    <row r="13" spans="1:12" x14ac:dyDescent="0.25">
      <c r="A13" s="1" t="s">
        <v>55</v>
      </c>
      <c r="B13" s="8">
        <v>16995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1:12" x14ac:dyDescent="0.25">
      <c r="A14" s="53" t="s">
        <v>23</v>
      </c>
      <c r="B14" s="54">
        <f>B12+B13</f>
        <v>43290</v>
      </c>
    </row>
  </sheetData>
  <mergeCells count="1">
    <mergeCell ref="A11:B11"/>
  </mergeCells>
  <pageMargins left="0.7" right="0.7" top="0.75" bottom="0.75" header="0.3" footer="0.3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3FEA61D907445A0B5CF94C21C25E9" ma:contentTypeVersion="4" ma:contentTypeDescription="Create a new document." ma:contentTypeScope="" ma:versionID="5789451d24d0e97e5975a34f11219773">
  <xsd:schema xmlns:xsd="http://www.w3.org/2001/XMLSchema" xmlns:xs="http://www.w3.org/2001/XMLSchema" xmlns:p="http://schemas.microsoft.com/office/2006/metadata/properties" xmlns:ns3="03ebfaf0-63b7-4bf4-a4b4-31b13764f50c" targetNamespace="http://schemas.microsoft.com/office/2006/metadata/properties" ma:root="true" ma:fieldsID="1031995f5c6da770967fe5fd56acbce1" ns3:_="">
    <xsd:import namespace="03ebfaf0-63b7-4bf4-a4b4-31b13764f5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bfaf0-63b7-4bf4-a4b4-31b13764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306DC-757F-48FB-93AC-654049F72992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03ebfaf0-63b7-4bf4-a4b4-31b13764f50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60743D-DEDC-477B-A152-671C5A468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DB227-2172-4FC1-A32F-C45D12C05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ebfaf0-63b7-4bf4-a4b4-31b13764f5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SME NB </vt:lpstr>
      <vt:lpstr>SME EB INDIVIDUAL</vt:lpstr>
      <vt:lpstr>SME EB</vt:lpstr>
      <vt:lpstr>VAN NB</vt:lpstr>
      <vt:lpstr>VAN 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Jones</dc:creator>
  <cp:lastModifiedBy>Martin Clements</cp:lastModifiedBy>
  <cp:lastPrinted>2021-03-30T13:10:57Z</cp:lastPrinted>
  <dcterms:created xsi:type="dcterms:W3CDTF">2019-05-31T09:09:15Z</dcterms:created>
  <dcterms:modified xsi:type="dcterms:W3CDTF">2021-08-02T08:14:01Z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0x010100A803FEA61D907445A0B5CF94C21C25E9</vt:lpwstr>
  </property>
</Properties>
</file>