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ickyjohnguittu/Documents/Documents/School/ISU/4th Year/1st Sem/Reinforced Conrete Design/House Design/Plan B - Modern Farmhouse Design/Excel Spreadsheets/"/>
    </mc:Choice>
  </mc:AlternateContent>
  <xr:revisionPtr revIDLastSave="0" documentId="13_ncr:1_{81770048-23CF-5A4C-8604-AF30C50731EE}" xr6:coauthVersionLast="47" xr6:coauthVersionMax="47" xr10:uidLastSave="{00000000-0000-0000-0000-000000000000}"/>
  <bookViews>
    <workbookView xWindow="0" yWindow="500" windowWidth="33600" windowHeight="21000" xr2:uid="{B12705CA-C1E0-6541-A9FB-7E6ADCFDA412}"/>
  </bookViews>
  <sheets>
    <sheet name="One Way Slab Design" sheetId="6" r:id="rId1"/>
    <sheet name="Concrete Stairway Design" sheetId="1" r:id="rId2"/>
    <sheet name="Beam Design" sheetId="16" r:id="rId3"/>
    <sheet name="Web Reinforcements Design" sheetId="10" r:id="rId4"/>
    <sheet name="Column Design" sheetId="9" r:id="rId5"/>
  </sheets>
  <definedNames>
    <definedName name="_xlnm.Print_Area" localSheetId="2">'Beam Design'!$A$1:$L$185</definedName>
    <definedName name="_xlnm.Print_Area" localSheetId="4">'Column Design'!$A$1:$L$100</definedName>
    <definedName name="_xlnm.Print_Area" localSheetId="1">'Concrete Stairway Design'!$A$1:$L$147</definedName>
    <definedName name="_xlnm.Print_Area" localSheetId="0">'One Way Slab Design'!$A$1:$L$279</definedName>
    <definedName name="_xlnm.Print_Area" localSheetId="3">'Web Reinforcements Design'!$A$1:$L$124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1" i="1" l="1"/>
  <c r="H111" i="1"/>
  <c r="I42" i="1"/>
  <c r="I44" i="1"/>
  <c r="C60" i="1"/>
  <c r="I52" i="1"/>
  <c r="G78" i="1" s="1"/>
  <c r="K145" i="1"/>
  <c r="G145" i="1"/>
  <c r="E130" i="1"/>
  <c r="E125" i="1"/>
  <c r="K86" i="1"/>
  <c r="L89" i="1"/>
  <c r="C118" i="16"/>
  <c r="J112" i="16"/>
  <c r="K96" i="16"/>
  <c r="K93" i="16"/>
  <c r="C62" i="16"/>
  <c r="J56" i="16"/>
  <c r="K44" i="16"/>
  <c r="K40" i="16"/>
  <c r="K37" i="16"/>
  <c r="I29" i="16"/>
  <c r="I20" i="16"/>
  <c r="J115" i="16" s="1"/>
  <c r="B13" i="16"/>
  <c r="K100" i="16" s="1"/>
  <c r="I12" i="16"/>
  <c r="C92" i="16" s="1"/>
  <c r="G93" i="16" s="1"/>
  <c r="K104" i="16" s="1"/>
  <c r="I11" i="16"/>
  <c r="C36" i="16" s="1"/>
  <c r="G37" i="16" s="1"/>
  <c r="K48" i="16" s="1"/>
  <c r="J6" i="16"/>
  <c r="A1" i="16"/>
  <c r="K86" i="9"/>
  <c r="N5" i="9"/>
  <c r="K90" i="9"/>
  <c r="K46" i="9"/>
  <c r="K49" i="9"/>
  <c r="J43" i="9"/>
  <c r="F43" i="9"/>
  <c r="C46" i="9"/>
  <c r="I11" i="9"/>
  <c r="I20" i="9"/>
  <c r="C36" i="9" s="1"/>
  <c r="C65" i="9" s="1"/>
  <c r="A1" i="9"/>
  <c r="A1" i="10"/>
  <c r="C97" i="1" l="1"/>
  <c r="G35" i="9"/>
  <c r="I38" i="9" s="1"/>
  <c r="I36" i="9"/>
  <c r="J59" i="16"/>
  <c r="L51" i="16"/>
  <c r="C59" i="16" s="1"/>
  <c r="G59" i="16" s="1"/>
  <c r="G60" i="16" s="1"/>
  <c r="C72" i="16" s="1"/>
  <c r="C77" i="16" s="1"/>
  <c r="C80" i="16" s="1"/>
  <c r="C84" i="16" s="1"/>
  <c r="L107" i="16"/>
  <c r="C115" i="16" s="1"/>
  <c r="G115" i="16" s="1"/>
  <c r="G116" i="16" s="1"/>
  <c r="K116" i="16" s="1"/>
  <c r="K117" i="16" s="1"/>
  <c r="L118" i="16" s="1"/>
  <c r="K114" i="16"/>
  <c r="C128" i="16"/>
  <c r="C133" i="16" s="1"/>
  <c r="C136" i="16" s="1"/>
  <c r="G129" i="16" s="1"/>
  <c r="K58" i="16"/>
  <c r="K59" i="16"/>
  <c r="K60" i="16"/>
  <c r="K61" i="16" s="1"/>
  <c r="L62" i="16" s="1"/>
  <c r="I35" i="9"/>
  <c r="F73" i="9"/>
  <c r="C86" i="9" s="1"/>
  <c r="K52" i="9"/>
  <c r="A58" i="9" s="1"/>
  <c r="F46" i="9"/>
  <c r="C35" i="9"/>
  <c r="H123" i="10"/>
  <c r="I92" i="10"/>
  <c r="I34" i="10"/>
  <c r="I21" i="10"/>
  <c r="I29" i="10" s="1"/>
  <c r="B15" i="10" s="1"/>
  <c r="I20" i="10"/>
  <c r="I11" i="10"/>
  <c r="B39" i="10" s="1"/>
  <c r="J6" i="10"/>
  <c r="J6" i="9"/>
  <c r="G209" i="6"/>
  <c r="G53" i="6"/>
  <c r="G131" i="6"/>
  <c r="A1" i="6"/>
  <c r="J6" i="6"/>
  <c r="I11" i="6"/>
  <c r="K11" i="6"/>
  <c r="I12" i="6"/>
  <c r="K12" i="6"/>
  <c r="I13" i="6"/>
  <c r="K13" i="6"/>
  <c r="B14" i="6"/>
  <c r="B15" i="6"/>
  <c r="I24" i="6" s="1"/>
  <c r="B20" i="6"/>
  <c r="I23" i="6"/>
  <c r="I33" i="6"/>
  <c r="C41" i="6"/>
  <c r="G41" i="6"/>
  <c r="A47" i="6"/>
  <c r="K72" i="6"/>
  <c r="K75" i="6"/>
  <c r="K79" i="6"/>
  <c r="I94" i="6"/>
  <c r="I178" i="6" s="1"/>
  <c r="C97" i="6"/>
  <c r="I97" i="6"/>
  <c r="C105" i="6"/>
  <c r="I105" i="6"/>
  <c r="L116" i="6"/>
  <c r="A117" i="6"/>
  <c r="E121" i="6"/>
  <c r="I121" i="6"/>
  <c r="K150" i="6"/>
  <c r="K153" i="6"/>
  <c r="K157" i="6"/>
  <c r="I172" i="6"/>
  <c r="C175" i="6"/>
  <c r="I175" i="6"/>
  <c r="C183" i="6"/>
  <c r="I183" i="6"/>
  <c r="L194" i="6"/>
  <c r="A195" i="6"/>
  <c r="E199" i="6"/>
  <c r="I199" i="6"/>
  <c r="B207" i="6"/>
  <c r="K228" i="6"/>
  <c r="K231" i="6"/>
  <c r="K235" i="6"/>
  <c r="I250" i="6"/>
  <c r="C253" i="6"/>
  <c r="I253" i="6"/>
  <c r="C261" i="6"/>
  <c r="I261" i="6"/>
  <c r="L272" i="6"/>
  <c r="A273" i="6"/>
  <c r="E277" i="6"/>
  <c r="I277" i="6"/>
  <c r="C44" i="6" l="1"/>
  <c r="K41" i="6" s="1"/>
  <c r="B205" i="6"/>
  <c r="B129" i="6"/>
  <c r="K115" i="16"/>
  <c r="G73" i="16"/>
  <c r="H129" i="16"/>
  <c r="H131" i="16"/>
  <c r="K128" i="16" s="1"/>
  <c r="G131" i="16"/>
  <c r="A64" i="16"/>
  <c r="C140" i="16"/>
  <c r="E85" i="16"/>
  <c r="E84" i="16"/>
  <c r="A120" i="16"/>
  <c r="H73" i="16"/>
  <c r="H75" i="16"/>
  <c r="K72" i="16" s="1"/>
  <c r="G75" i="16"/>
  <c r="I15" i="10"/>
  <c r="I39" i="10"/>
  <c r="F84" i="10" s="1"/>
  <c r="C59" i="10"/>
  <c r="C60" i="10"/>
  <c r="C76" i="10" s="1"/>
  <c r="C75" i="10"/>
  <c r="F68" i="10"/>
  <c r="F47" i="10"/>
  <c r="F100" i="10"/>
  <c r="F91" i="10"/>
  <c r="F92" i="10" s="1"/>
  <c r="I59" i="10"/>
  <c r="F59" i="10"/>
  <c r="F52" i="10"/>
  <c r="K42" i="6"/>
  <c r="N72" i="6"/>
  <c r="I100" i="6"/>
  <c r="I179" i="6" s="1"/>
  <c r="B51" i="6"/>
  <c r="C72" i="6" s="1"/>
  <c r="G72" i="6" s="1"/>
  <c r="K83" i="6" s="1"/>
  <c r="I256" i="6"/>
  <c r="I257" i="6"/>
  <c r="L29" i="1"/>
  <c r="D131" i="6" l="1"/>
  <c r="D209" i="6"/>
  <c r="D53" i="6"/>
  <c r="C150" i="6"/>
  <c r="G150" i="6" s="1"/>
  <c r="K161" i="6" s="1"/>
  <c r="C228" i="6"/>
  <c r="G228" i="6" s="1"/>
  <c r="K239" i="6" s="1"/>
  <c r="E141" i="16"/>
  <c r="E140" i="16"/>
  <c r="A143" i="16"/>
  <c r="J130" i="16"/>
  <c r="L128" i="16"/>
  <c r="J74" i="16"/>
  <c r="L72" i="16"/>
  <c r="K47" i="10"/>
  <c r="B40" i="10"/>
  <c r="L76" i="10"/>
  <c r="C91" i="10"/>
  <c r="C92" i="10" s="1"/>
  <c r="F60" i="10"/>
  <c r="F76" i="10" s="1"/>
  <c r="F75" i="10"/>
  <c r="I60" i="10"/>
  <c r="I76" i="10" s="1"/>
  <c r="I75" i="10"/>
  <c r="K52" i="10"/>
  <c r="O11" i="10" s="1"/>
  <c r="O10" i="10"/>
  <c r="B49" i="6"/>
  <c r="B127" i="6"/>
  <c r="G113" i="6"/>
  <c r="G191" i="6"/>
  <c r="G269" i="6"/>
  <c r="I101" i="6"/>
  <c r="L242" i="6"/>
  <c r="C250" i="6" s="1"/>
  <c r="L164" i="6"/>
  <c r="C172" i="6" s="1"/>
  <c r="L86" i="6"/>
  <c r="C94" i="6" s="1"/>
  <c r="N71" i="6"/>
  <c r="I122" i="6"/>
  <c r="I278" i="6"/>
  <c r="H264" i="6"/>
  <c r="H108" i="6"/>
  <c r="H186" i="6"/>
  <c r="I200" i="6"/>
  <c r="H127" i="1"/>
  <c r="G130" i="1"/>
  <c r="K75" i="10" l="1"/>
  <c r="D91" i="10"/>
  <c r="F65" i="10"/>
  <c r="F81" i="10"/>
  <c r="L75" i="10"/>
  <c r="D92" i="10"/>
  <c r="B92" i="10"/>
  <c r="F97" i="10"/>
  <c r="K76" i="10"/>
  <c r="B91" i="10"/>
  <c r="K65" i="10"/>
  <c r="K68" i="10"/>
  <c r="C178" i="6"/>
  <c r="C100" i="6"/>
  <c r="C256" i="6"/>
  <c r="I136" i="1"/>
  <c r="J132" i="1"/>
  <c r="I40" i="1"/>
  <c r="H30" i="1"/>
  <c r="O12" i="10" l="1"/>
  <c r="K84" i="10"/>
  <c r="K81" i="10"/>
  <c r="C179" i="6"/>
  <c r="C257" i="6"/>
  <c r="C101" i="6"/>
  <c r="A108" i="6" s="1"/>
  <c r="B121" i="1"/>
  <c r="E36" i="1"/>
  <c r="E31" i="1"/>
  <c r="I28" i="1"/>
  <c r="B27" i="1"/>
  <c r="G60" i="1"/>
  <c r="I100" i="1"/>
  <c r="C100" i="1"/>
  <c r="K79" i="1"/>
  <c r="K83" i="1"/>
  <c r="O13" i="10" l="1"/>
  <c r="K97" i="10"/>
  <c r="O14" i="10" s="1"/>
  <c r="K100" i="10"/>
  <c r="E122" i="6"/>
  <c r="E278" i="6"/>
  <c r="A264" i="6"/>
  <c r="E200" i="6"/>
  <c r="A186" i="6"/>
  <c r="K76" i="1"/>
  <c r="H121" i="10" l="1"/>
  <c r="A102" i="10"/>
  <c r="H120" i="10"/>
  <c r="I108" i="1"/>
  <c r="C108" i="1"/>
  <c r="I97" i="1"/>
  <c r="I103" i="1" s="1"/>
  <c r="I104" i="1" s="1"/>
  <c r="C63" i="1"/>
  <c r="C66" i="1" s="1"/>
  <c r="K60" i="1" s="1"/>
  <c r="I138" i="1" l="1"/>
  <c r="N75" i="1"/>
  <c r="C103" i="1"/>
  <c r="C104" i="1" s="1"/>
  <c r="K61" i="1"/>
  <c r="N76" i="1"/>
  <c r="C76" i="1"/>
  <c r="J134" i="1" l="1"/>
  <c r="K35" i="9" l="1"/>
  <c r="C49" i="9" s="1"/>
  <c r="C50" i="9" s="1"/>
  <c r="N46" i="9" l="1"/>
  <c r="G45" i="9" s="1"/>
  <c r="N45" i="9"/>
  <c r="G66" i="9"/>
  <c r="K66" i="9" s="1"/>
  <c r="L66" i="9" l="1"/>
  <c r="J68" i="9"/>
  <c r="G47" i="9"/>
  <c r="G48" i="9" s="1"/>
  <c r="E99" i="9" s="1"/>
  <c r="J99" i="9" s="1"/>
  <c r="G46" i="9"/>
  <c r="G55" i="9" l="1"/>
  <c r="I53" i="9"/>
  <c r="H49" i="9"/>
  <c r="A57" i="9" l="1"/>
  <c r="F99" i="9"/>
</calcChain>
</file>

<file path=xl/sharedStrings.xml><?xml version="1.0" encoding="utf-8"?>
<sst xmlns="http://schemas.openxmlformats.org/spreadsheetml/2006/main" count="1009" uniqueCount="371">
  <si>
    <t>DESIGN OF CONCRETE STAIRWAY</t>
  </si>
  <si>
    <t>Project Title:</t>
  </si>
  <si>
    <t>Project Location:</t>
  </si>
  <si>
    <t>Prepared by:</t>
  </si>
  <si>
    <t>Submitted to:</t>
  </si>
  <si>
    <t>MPa</t>
  </si>
  <si>
    <t>Compressive Strength of Concrete</t>
  </si>
  <si>
    <t>Yield Strength of Steel Bars</t>
  </si>
  <si>
    <t>Unit Weight of Concrete</t>
  </si>
  <si>
    <t>Reduction Factor</t>
  </si>
  <si>
    <r>
      <t>KN/m</t>
    </r>
    <r>
      <rPr>
        <vertAlign val="superscript"/>
        <sz val="8"/>
        <color theme="1"/>
        <rFont val="Century Gothic"/>
        <family val="1"/>
      </rPr>
      <t>3</t>
    </r>
  </si>
  <si>
    <t>KPa</t>
  </si>
  <si>
    <t>Live Load</t>
  </si>
  <si>
    <t>Miscellaneous Live Load</t>
  </si>
  <si>
    <t>Miscellaneous Dead Load</t>
  </si>
  <si>
    <t>STAIR DIMENSION AND DETAILS</t>
  </si>
  <si>
    <t>fc' =</t>
  </si>
  <si>
    <t>fy =</t>
  </si>
  <si>
    <r>
      <t>𝝲</t>
    </r>
    <r>
      <rPr>
        <vertAlign val="subscript"/>
        <sz val="8"/>
        <color theme="1"/>
        <rFont val="Century Gothic"/>
        <family val="1"/>
      </rPr>
      <t xml:space="preserve">c </t>
    </r>
    <r>
      <rPr>
        <sz val="8"/>
        <color theme="1"/>
        <rFont val="Century Gothic"/>
        <family val="1"/>
      </rPr>
      <t>=</t>
    </r>
  </si>
  <si>
    <t>LL =</t>
  </si>
  <si>
    <t>MLL =</t>
  </si>
  <si>
    <t>H =</t>
  </si>
  <si>
    <t>t =</t>
  </si>
  <si>
    <t>r =</t>
  </si>
  <si>
    <t>Length of Stairway</t>
  </si>
  <si>
    <t>Height of Stairway</t>
  </si>
  <si>
    <t>Length of Tread (run)</t>
  </si>
  <si>
    <t>Height of riser (rise)</t>
  </si>
  <si>
    <t>m</t>
  </si>
  <si>
    <t>mm</t>
  </si>
  <si>
    <t>Concrete Cover</t>
  </si>
  <si>
    <t>c. Factored Uniform Load</t>
  </si>
  <si>
    <r>
      <t>W</t>
    </r>
    <r>
      <rPr>
        <vertAlign val="subscript"/>
        <sz val="8"/>
        <color theme="1"/>
        <rFont val="Century Gothic"/>
        <family val="1"/>
      </rPr>
      <t>step</t>
    </r>
    <r>
      <rPr>
        <sz val="8"/>
        <color theme="1"/>
        <rFont val="Century Gothic"/>
        <family val="1"/>
      </rPr>
      <t xml:space="preserve"> =</t>
    </r>
  </si>
  <si>
    <r>
      <t>W</t>
    </r>
    <r>
      <rPr>
        <vertAlign val="subscript"/>
        <sz val="8"/>
        <color theme="1"/>
        <rFont val="Century Gothic"/>
        <family val="1"/>
      </rPr>
      <t>slab</t>
    </r>
    <r>
      <rPr>
        <sz val="8"/>
        <color theme="1"/>
        <rFont val="Century Gothic"/>
        <family val="1"/>
      </rPr>
      <t xml:space="preserve"> =</t>
    </r>
  </si>
  <si>
    <r>
      <t>1/2 (r) (𝝲</t>
    </r>
    <r>
      <rPr>
        <vertAlign val="subscript"/>
        <sz val="8"/>
        <color theme="1"/>
        <rFont val="Century Gothic"/>
        <family val="1"/>
      </rPr>
      <t>c</t>
    </r>
    <r>
      <rPr>
        <sz val="8"/>
        <color theme="1"/>
        <rFont val="Century Gothic"/>
        <family val="1"/>
      </rPr>
      <t>)</t>
    </r>
  </si>
  <si>
    <r>
      <t>h</t>
    </r>
    <r>
      <rPr>
        <vertAlign val="subscript"/>
        <sz val="8"/>
        <color theme="1"/>
        <rFont val="Century Gothic"/>
        <family val="1"/>
      </rPr>
      <t>min</t>
    </r>
    <r>
      <rPr>
        <sz val="8"/>
        <color theme="1"/>
        <rFont val="Century Gothic"/>
        <family val="1"/>
      </rPr>
      <t xml:space="preserve"> =</t>
    </r>
  </si>
  <si>
    <r>
      <t>h</t>
    </r>
    <r>
      <rPr>
        <b/>
        <vertAlign val="subscript"/>
        <sz val="8"/>
        <color theme="1"/>
        <rFont val="Century Gothic"/>
        <family val="1"/>
      </rPr>
      <t xml:space="preserve">min </t>
    </r>
    <r>
      <rPr>
        <b/>
        <sz val="8"/>
        <color theme="1"/>
        <rFont val="Century Gothic"/>
        <family val="1"/>
      </rPr>
      <t>=</t>
    </r>
  </si>
  <si>
    <r>
      <t>W</t>
    </r>
    <r>
      <rPr>
        <vertAlign val="subscript"/>
        <sz val="8"/>
        <color theme="1"/>
        <rFont val="Century Gothic"/>
        <family val="1"/>
      </rPr>
      <t>LL</t>
    </r>
    <r>
      <rPr>
        <sz val="8"/>
        <color theme="1"/>
        <rFont val="Century Gothic"/>
        <family val="1"/>
      </rPr>
      <t xml:space="preserve"> =</t>
    </r>
  </si>
  <si>
    <r>
      <t>W</t>
    </r>
    <r>
      <rPr>
        <vertAlign val="subscript"/>
        <sz val="8"/>
        <color theme="1"/>
        <rFont val="Century Gothic"/>
        <family val="1"/>
      </rPr>
      <t>DL</t>
    </r>
    <r>
      <rPr>
        <sz val="8"/>
        <color theme="1"/>
        <rFont val="Century Gothic"/>
        <family val="1"/>
      </rPr>
      <t xml:space="preserve"> =</t>
    </r>
  </si>
  <si>
    <r>
      <t>W</t>
    </r>
    <r>
      <rPr>
        <b/>
        <vertAlign val="subscript"/>
        <sz val="8"/>
        <color theme="1"/>
        <rFont val="Century Gothic"/>
        <family val="1"/>
      </rPr>
      <t>step</t>
    </r>
    <r>
      <rPr>
        <b/>
        <sz val="8"/>
        <color theme="1"/>
        <rFont val="Century Gothic"/>
        <family val="1"/>
      </rPr>
      <t xml:space="preserve"> =</t>
    </r>
  </si>
  <si>
    <r>
      <t>W</t>
    </r>
    <r>
      <rPr>
        <b/>
        <vertAlign val="subscript"/>
        <sz val="8"/>
        <color theme="1"/>
        <rFont val="Century Gothic"/>
        <family val="1"/>
      </rPr>
      <t>slab</t>
    </r>
    <r>
      <rPr>
        <b/>
        <sz val="8"/>
        <color theme="1"/>
        <rFont val="Century Gothic"/>
        <family val="1"/>
      </rPr>
      <t xml:space="preserve"> =</t>
    </r>
  </si>
  <si>
    <r>
      <t>W</t>
    </r>
    <r>
      <rPr>
        <b/>
        <vertAlign val="subscript"/>
        <sz val="8"/>
        <color theme="1"/>
        <rFont val="Century Gothic"/>
        <family val="1"/>
      </rPr>
      <t>DL</t>
    </r>
    <r>
      <rPr>
        <b/>
        <sz val="8"/>
        <color theme="1"/>
        <rFont val="Century Gothic"/>
        <family val="1"/>
      </rPr>
      <t xml:space="preserve"> =</t>
    </r>
  </si>
  <si>
    <r>
      <t>h/t √(r</t>
    </r>
    <r>
      <rPr>
        <vertAlign val="superscript"/>
        <sz val="8"/>
        <color theme="1"/>
        <rFont val="Century Gothic"/>
        <family val="1"/>
      </rPr>
      <t>2</t>
    </r>
    <r>
      <rPr>
        <sz val="8"/>
        <color theme="1"/>
        <rFont val="Century Gothic"/>
        <family val="1"/>
      </rPr>
      <t xml:space="preserve"> + t</t>
    </r>
    <r>
      <rPr>
        <vertAlign val="superscript"/>
        <sz val="8"/>
        <color theme="1"/>
        <rFont val="Century Gothic"/>
        <family val="1"/>
      </rPr>
      <t>2</t>
    </r>
    <r>
      <rPr>
        <sz val="8"/>
        <color theme="1"/>
        <rFont val="Century Gothic"/>
        <family val="1"/>
      </rPr>
      <t>)</t>
    </r>
    <r>
      <rPr>
        <vertAlign val="superscript"/>
        <sz val="8"/>
        <color theme="1"/>
        <rFont val="Century Gothic"/>
        <family val="1"/>
      </rPr>
      <t xml:space="preserve"> </t>
    </r>
    <r>
      <rPr>
        <sz val="8"/>
        <color theme="1"/>
        <rFont val="Century Gothic"/>
        <family val="1"/>
      </rPr>
      <t>(𝝲</t>
    </r>
    <r>
      <rPr>
        <vertAlign val="subscript"/>
        <sz val="8"/>
        <color theme="1"/>
        <rFont val="Century Gothic"/>
        <family val="1"/>
      </rPr>
      <t>c</t>
    </r>
    <r>
      <rPr>
        <sz val="8"/>
        <color theme="1"/>
        <rFont val="Century Gothic"/>
        <family val="1"/>
      </rPr>
      <t>)</t>
    </r>
  </si>
  <si>
    <r>
      <t>W</t>
    </r>
    <r>
      <rPr>
        <b/>
        <vertAlign val="subscript"/>
        <sz val="8"/>
        <color theme="1"/>
        <rFont val="Century Gothic"/>
        <family val="1"/>
      </rPr>
      <t>LL</t>
    </r>
    <r>
      <rPr>
        <b/>
        <sz val="8"/>
        <color theme="1"/>
        <rFont val="Century Gothic"/>
        <family val="1"/>
      </rPr>
      <t xml:space="preserve"> =</t>
    </r>
  </si>
  <si>
    <r>
      <t>LL + W</t>
    </r>
    <r>
      <rPr>
        <vertAlign val="subscript"/>
        <sz val="8"/>
        <color theme="1"/>
        <rFont val="Century Gothic"/>
        <family val="1"/>
      </rPr>
      <t>MLL</t>
    </r>
  </si>
  <si>
    <r>
      <t>1.2W</t>
    </r>
    <r>
      <rPr>
        <vertAlign val="subscript"/>
        <sz val="8"/>
        <color theme="1"/>
        <rFont val="Century Gothic"/>
        <family val="1"/>
      </rPr>
      <t>DL</t>
    </r>
    <r>
      <rPr>
        <sz val="8"/>
        <color theme="1"/>
        <rFont val="Century Gothic"/>
        <family val="1"/>
      </rPr>
      <t xml:space="preserve"> + 1.6W</t>
    </r>
    <r>
      <rPr>
        <vertAlign val="subscript"/>
        <sz val="8"/>
        <color theme="1"/>
        <rFont val="Century Gothic"/>
        <family val="1"/>
      </rPr>
      <t>LL</t>
    </r>
  </si>
  <si>
    <r>
      <t>W</t>
    </r>
    <r>
      <rPr>
        <vertAlign val="subscript"/>
        <sz val="8"/>
        <color theme="1"/>
        <rFont val="Century Gothic"/>
        <family val="1"/>
      </rPr>
      <t>u</t>
    </r>
    <r>
      <rPr>
        <sz val="8"/>
        <color theme="1"/>
        <rFont val="Century Gothic"/>
        <family val="1"/>
      </rPr>
      <t xml:space="preserve"> =</t>
    </r>
  </si>
  <si>
    <r>
      <t>W</t>
    </r>
    <r>
      <rPr>
        <b/>
        <vertAlign val="subscript"/>
        <sz val="8"/>
        <color theme="1"/>
        <rFont val="Century Gothic"/>
        <family val="1"/>
      </rPr>
      <t>u</t>
    </r>
    <r>
      <rPr>
        <b/>
        <sz val="8"/>
        <color theme="1"/>
        <rFont val="Century Gothic"/>
        <family val="1"/>
      </rPr>
      <t xml:space="preserve"> =</t>
    </r>
  </si>
  <si>
    <t>DESIGN CRITERIA AND SERVICE LOADS</t>
  </si>
  <si>
    <t>DEAD LOAD, LIVE LOAD, AND FACTORED UNIFORM LOAD</t>
  </si>
  <si>
    <t>d =</t>
  </si>
  <si>
    <t>cc =</t>
  </si>
  <si>
    <t>Minimum slab thickness for simply supported slab according to NSCP 2015:</t>
  </si>
  <si>
    <t>Effective depth of the stair slab considering 1 meter strip:</t>
  </si>
  <si>
    <t>MOMENT CAPACITY AND STEEL RATIO</t>
  </si>
  <si>
    <t>A. Moment Capacity</t>
  </si>
  <si>
    <r>
      <t>W</t>
    </r>
    <r>
      <rPr>
        <vertAlign val="subscript"/>
        <sz val="8"/>
        <color theme="1"/>
        <rFont val="Century Gothic"/>
        <family val="1"/>
      </rPr>
      <t>u</t>
    </r>
    <r>
      <rPr>
        <sz val="8"/>
        <color theme="1"/>
        <rFont val="Century Gothic"/>
        <family val="1"/>
      </rPr>
      <t>L</t>
    </r>
    <r>
      <rPr>
        <vertAlign val="superscript"/>
        <sz val="8"/>
        <color theme="1"/>
        <rFont val="Century Gothic"/>
        <family val="1"/>
      </rPr>
      <t>2</t>
    </r>
    <r>
      <rPr>
        <sz val="8"/>
        <color theme="1"/>
        <rFont val="Century Gothic"/>
        <family val="1"/>
      </rPr>
      <t>/8</t>
    </r>
  </si>
  <si>
    <r>
      <t>M</t>
    </r>
    <r>
      <rPr>
        <vertAlign val="subscript"/>
        <sz val="8"/>
        <color theme="1"/>
        <rFont val="Century Gothic"/>
        <family val="1"/>
      </rPr>
      <t>u</t>
    </r>
    <r>
      <rPr>
        <sz val="8"/>
        <color theme="1"/>
        <rFont val="Century Gothic"/>
        <family val="1"/>
      </rPr>
      <t xml:space="preserve"> =</t>
    </r>
  </si>
  <si>
    <r>
      <t>M</t>
    </r>
    <r>
      <rPr>
        <b/>
        <vertAlign val="subscript"/>
        <sz val="8"/>
        <color theme="1"/>
        <rFont val="Century Gothic"/>
        <family val="1"/>
      </rPr>
      <t>u</t>
    </r>
    <r>
      <rPr>
        <b/>
        <sz val="8"/>
        <color theme="1"/>
        <rFont val="Century Gothic"/>
        <family val="1"/>
      </rPr>
      <t xml:space="preserve"> =</t>
    </r>
  </si>
  <si>
    <t>KN-m</t>
  </si>
  <si>
    <t>KN/m</t>
  </si>
  <si>
    <t>B. 𝞈</t>
  </si>
  <si>
    <t>C. STEEL RATIO (𝞀)</t>
  </si>
  <si>
    <r>
      <t>𝞀</t>
    </r>
    <r>
      <rPr>
        <vertAlign val="subscript"/>
        <sz val="8"/>
        <color rgb="FF000000"/>
        <rFont val="Century Gothic"/>
        <family val="1"/>
      </rPr>
      <t>max</t>
    </r>
    <r>
      <rPr>
        <sz val="8"/>
        <color rgb="FF000000"/>
        <rFont val="Century Gothic"/>
        <family val="1"/>
      </rPr>
      <t xml:space="preserve"> =</t>
    </r>
  </si>
  <si>
    <r>
      <t>𝞀</t>
    </r>
    <r>
      <rPr>
        <b/>
        <vertAlign val="subscript"/>
        <sz val="8"/>
        <color rgb="FF000000"/>
        <rFont val="Century Gothic"/>
        <family val="1"/>
      </rPr>
      <t>max</t>
    </r>
    <r>
      <rPr>
        <b/>
        <sz val="8"/>
        <color rgb="FF000000"/>
        <rFont val="Century Gothic"/>
        <family val="1"/>
      </rPr>
      <t xml:space="preserve"> =</t>
    </r>
  </si>
  <si>
    <t>1.4/fy</t>
  </si>
  <si>
    <t>√(fc')/4(fy)</t>
  </si>
  <si>
    <r>
      <t>𝞀</t>
    </r>
    <r>
      <rPr>
        <vertAlign val="subscript"/>
        <sz val="8"/>
        <color theme="1"/>
        <rFont val="Century Gothic"/>
        <family val="1"/>
      </rPr>
      <t>actual</t>
    </r>
    <r>
      <rPr>
        <sz val="8"/>
        <color theme="1"/>
        <rFont val="Century Gothic"/>
        <family val="1"/>
      </rPr>
      <t xml:space="preserve"> =</t>
    </r>
  </si>
  <si>
    <t>𝞈fc'/fy</t>
  </si>
  <si>
    <r>
      <t>𝞀</t>
    </r>
    <r>
      <rPr>
        <b/>
        <vertAlign val="subscript"/>
        <sz val="8"/>
        <color theme="1"/>
        <rFont val="Century Gothic"/>
        <family val="1"/>
      </rPr>
      <t>actual</t>
    </r>
    <r>
      <rPr>
        <b/>
        <sz val="8"/>
        <color theme="1"/>
        <rFont val="Century Gothic"/>
        <family val="1"/>
      </rPr>
      <t xml:space="preserve"> =</t>
    </r>
  </si>
  <si>
    <t>𝝱 =</t>
  </si>
  <si>
    <t>b =</t>
  </si>
  <si>
    <t>1 meter strip of stair slab</t>
  </si>
  <si>
    <t>𝞈 =</t>
  </si>
  <si>
    <t>FUNCTION:</t>
  </si>
  <si>
    <t>M VALUE:</t>
  </si>
  <si>
    <r>
      <t>&lt; 𝞀</t>
    </r>
    <r>
      <rPr>
        <vertAlign val="subscript"/>
        <sz val="8"/>
        <color theme="1"/>
        <rFont val="Century Gothic"/>
        <family val="1"/>
      </rPr>
      <t>max</t>
    </r>
  </si>
  <si>
    <t>REINFORCEMENTS</t>
  </si>
  <si>
    <t xml:space="preserve">B. </t>
  </si>
  <si>
    <t>Diameter of Temperature Bars</t>
  </si>
  <si>
    <t>Diameter of Main Bars</t>
  </si>
  <si>
    <r>
      <t>d</t>
    </r>
    <r>
      <rPr>
        <vertAlign val="subscript"/>
        <sz val="8"/>
        <color theme="1"/>
        <rFont val="Century Gothic"/>
        <family val="1"/>
      </rPr>
      <t>bTEMP</t>
    </r>
    <r>
      <rPr>
        <sz val="8"/>
        <color theme="1"/>
        <rFont val="Century Gothic"/>
        <family val="1"/>
      </rPr>
      <t xml:space="preserve"> =</t>
    </r>
  </si>
  <si>
    <r>
      <t>d</t>
    </r>
    <r>
      <rPr>
        <vertAlign val="subscript"/>
        <sz val="8"/>
        <color theme="1"/>
        <rFont val="Century Gothic"/>
        <family val="1"/>
      </rPr>
      <t>bMAIN</t>
    </r>
    <r>
      <rPr>
        <sz val="8"/>
        <color theme="1"/>
        <rFont val="Century Gothic"/>
        <family val="1"/>
      </rPr>
      <t xml:space="preserve"> =</t>
    </r>
  </si>
  <si>
    <r>
      <t>h</t>
    </r>
    <r>
      <rPr>
        <vertAlign val="subscript"/>
        <sz val="8"/>
        <color theme="1"/>
        <rFont val="Century Gothic"/>
        <family val="1"/>
      </rPr>
      <t>min</t>
    </r>
    <r>
      <rPr>
        <sz val="8"/>
        <color theme="1"/>
        <rFont val="Century Gothic"/>
        <family val="1"/>
      </rPr>
      <t xml:space="preserve"> - cc - d</t>
    </r>
    <r>
      <rPr>
        <vertAlign val="subscript"/>
        <sz val="8"/>
        <color theme="1"/>
        <rFont val="Century Gothic"/>
        <family val="1"/>
      </rPr>
      <t>bMAIN</t>
    </r>
    <r>
      <rPr>
        <sz val="8"/>
        <color theme="1"/>
        <rFont val="Century Gothic"/>
        <family val="1"/>
      </rPr>
      <t>/2</t>
    </r>
  </si>
  <si>
    <t>A. Spacing of 12mm Main Bars:</t>
  </si>
  <si>
    <t>B. Spacing of 10mm Temperature Bars:</t>
  </si>
  <si>
    <r>
      <t>𝞀</t>
    </r>
    <r>
      <rPr>
        <vertAlign val="subscript"/>
        <sz val="8"/>
        <color theme="1"/>
        <rFont val="Century Gothic"/>
        <family val="1"/>
      </rPr>
      <t>actual</t>
    </r>
    <r>
      <rPr>
        <sz val="8"/>
        <color theme="1"/>
        <rFont val="Century Gothic"/>
        <family val="1"/>
      </rPr>
      <t>bd</t>
    </r>
  </si>
  <si>
    <r>
      <t>mm</t>
    </r>
    <r>
      <rPr>
        <vertAlign val="superscript"/>
        <sz val="8"/>
        <color theme="1"/>
        <rFont val="Century Gothic"/>
        <family val="1"/>
      </rPr>
      <t>2</t>
    </r>
  </si>
  <si>
    <r>
      <t>mm</t>
    </r>
    <r>
      <rPr>
        <b/>
        <vertAlign val="superscript"/>
        <sz val="8"/>
        <color theme="1"/>
        <rFont val="Century Gothic"/>
        <family val="1"/>
      </rPr>
      <t>2</t>
    </r>
  </si>
  <si>
    <r>
      <t>(𝝅/4)(d</t>
    </r>
    <r>
      <rPr>
        <vertAlign val="subscript"/>
        <sz val="8"/>
        <color theme="1"/>
        <rFont val="Century Gothic"/>
        <family val="1"/>
      </rPr>
      <t>bMAIN</t>
    </r>
    <r>
      <rPr>
        <vertAlign val="superscript"/>
        <sz val="8"/>
        <color theme="1"/>
        <rFont val="Century Gothic"/>
        <family val="1"/>
      </rPr>
      <t>2</t>
    </r>
    <r>
      <rPr>
        <sz val="8"/>
        <color theme="1"/>
        <rFont val="Century Gothic"/>
        <family val="1"/>
      </rPr>
      <t>)</t>
    </r>
  </si>
  <si>
    <t>S =</t>
  </si>
  <si>
    <r>
      <t>(A</t>
    </r>
    <r>
      <rPr>
        <vertAlign val="subscript"/>
        <sz val="8"/>
        <color theme="1"/>
        <rFont val="Century Gothic"/>
        <family val="1"/>
      </rPr>
      <t>bar</t>
    </r>
    <r>
      <rPr>
        <sz val="8"/>
        <color theme="1"/>
        <rFont val="Century Gothic"/>
        <family val="1"/>
      </rPr>
      <t>/A</t>
    </r>
    <r>
      <rPr>
        <vertAlign val="subscript"/>
        <sz val="8"/>
        <color theme="1"/>
        <rFont val="Century Gothic"/>
        <family val="1"/>
      </rPr>
      <t>s</t>
    </r>
    <r>
      <rPr>
        <sz val="8"/>
        <color theme="1"/>
        <rFont val="Century Gothic"/>
        <family val="1"/>
      </rPr>
      <t>)(1000)</t>
    </r>
  </si>
  <si>
    <t>0.002bh</t>
  </si>
  <si>
    <r>
      <t>(𝝅/4)(d</t>
    </r>
    <r>
      <rPr>
        <vertAlign val="subscript"/>
        <sz val="8"/>
        <color theme="1"/>
        <rFont val="Century Gothic"/>
        <family val="1"/>
      </rPr>
      <t>bTEMP</t>
    </r>
    <r>
      <rPr>
        <vertAlign val="superscript"/>
        <sz val="8"/>
        <color theme="1"/>
        <rFont val="Century Gothic"/>
        <family val="1"/>
      </rPr>
      <t>2</t>
    </r>
    <r>
      <rPr>
        <sz val="8"/>
        <color theme="1"/>
        <rFont val="Century Gothic"/>
        <family val="1"/>
      </rPr>
      <t>)</t>
    </r>
  </si>
  <si>
    <r>
      <rPr>
        <b/>
        <sz val="8"/>
        <color theme="1"/>
        <rFont val="Century Gothic"/>
        <family val="1"/>
      </rPr>
      <t>A.</t>
    </r>
    <r>
      <rPr>
        <sz val="8"/>
        <color theme="1"/>
        <rFont val="Century Gothic"/>
        <family val="1"/>
      </rPr>
      <t xml:space="preserve">        3h =</t>
    </r>
  </si>
  <si>
    <t>B.</t>
  </si>
  <si>
    <t>say S =</t>
  </si>
  <si>
    <t>Modern Farm House</t>
  </si>
  <si>
    <t>District 2, Gamu, Isabela</t>
  </si>
  <si>
    <t>Ricky John C. Guittu</t>
  </si>
  <si>
    <t>Engr. Cesar B. Vallejo</t>
  </si>
  <si>
    <r>
      <t>𝞀</t>
    </r>
    <r>
      <rPr>
        <vertAlign val="subscript"/>
        <sz val="8"/>
        <color theme="1"/>
        <rFont val="Century Gothic"/>
        <family val="1"/>
      </rPr>
      <t>min</t>
    </r>
    <r>
      <rPr>
        <sz val="8"/>
        <color theme="1"/>
        <rFont val="Century Gothic"/>
        <family val="1"/>
      </rPr>
      <t xml:space="preserve"> =</t>
    </r>
  </si>
  <si>
    <r>
      <t>𝞀</t>
    </r>
    <r>
      <rPr>
        <b/>
        <vertAlign val="subscript"/>
        <sz val="8"/>
        <color theme="1"/>
        <rFont val="Century Gothic"/>
        <family val="1"/>
      </rPr>
      <t>min</t>
    </r>
    <r>
      <rPr>
        <b/>
        <sz val="8"/>
        <color theme="1"/>
        <rFont val="Century Gothic"/>
        <family val="1"/>
      </rPr>
      <t xml:space="preserve"> =</t>
    </r>
  </si>
  <si>
    <t>A. Dead Load</t>
  </si>
  <si>
    <t>B. Live Load</t>
  </si>
  <si>
    <r>
      <t>𝝫 fc'bd</t>
    </r>
    <r>
      <rPr>
        <vertAlign val="superscript"/>
        <sz val="8"/>
        <color theme="1"/>
        <rFont val="Century Gothic"/>
        <family val="1"/>
      </rPr>
      <t>2</t>
    </r>
    <r>
      <rPr>
        <sz val="8"/>
        <color theme="1"/>
        <rFont val="Century Gothic"/>
        <family val="1"/>
      </rPr>
      <t>𝞈(1 - 0.59𝞈)</t>
    </r>
  </si>
  <si>
    <r>
      <rPr>
        <b/>
        <sz val="8"/>
        <color theme="1"/>
        <rFont val="Century Gothic"/>
        <family val="1"/>
      </rPr>
      <t>A.</t>
    </r>
    <r>
      <rPr>
        <sz val="8"/>
        <color theme="1"/>
        <rFont val="Century Gothic"/>
        <family val="1"/>
      </rPr>
      <t xml:space="preserve">     5h =</t>
    </r>
  </si>
  <si>
    <t>PLAN AND DETAILING</t>
  </si>
  <si>
    <t>Lw =</t>
  </si>
  <si>
    <t xml:space="preserve">       landing slab</t>
  </si>
  <si>
    <t>Isabela State University - City of Ilagan Campus</t>
  </si>
  <si>
    <t>Department of Civil Engineering</t>
  </si>
  <si>
    <t>School:</t>
  </si>
  <si>
    <t>Course:</t>
  </si>
  <si>
    <t>Sheet Content:</t>
  </si>
  <si>
    <t>Concrete Stairway Design</t>
  </si>
  <si>
    <t xml:space="preserve">            landing slab</t>
  </si>
  <si>
    <t>column</t>
  </si>
  <si>
    <t>bars spaced at</t>
  </si>
  <si>
    <t>spaced at</t>
  </si>
  <si>
    <t>PLAN</t>
  </si>
  <si>
    <t>DETAILING</t>
  </si>
  <si>
    <t>SLAB NAME HERE</t>
  </si>
  <si>
    <t>One Way Slab Design</t>
  </si>
  <si>
    <t>Slab:</t>
  </si>
  <si>
    <t>1/2:</t>
  </si>
  <si>
    <t>S1-A</t>
  </si>
  <si>
    <t>LL Name</t>
  </si>
  <si>
    <t>LL Value</t>
  </si>
  <si>
    <t>Ceramic Tile on 25 mm Bed</t>
  </si>
  <si>
    <t>SLAB DIMENSION AND DETAILS</t>
  </si>
  <si>
    <t>LL</t>
  </si>
  <si>
    <r>
      <t>h</t>
    </r>
    <r>
      <rPr>
        <vertAlign val="subscript"/>
        <sz val="8"/>
        <color theme="1"/>
        <rFont val="Century Gothic"/>
        <family val="1"/>
      </rPr>
      <t>min</t>
    </r>
    <r>
      <rPr>
        <sz val="8"/>
        <color theme="1"/>
        <rFont val="Century Gothic"/>
        <family val="1"/>
      </rPr>
      <t xml:space="preserve"> (b) (𝝲</t>
    </r>
    <r>
      <rPr>
        <vertAlign val="subscript"/>
        <sz val="8"/>
        <color theme="1"/>
        <rFont val="Century Gothic"/>
        <family val="1"/>
      </rPr>
      <t>c</t>
    </r>
    <r>
      <rPr>
        <sz val="8"/>
        <color theme="1"/>
        <rFont val="Century Gothic"/>
        <family val="1"/>
      </rPr>
      <t>)</t>
    </r>
  </si>
  <si>
    <t>L =</t>
  </si>
  <si>
    <t>Length of Span</t>
  </si>
  <si>
    <r>
      <t>h</t>
    </r>
    <r>
      <rPr>
        <b/>
        <vertAlign val="subscript"/>
        <sz val="8"/>
        <color theme="1"/>
        <rFont val="Century Gothic"/>
        <family val="1"/>
      </rPr>
      <t>min</t>
    </r>
    <r>
      <rPr>
        <b/>
        <sz val="8"/>
        <color theme="1"/>
        <rFont val="Century Gothic"/>
        <family val="1"/>
      </rPr>
      <t xml:space="preserve"> =</t>
    </r>
  </si>
  <si>
    <t>say</t>
  </si>
  <si>
    <r>
      <t>𝝫 R</t>
    </r>
    <r>
      <rPr>
        <vertAlign val="subscript"/>
        <sz val="8"/>
        <color theme="1"/>
        <rFont val="Century Gothic"/>
        <family val="1"/>
      </rPr>
      <t>n</t>
    </r>
    <r>
      <rPr>
        <sz val="8"/>
        <color theme="1"/>
        <rFont val="Century Gothic"/>
        <family val="1"/>
      </rPr>
      <t>bd</t>
    </r>
    <r>
      <rPr>
        <vertAlign val="superscript"/>
        <sz val="8"/>
        <color theme="1"/>
        <rFont val="Century Gothic"/>
        <family val="1"/>
      </rPr>
      <t>2</t>
    </r>
  </si>
  <si>
    <r>
      <t>R</t>
    </r>
    <r>
      <rPr>
        <b/>
        <vertAlign val="subscript"/>
        <sz val="8"/>
        <color theme="1"/>
        <rFont val="Century Gothic"/>
        <family val="1"/>
      </rPr>
      <t>n</t>
    </r>
    <r>
      <rPr>
        <b/>
        <sz val="8"/>
        <color theme="1"/>
        <rFont val="Century Gothic"/>
        <family val="1"/>
      </rPr>
      <t xml:space="preserve"> =</t>
    </r>
  </si>
  <si>
    <t>Span Length</t>
  </si>
  <si>
    <t>0.85(fc')   [1-√1-(2Rn)]</t>
  </si>
  <si>
    <t xml:space="preserve">        [0.008]                   [fy (fy+600)]</t>
  </si>
  <si>
    <r>
      <t>Therefore,  use 𝞀</t>
    </r>
    <r>
      <rPr>
        <vertAlign val="subscript"/>
        <sz val="8"/>
        <color theme="1"/>
        <rFont val="Century Gothic"/>
        <family val="1"/>
      </rPr>
      <t>min</t>
    </r>
    <r>
      <rPr>
        <sz val="8"/>
        <color theme="1"/>
        <rFont val="Century Gothic"/>
        <family val="1"/>
      </rPr>
      <t xml:space="preserve"> =</t>
    </r>
  </si>
  <si>
    <t>𝞀bd</t>
  </si>
  <si>
    <t>SLAB DETAILING</t>
  </si>
  <si>
    <t xml:space="preserve">       fy           0.85(fc')   </t>
  </si>
  <si>
    <t>MOMENT CAPACITY AND STEEL RATIO (AT MIDSPAN)</t>
  </si>
  <si>
    <r>
      <t>𝝲</t>
    </r>
    <r>
      <rPr>
        <vertAlign val="subscript"/>
        <sz val="8"/>
        <color theme="1"/>
        <rFont val="Century Gothic"/>
        <family val="1"/>
      </rPr>
      <t>c</t>
    </r>
    <r>
      <rPr>
        <sz val="8"/>
        <color theme="1"/>
        <rFont val="Century Gothic"/>
        <family val="1"/>
      </rPr>
      <t xml:space="preserve"> =</t>
    </r>
  </si>
  <si>
    <r>
      <t>Therefore,  use 𝞀</t>
    </r>
    <r>
      <rPr>
        <b/>
        <vertAlign val="subscript"/>
        <sz val="8"/>
        <color theme="1"/>
        <rFont val="Century Gothic"/>
        <family val="1"/>
      </rPr>
      <t>min</t>
    </r>
    <r>
      <rPr>
        <b/>
        <sz val="8"/>
        <color theme="1"/>
        <rFont val="Century Gothic"/>
        <family val="1"/>
      </rPr>
      <t xml:space="preserve"> =</t>
    </r>
  </si>
  <si>
    <r>
      <t>A</t>
    </r>
    <r>
      <rPr>
        <vertAlign val="subscript"/>
        <sz val="8"/>
        <color theme="1"/>
        <rFont val="Century Gothic"/>
        <family val="1"/>
      </rPr>
      <t>s</t>
    </r>
    <r>
      <rPr>
        <sz val="8"/>
        <color theme="1"/>
        <rFont val="Century Gothic"/>
        <family val="1"/>
      </rPr>
      <t xml:space="preserve"> =</t>
    </r>
  </si>
  <si>
    <r>
      <t>A</t>
    </r>
    <r>
      <rPr>
        <b/>
        <vertAlign val="subscript"/>
        <sz val="8"/>
        <color theme="1"/>
        <rFont val="Century Gothic"/>
        <family val="1"/>
      </rPr>
      <t>s</t>
    </r>
    <r>
      <rPr>
        <b/>
        <sz val="8"/>
        <color theme="1"/>
        <rFont val="Century Gothic"/>
        <family val="1"/>
      </rPr>
      <t xml:space="preserve"> =</t>
    </r>
  </si>
  <si>
    <r>
      <t>A</t>
    </r>
    <r>
      <rPr>
        <vertAlign val="subscript"/>
        <sz val="8"/>
        <color theme="1"/>
        <rFont val="Century Gothic"/>
        <family val="1"/>
      </rPr>
      <t>bar</t>
    </r>
    <r>
      <rPr>
        <sz val="8"/>
        <color theme="1"/>
        <rFont val="Century Gothic"/>
        <family val="1"/>
      </rPr>
      <t xml:space="preserve"> =</t>
    </r>
  </si>
  <si>
    <r>
      <t>A</t>
    </r>
    <r>
      <rPr>
        <b/>
        <vertAlign val="subscript"/>
        <sz val="8"/>
        <color theme="1"/>
        <rFont val="Century Gothic"/>
        <family val="1"/>
      </rPr>
      <t>bar</t>
    </r>
    <r>
      <rPr>
        <b/>
        <sz val="8"/>
        <color theme="1"/>
        <rFont val="Century Gothic"/>
        <family val="1"/>
      </rPr>
      <t xml:space="preserve"> =</t>
    </r>
  </si>
  <si>
    <r>
      <t>𝞀</t>
    </r>
    <r>
      <rPr>
        <b/>
        <vertAlign val="subscript"/>
        <sz val="8"/>
        <color rgb="FF000000"/>
        <rFont val="Century Gothic"/>
        <family val="1"/>
      </rPr>
      <t xml:space="preserve">max </t>
    </r>
    <r>
      <rPr>
        <b/>
        <sz val="8"/>
        <color rgb="FF000000"/>
        <rFont val="Century Gothic"/>
        <family val="1"/>
      </rPr>
      <t>=</t>
    </r>
  </si>
  <si>
    <r>
      <t>𝞀</t>
    </r>
    <r>
      <rPr>
        <b/>
        <vertAlign val="subscript"/>
        <sz val="8"/>
        <color theme="1"/>
        <rFont val="Century Gothic"/>
        <family val="1"/>
      </rPr>
      <t xml:space="preserve">actual </t>
    </r>
    <r>
      <rPr>
        <b/>
        <sz val="8"/>
        <color theme="1"/>
        <rFont val="Century Gothic"/>
        <family val="1"/>
      </rPr>
      <t>=</t>
    </r>
  </si>
  <si>
    <t>A.    5h =</t>
  </si>
  <si>
    <t>MOMENT CAPACITY AND STEEL RATIO (AT CONTINUOUS SUPPORT)</t>
  </si>
  <si>
    <r>
      <t>&lt; 𝞀</t>
    </r>
    <r>
      <rPr>
        <vertAlign val="subscript"/>
        <sz val="8"/>
        <color theme="1"/>
        <rFont val="Century Gothic"/>
        <family val="1"/>
      </rPr>
      <t>min</t>
    </r>
    <r>
      <rPr>
        <sz val="8"/>
        <color theme="1"/>
        <rFont val="Century Gothic"/>
        <family val="1"/>
      </rPr>
      <t xml:space="preserve">                        </t>
    </r>
    <r>
      <rPr>
        <b/>
        <sz val="8"/>
        <color theme="1"/>
        <rFont val="Century Gothic"/>
        <family val="1"/>
      </rPr>
      <t>not ok!</t>
    </r>
  </si>
  <si>
    <t>[(0.003 + fy/Es)]     [(𝝱) (0.85) (fc') (600)]</t>
  </si>
  <si>
    <t xml:space="preserve">       [0.008]                    [fy (fy+600)]</t>
  </si>
  <si>
    <t>A.       3h =</t>
  </si>
  <si>
    <r>
      <t>DL</t>
    </r>
    <r>
      <rPr>
        <vertAlign val="subscript"/>
        <sz val="8"/>
        <color theme="1"/>
        <rFont val="Century Gothic"/>
        <family val="1"/>
      </rPr>
      <t>FLOOR FINISH</t>
    </r>
    <r>
      <rPr>
        <sz val="8"/>
        <color theme="1"/>
        <rFont val="Century Gothic"/>
        <family val="1"/>
      </rPr>
      <t xml:space="preserve"> =</t>
    </r>
  </si>
  <si>
    <r>
      <t>DL</t>
    </r>
    <r>
      <rPr>
        <vertAlign val="subscript"/>
        <sz val="8"/>
        <color theme="1"/>
        <rFont val="Century Gothic"/>
        <family val="1"/>
      </rPr>
      <t>CEILING</t>
    </r>
    <r>
      <rPr>
        <sz val="8"/>
        <color theme="1"/>
        <rFont val="Century Gothic"/>
        <family val="1"/>
      </rPr>
      <t xml:space="preserve"> =</t>
    </r>
  </si>
  <si>
    <t>Floor Finish Name</t>
  </si>
  <si>
    <t>FF  Value</t>
  </si>
  <si>
    <t>Ceiling Finish Name</t>
  </si>
  <si>
    <t>CF Value</t>
  </si>
  <si>
    <t>BEAM NAME HERE</t>
  </si>
  <si>
    <t>Beam Design</t>
  </si>
  <si>
    <t>Beam:</t>
  </si>
  <si>
    <r>
      <t>W</t>
    </r>
    <r>
      <rPr>
        <vertAlign val="subscript"/>
        <sz val="8"/>
        <color theme="1"/>
        <rFont val="Century Gothic"/>
        <family val="1"/>
      </rPr>
      <t>slab</t>
    </r>
    <r>
      <rPr>
        <sz val="8"/>
        <color theme="1"/>
        <rFont val="Century Gothic"/>
        <family val="1"/>
      </rPr>
      <t xml:space="preserve"> + DL</t>
    </r>
    <r>
      <rPr>
        <vertAlign val="subscript"/>
        <sz val="8"/>
        <color theme="1"/>
        <rFont val="Century Gothic"/>
        <family val="1"/>
      </rPr>
      <t>FLOOR FINISH</t>
    </r>
    <r>
      <rPr>
        <sz val="8"/>
        <color theme="1"/>
        <rFont val="Century Gothic"/>
        <family val="1"/>
      </rPr>
      <t xml:space="preserve"> + DL</t>
    </r>
    <r>
      <rPr>
        <vertAlign val="subscript"/>
        <sz val="8"/>
        <color theme="1"/>
        <rFont val="Century Gothic"/>
        <family val="1"/>
      </rPr>
      <t>CEILING</t>
    </r>
  </si>
  <si>
    <r>
      <t>&lt; 𝞀</t>
    </r>
    <r>
      <rPr>
        <vertAlign val="subscript"/>
        <sz val="8"/>
        <color theme="1"/>
        <rFont val="Century Gothic"/>
        <family val="1"/>
      </rPr>
      <t>min</t>
    </r>
    <r>
      <rPr>
        <sz val="8"/>
        <color theme="1"/>
        <rFont val="Century Gothic"/>
        <family val="1"/>
      </rPr>
      <t xml:space="preserve">                       </t>
    </r>
    <r>
      <rPr>
        <b/>
        <sz val="8"/>
        <color theme="1"/>
        <rFont val="Century Gothic"/>
        <family val="1"/>
      </rPr>
      <t xml:space="preserve"> not ok!</t>
    </r>
  </si>
  <si>
    <t xml:space="preserve">  [(0.003 + fy/Es)]    [(𝝱) (0.85) (fc') (600)]</t>
  </si>
  <si>
    <t xml:space="preserve">        [0.008]                       [fy (fy+600)]</t>
  </si>
  <si>
    <t xml:space="preserve">     fy           0.85(fc')   </t>
  </si>
  <si>
    <t xml:space="preserve">  [(0.003 + fy/Es)]     [(𝝱) (0.85) (fc') (600)]</t>
  </si>
  <si>
    <t xml:space="preserve">        [0.008]                      [fy (fy+600)]</t>
  </si>
  <si>
    <t xml:space="preserve">Dead Load </t>
  </si>
  <si>
    <r>
      <t>W</t>
    </r>
    <r>
      <rPr>
        <vertAlign val="subscript"/>
        <sz val="8"/>
        <color theme="1"/>
        <rFont val="Century Gothic"/>
        <family val="1"/>
      </rPr>
      <t>step</t>
    </r>
    <r>
      <rPr>
        <sz val="8"/>
        <color theme="1"/>
        <rFont val="Century Gothic"/>
        <family val="1"/>
      </rPr>
      <t xml:space="preserve"> + W</t>
    </r>
    <r>
      <rPr>
        <vertAlign val="subscript"/>
        <sz val="8"/>
        <color theme="1"/>
        <rFont val="Century Gothic"/>
        <family val="1"/>
      </rPr>
      <t>slab</t>
    </r>
    <r>
      <rPr>
        <sz val="8"/>
        <color theme="1"/>
        <rFont val="Century Gothic"/>
        <family val="1"/>
      </rPr>
      <t xml:space="preserve"> + DL</t>
    </r>
    <r>
      <rPr>
        <vertAlign val="subscript"/>
        <sz val="8"/>
        <color theme="1"/>
        <rFont val="Century Gothic"/>
        <family val="1"/>
      </rPr>
      <t>FLOOR FINISH</t>
    </r>
    <r>
      <rPr>
        <sz val="8"/>
        <color theme="1"/>
        <rFont val="Century Gothic"/>
        <family val="1"/>
      </rPr>
      <t xml:space="preserve"> + DL</t>
    </r>
    <r>
      <rPr>
        <vertAlign val="subscript"/>
        <sz val="8"/>
        <color theme="1"/>
        <rFont val="Century Gothic"/>
        <family val="1"/>
      </rPr>
      <t>MISCALLANEOUS</t>
    </r>
  </si>
  <si>
    <r>
      <t>DL</t>
    </r>
    <r>
      <rPr>
        <vertAlign val="subscript"/>
        <sz val="8"/>
        <color theme="1"/>
        <rFont val="Century Gothic"/>
        <family val="1"/>
      </rPr>
      <t>MISCALLANEOUS</t>
    </r>
    <r>
      <rPr>
        <sz val="8"/>
        <color theme="1"/>
        <rFont val="Century Gothic"/>
        <family val="1"/>
      </rPr>
      <t xml:space="preserve"> =</t>
    </r>
  </si>
  <si>
    <t>407.3.1.1.1: For fy other than 420 MPa, the expression shall be multiplied by [0.4 + fy/700]</t>
  </si>
  <si>
    <r>
      <t>M</t>
    </r>
    <r>
      <rPr>
        <vertAlign val="subscript"/>
        <sz val="8"/>
        <color theme="1"/>
        <rFont val="Century Gothic"/>
        <family val="1"/>
      </rPr>
      <t>uSUPPORT</t>
    </r>
    <r>
      <rPr>
        <sz val="8"/>
        <color theme="1"/>
        <rFont val="Century Gothic"/>
        <family val="1"/>
      </rPr>
      <t xml:space="preserve"> =</t>
    </r>
  </si>
  <si>
    <r>
      <t>d</t>
    </r>
    <r>
      <rPr>
        <vertAlign val="subscript"/>
        <sz val="8"/>
        <color theme="1"/>
        <rFont val="Century Gothic"/>
        <family val="1"/>
      </rPr>
      <t>b</t>
    </r>
    <r>
      <rPr>
        <sz val="8"/>
        <color theme="1"/>
        <rFont val="Century Gothic"/>
        <family val="1"/>
      </rPr>
      <t xml:space="preserve"> =</t>
    </r>
  </si>
  <si>
    <r>
      <t>M</t>
    </r>
    <r>
      <rPr>
        <vertAlign val="subscript"/>
        <sz val="8"/>
        <color theme="1"/>
        <rFont val="Century Gothic"/>
        <family val="1"/>
      </rPr>
      <t>uMIDSPAN</t>
    </r>
    <r>
      <rPr>
        <sz val="8"/>
        <color theme="1"/>
        <rFont val="Century Gothic"/>
        <family val="1"/>
      </rPr>
      <t xml:space="preserve"> =</t>
    </r>
  </si>
  <si>
    <t>h =</t>
  </si>
  <si>
    <t>Mu support</t>
  </si>
  <si>
    <t>Mu midspan</t>
  </si>
  <si>
    <t>h</t>
  </si>
  <si>
    <t>b</t>
  </si>
  <si>
    <t>BEAM DIMENSION AND DETAILS</t>
  </si>
  <si>
    <t>Moment at Midspan</t>
  </si>
  <si>
    <t>Moment at Support</t>
  </si>
  <si>
    <t>Base of Beam</t>
  </si>
  <si>
    <r>
      <t>d</t>
    </r>
    <r>
      <rPr>
        <vertAlign val="subscript"/>
        <sz val="8"/>
        <color theme="1"/>
        <rFont val="Century Gothic"/>
        <family val="1"/>
      </rPr>
      <t>s</t>
    </r>
    <r>
      <rPr>
        <sz val="8"/>
        <color theme="1"/>
        <rFont val="Century Gothic"/>
        <family val="1"/>
      </rPr>
      <t xml:space="preserve"> =</t>
    </r>
  </si>
  <si>
    <t>Diameter of Stirrups</t>
  </si>
  <si>
    <r>
      <t>h</t>
    </r>
    <r>
      <rPr>
        <vertAlign val="subscript"/>
        <sz val="8"/>
        <color theme="1"/>
        <rFont val="Century Gothic"/>
        <family val="1"/>
      </rPr>
      <t>min</t>
    </r>
    <r>
      <rPr>
        <sz val="8"/>
        <color theme="1"/>
        <rFont val="Century Gothic"/>
        <family val="1"/>
      </rPr>
      <t xml:space="preserve"> - cc - d</t>
    </r>
    <r>
      <rPr>
        <vertAlign val="subscript"/>
        <sz val="8"/>
        <color theme="1"/>
        <rFont val="Century Gothic"/>
        <family val="1"/>
      </rPr>
      <t>s</t>
    </r>
    <r>
      <rPr>
        <sz val="8"/>
        <color theme="1"/>
        <rFont val="Century Gothic"/>
        <family val="1"/>
      </rPr>
      <t xml:space="preserve"> - d</t>
    </r>
    <r>
      <rPr>
        <vertAlign val="subscript"/>
        <sz val="8"/>
        <color theme="1"/>
        <rFont val="Century Gothic"/>
        <family val="1"/>
      </rPr>
      <t>b</t>
    </r>
    <r>
      <rPr>
        <sz val="8"/>
        <color theme="1"/>
        <rFont val="Century Gothic"/>
        <family val="1"/>
      </rPr>
      <t>/2</t>
    </r>
  </si>
  <si>
    <t>Total Depth of Beam</t>
  </si>
  <si>
    <r>
      <t>B. R</t>
    </r>
    <r>
      <rPr>
        <b/>
        <vertAlign val="subscript"/>
        <sz val="8"/>
        <color theme="1"/>
        <rFont val="Century Gothic"/>
        <family val="1"/>
      </rPr>
      <t>n</t>
    </r>
  </si>
  <si>
    <t>A. Moment at Support</t>
  </si>
  <si>
    <t>Effective depth of the beam:</t>
  </si>
  <si>
    <t>STEEL RATIO (AT SUPPORT)</t>
  </si>
  <si>
    <r>
      <t>(𝝅/4)(d</t>
    </r>
    <r>
      <rPr>
        <vertAlign val="subscript"/>
        <sz val="8"/>
        <color theme="1"/>
        <rFont val="Century Gothic"/>
        <family val="1"/>
      </rPr>
      <t>b</t>
    </r>
    <r>
      <rPr>
        <vertAlign val="superscript"/>
        <sz val="8"/>
        <color theme="1"/>
        <rFont val="Century Gothic"/>
        <family val="1"/>
      </rPr>
      <t>2</t>
    </r>
    <r>
      <rPr>
        <sz val="8"/>
        <color theme="1"/>
        <rFont val="Century Gothic"/>
        <family val="1"/>
      </rPr>
      <t>)</t>
    </r>
  </si>
  <si>
    <r>
      <t>N</t>
    </r>
    <r>
      <rPr>
        <vertAlign val="subscript"/>
        <sz val="8"/>
        <color theme="1"/>
        <rFont val="Century Gothic"/>
        <family val="1"/>
      </rPr>
      <t>16</t>
    </r>
    <r>
      <rPr>
        <sz val="8"/>
        <color theme="1"/>
        <rFont val="Century Gothic"/>
        <family val="1"/>
      </rPr>
      <t xml:space="preserve"> =</t>
    </r>
  </si>
  <si>
    <t>B. Number of Steel Bars</t>
  </si>
  <si>
    <t>pieces</t>
  </si>
  <si>
    <r>
      <t>say N</t>
    </r>
    <r>
      <rPr>
        <b/>
        <vertAlign val="subscript"/>
        <sz val="8"/>
        <color theme="1"/>
        <rFont val="Century Gothic"/>
        <family val="1"/>
      </rPr>
      <t>16</t>
    </r>
    <r>
      <rPr>
        <b/>
        <sz val="8"/>
        <color theme="1"/>
        <rFont val="Century Gothic"/>
        <family val="1"/>
      </rPr>
      <t xml:space="preserve"> =</t>
    </r>
  </si>
  <si>
    <t>Maximum Spacing according to NSCP 2015 Specifications:</t>
  </si>
  <si>
    <r>
      <t>A</t>
    </r>
    <r>
      <rPr>
        <vertAlign val="subscript"/>
        <sz val="8"/>
        <color theme="1"/>
        <rFont val="Century Gothic"/>
        <family val="1"/>
      </rPr>
      <t xml:space="preserve">s </t>
    </r>
    <r>
      <rPr>
        <sz val="8"/>
        <color theme="1"/>
        <rFont val="Century Gothic"/>
        <family val="1"/>
      </rPr>
      <t>/A</t>
    </r>
    <r>
      <rPr>
        <vertAlign val="subscript"/>
        <sz val="8"/>
        <color theme="1"/>
        <rFont val="Century Gothic"/>
        <family val="1"/>
      </rPr>
      <t>bar</t>
    </r>
  </si>
  <si>
    <t>A. Area of Steel Bars</t>
  </si>
  <si>
    <t>INVESTIGATION OF THE MOMENT CAPACITY (AT SUPPORT)</t>
  </si>
  <si>
    <t>C =</t>
  </si>
  <si>
    <t>T</t>
  </si>
  <si>
    <t>0.85fc'ab =</t>
  </si>
  <si>
    <t>a =</t>
  </si>
  <si>
    <t>𝝱c</t>
  </si>
  <si>
    <t>c =</t>
  </si>
  <si>
    <t>A. Stress acting on Steel Bars</t>
  </si>
  <si>
    <t>fs =</t>
  </si>
  <si>
    <t>600 [(d-c)]</t>
  </si>
  <si>
    <t xml:space="preserve">          c</t>
  </si>
  <si>
    <t>B. Strain of Steel Bars</t>
  </si>
  <si>
    <t>d-c</t>
  </si>
  <si>
    <r>
      <t xml:space="preserve"> 𝝴</t>
    </r>
    <r>
      <rPr>
        <vertAlign val="subscript"/>
        <sz val="8"/>
        <color theme="1"/>
        <rFont val="Century Gothic"/>
        <family val="1"/>
      </rPr>
      <t>t</t>
    </r>
  </si>
  <si>
    <r>
      <t xml:space="preserve"> 𝝴</t>
    </r>
    <r>
      <rPr>
        <b/>
        <vertAlign val="subscript"/>
        <sz val="8"/>
        <color theme="1"/>
        <rFont val="Century Gothic"/>
        <family val="1"/>
      </rPr>
      <t>t</t>
    </r>
    <r>
      <rPr>
        <b/>
        <sz val="8"/>
        <color theme="1"/>
        <rFont val="Century Gothic"/>
        <family val="1"/>
      </rPr>
      <t xml:space="preserve">  =</t>
    </r>
  </si>
  <si>
    <t>C. Moment Capacity of the Beam (at Support)</t>
  </si>
  <si>
    <r>
      <t>N</t>
    </r>
    <r>
      <rPr>
        <vertAlign val="subscript"/>
        <sz val="8"/>
        <color theme="1"/>
        <rFont val="Century Gothic"/>
        <family val="1"/>
      </rPr>
      <t xml:space="preserve">16 </t>
    </r>
    <r>
      <rPr>
        <sz val="8"/>
        <color theme="1"/>
        <rFont val="Century Gothic"/>
        <family val="1"/>
      </rPr>
      <t>(𝝅/4)(d</t>
    </r>
    <r>
      <rPr>
        <vertAlign val="subscript"/>
        <sz val="8"/>
        <color theme="1"/>
        <rFont val="Century Gothic"/>
        <family val="1"/>
      </rPr>
      <t>b</t>
    </r>
    <r>
      <rPr>
        <vertAlign val="superscript"/>
        <sz val="8"/>
        <color theme="1"/>
        <rFont val="Century Gothic"/>
        <family val="1"/>
      </rPr>
      <t>2</t>
    </r>
    <r>
      <rPr>
        <sz val="8"/>
        <color theme="1"/>
        <rFont val="Century Gothic"/>
        <family val="1"/>
      </rPr>
      <t>)</t>
    </r>
  </si>
  <si>
    <r>
      <t>A</t>
    </r>
    <r>
      <rPr>
        <vertAlign val="subscript"/>
        <sz val="8"/>
        <color theme="1"/>
        <rFont val="Century Gothic"/>
        <family val="1"/>
      </rPr>
      <t>sACTUAL</t>
    </r>
    <r>
      <rPr>
        <sz val="8"/>
        <color theme="1"/>
        <rFont val="Century Gothic"/>
        <family val="1"/>
      </rPr>
      <t xml:space="preserve"> =</t>
    </r>
  </si>
  <si>
    <r>
      <t>A</t>
    </r>
    <r>
      <rPr>
        <b/>
        <vertAlign val="subscript"/>
        <sz val="8"/>
        <color theme="1"/>
        <rFont val="Century Gothic"/>
        <family val="1"/>
      </rPr>
      <t>sACTUAL</t>
    </r>
    <r>
      <rPr>
        <b/>
        <sz val="8"/>
        <color theme="1"/>
        <rFont val="Century Gothic"/>
        <family val="1"/>
      </rPr>
      <t xml:space="preserve"> =</t>
    </r>
  </si>
  <si>
    <r>
      <t>A</t>
    </r>
    <r>
      <rPr>
        <vertAlign val="subscript"/>
        <sz val="8"/>
        <color theme="1"/>
        <rFont val="Century Gothic"/>
        <family val="1"/>
      </rPr>
      <t>sACTUAL</t>
    </r>
    <r>
      <rPr>
        <sz val="8"/>
        <color theme="1"/>
        <rFont val="Century Gothic"/>
        <family val="1"/>
      </rPr>
      <t>fy</t>
    </r>
  </si>
  <si>
    <r>
      <t>𝞍A</t>
    </r>
    <r>
      <rPr>
        <vertAlign val="subscript"/>
        <sz val="8"/>
        <color theme="1"/>
        <rFont val="Century Gothic"/>
        <family val="1"/>
      </rPr>
      <t>sACTUAL</t>
    </r>
    <r>
      <rPr>
        <sz val="8"/>
        <color theme="1"/>
        <rFont val="Century Gothic"/>
        <family val="1"/>
      </rPr>
      <t>fy (d - a/2)</t>
    </r>
  </si>
  <si>
    <r>
      <t>M</t>
    </r>
    <r>
      <rPr>
        <vertAlign val="subscript"/>
        <sz val="8"/>
        <color theme="1"/>
        <rFont val="Century Gothic"/>
        <family val="1"/>
      </rPr>
      <t>uCAPACITY</t>
    </r>
    <r>
      <rPr>
        <sz val="8"/>
        <color theme="1"/>
        <rFont val="Century Gothic"/>
        <family val="1"/>
      </rPr>
      <t xml:space="preserve"> =</t>
    </r>
  </si>
  <si>
    <r>
      <t>M</t>
    </r>
    <r>
      <rPr>
        <b/>
        <vertAlign val="subscript"/>
        <sz val="8"/>
        <color theme="1"/>
        <rFont val="Century Gothic"/>
        <family val="1"/>
      </rPr>
      <t>uCAPACITY</t>
    </r>
    <r>
      <rPr>
        <b/>
        <sz val="8"/>
        <color theme="1"/>
        <rFont val="Century Gothic"/>
        <family val="1"/>
      </rPr>
      <t xml:space="preserve"> =</t>
    </r>
  </si>
  <si>
    <t>[(0.003 + fy/Es)]    [(𝝱) (0.85) (fc') (600)]</t>
  </si>
  <si>
    <t>c  =</t>
  </si>
  <si>
    <r>
      <t xml:space="preserve">       𝝴</t>
    </r>
    <r>
      <rPr>
        <vertAlign val="subscript"/>
        <sz val="8"/>
        <color theme="1"/>
        <rFont val="Century Gothic"/>
        <family val="1"/>
      </rPr>
      <t>u</t>
    </r>
    <r>
      <rPr>
        <sz val="8"/>
        <color theme="1"/>
        <rFont val="Century Gothic"/>
        <family val="1"/>
      </rPr>
      <t xml:space="preserve">    </t>
    </r>
  </si>
  <si>
    <t>L (shorter)</t>
  </si>
  <si>
    <r>
      <t>W</t>
    </r>
    <r>
      <rPr>
        <vertAlign val="subscript"/>
        <sz val="8"/>
        <color rgb="FFFF0000"/>
        <rFont val="Century Gothic"/>
        <family val="1"/>
      </rPr>
      <t>u</t>
    </r>
    <r>
      <rPr>
        <sz val="8"/>
        <color rgb="FFFF0000"/>
        <rFont val="Century Gothic"/>
        <family val="1"/>
      </rPr>
      <t>L</t>
    </r>
    <r>
      <rPr>
        <vertAlign val="superscript"/>
        <sz val="8"/>
        <color rgb="FFFF0000"/>
        <rFont val="Century Gothic"/>
        <family val="1"/>
      </rPr>
      <t>2</t>
    </r>
    <r>
      <rPr>
        <sz val="8"/>
        <color rgb="FFFF0000"/>
        <rFont val="Century Gothic"/>
        <family val="1"/>
      </rPr>
      <t>/10</t>
    </r>
  </si>
  <si>
    <t>KN</t>
  </si>
  <si>
    <t>STEEL RATIO (AT MIDSPAN)</t>
  </si>
  <si>
    <t xml:space="preserve"> 𝝴t  =</t>
  </si>
  <si>
    <t>A. Moment at Midspan</t>
  </si>
  <si>
    <t>INVESTIGATION OF THE MOMENT CAPACITY (AT MIDSPAN)</t>
  </si>
  <si>
    <t>𝞀 =</t>
  </si>
  <si>
    <t>Web Reinforcements Design</t>
  </si>
  <si>
    <r>
      <t>V</t>
    </r>
    <r>
      <rPr>
        <vertAlign val="subscript"/>
        <sz val="8"/>
        <color theme="1"/>
        <rFont val="Century Gothic"/>
        <family val="1"/>
      </rPr>
      <t>c</t>
    </r>
    <r>
      <rPr>
        <sz val="8"/>
        <color theme="1"/>
        <rFont val="Century Gothic"/>
        <family val="1"/>
      </rPr>
      <t xml:space="preserve"> =</t>
    </r>
  </si>
  <si>
    <r>
      <t>V</t>
    </r>
    <r>
      <rPr>
        <vertAlign val="subscript"/>
        <sz val="8"/>
        <color theme="1"/>
        <rFont val="Century Gothic"/>
        <family val="1"/>
      </rPr>
      <t>s</t>
    </r>
    <r>
      <rPr>
        <sz val="8"/>
        <color theme="1"/>
        <rFont val="Century Gothic"/>
        <family val="1"/>
      </rPr>
      <t xml:space="preserve"> =</t>
    </r>
  </si>
  <si>
    <r>
      <t>V</t>
    </r>
    <r>
      <rPr>
        <vertAlign val="subscript"/>
        <sz val="8"/>
        <color theme="1"/>
        <rFont val="Century Gothic"/>
        <family val="1"/>
      </rPr>
      <t>u</t>
    </r>
    <r>
      <rPr>
        <sz val="8"/>
        <color theme="1"/>
        <rFont val="Century Gothic"/>
        <family val="1"/>
      </rPr>
      <t xml:space="preserve"> =</t>
    </r>
  </si>
  <si>
    <t>Shear Strength of Reinforcement</t>
  </si>
  <si>
    <t>Shear Strength of Concrete</t>
  </si>
  <si>
    <t>𝞍 =</t>
  </si>
  <si>
    <t>Reduction Factor for Shear</t>
  </si>
  <si>
    <t>Vu</t>
  </si>
  <si>
    <t>Vs</t>
  </si>
  <si>
    <t>Ultimate Shear Strength</t>
  </si>
  <si>
    <t>fyt =</t>
  </si>
  <si>
    <t>Yield Strength of Steel Bars for Stirrups</t>
  </si>
  <si>
    <r>
      <t>&lt; 𝞀</t>
    </r>
    <r>
      <rPr>
        <vertAlign val="subscript"/>
        <sz val="8"/>
        <color theme="1"/>
        <rFont val="Century Gothic"/>
        <family val="1"/>
      </rPr>
      <t>min</t>
    </r>
    <r>
      <rPr>
        <sz val="8"/>
        <color theme="1"/>
        <rFont val="Century Gothic"/>
        <family val="1"/>
      </rPr>
      <t xml:space="preserve">                        </t>
    </r>
    <r>
      <rPr>
        <b/>
        <sz val="8"/>
        <color theme="1"/>
        <rFont val="Century Gothic"/>
        <family val="1"/>
      </rPr>
      <t xml:space="preserve">    ok!</t>
    </r>
  </si>
  <si>
    <r>
      <t>Area of Stirrups (A</t>
    </r>
    <r>
      <rPr>
        <b/>
        <vertAlign val="subscript"/>
        <sz val="8"/>
        <color theme="1"/>
        <rFont val="Century Gothic"/>
        <family val="1"/>
      </rPr>
      <t>v</t>
    </r>
    <r>
      <rPr>
        <b/>
        <sz val="8"/>
        <color theme="1"/>
        <rFont val="Century Gothic"/>
        <family val="1"/>
      </rPr>
      <t>):</t>
    </r>
  </si>
  <si>
    <r>
      <t>A</t>
    </r>
    <r>
      <rPr>
        <vertAlign val="subscript"/>
        <sz val="8"/>
        <color theme="1"/>
        <rFont val="Century Gothic"/>
        <family val="1"/>
      </rPr>
      <t>v</t>
    </r>
    <r>
      <rPr>
        <sz val="8"/>
        <color theme="1"/>
        <rFont val="Century Gothic"/>
        <family val="1"/>
      </rPr>
      <t xml:space="preserve"> =</t>
    </r>
  </si>
  <si>
    <r>
      <t>2[(𝝅/4)(d</t>
    </r>
    <r>
      <rPr>
        <vertAlign val="subscript"/>
        <sz val="8"/>
        <color theme="1"/>
        <rFont val="Century Gothic"/>
        <family val="1"/>
      </rPr>
      <t>s</t>
    </r>
    <r>
      <rPr>
        <vertAlign val="superscript"/>
        <sz val="8"/>
        <color theme="1"/>
        <rFont val="Century Gothic"/>
        <family val="1"/>
      </rPr>
      <t>2</t>
    </r>
    <r>
      <rPr>
        <sz val="8"/>
        <color theme="1"/>
        <rFont val="Century Gothic"/>
        <family val="1"/>
      </rPr>
      <t>)]</t>
    </r>
  </si>
  <si>
    <r>
      <t>A</t>
    </r>
    <r>
      <rPr>
        <b/>
        <vertAlign val="subscript"/>
        <sz val="8"/>
        <color theme="1"/>
        <rFont val="Century Gothic"/>
        <family val="1"/>
      </rPr>
      <t>v</t>
    </r>
    <r>
      <rPr>
        <b/>
        <sz val="8"/>
        <color theme="1"/>
        <rFont val="Century Gothic"/>
        <family val="1"/>
      </rPr>
      <t xml:space="preserve"> =</t>
    </r>
  </si>
  <si>
    <t>Vu ≤ (𝞍Vc/2)</t>
  </si>
  <si>
    <r>
      <t>(𝞍V</t>
    </r>
    <r>
      <rPr>
        <vertAlign val="subscript"/>
        <sz val="8"/>
        <color theme="1"/>
        <rFont val="Century Gothic"/>
        <family val="1"/>
      </rPr>
      <t>c</t>
    </r>
    <r>
      <rPr>
        <sz val="8"/>
        <color theme="1"/>
        <rFont val="Century Gothic"/>
        <family val="1"/>
      </rPr>
      <t>/2) &lt; V</t>
    </r>
    <r>
      <rPr>
        <vertAlign val="subscript"/>
        <sz val="8"/>
        <color theme="1"/>
        <rFont val="Century Gothic"/>
        <family val="1"/>
      </rPr>
      <t>u</t>
    </r>
    <r>
      <rPr>
        <sz val="8"/>
        <color theme="1"/>
        <rFont val="Century Gothic"/>
        <family val="1"/>
      </rPr>
      <t xml:space="preserve"> ≤ 𝞍V</t>
    </r>
    <r>
      <rPr>
        <vertAlign val="subscript"/>
        <sz val="8"/>
        <color theme="1"/>
        <rFont val="Century Gothic"/>
        <family val="1"/>
      </rPr>
      <t>c</t>
    </r>
  </si>
  <si>
    <r>
      <t>V</t>
    </r>
    <r>
      <rPr>
        <vertAlign val="subscript"/>
        <sz val="8"/>
        <color theme="1"/>
        <rFont val="Century Gothic"/>
        <family val="1"/>
      </rPr>
      <t>u</t>
    </r>
    <r>
      <rPr>
        <sz val="8"/>
        <color theme="1"/>
        <rFont val="Century Gothic"/>
        <family val="1"/>
      </rPr>
      <t xml:space="preserve"> ≤ 3𝞍V</t>
    </r>
    <r>
      <rPr>
        <vertAlign val="subscript"/>
        <sz val="8"/>
        <color theme="1"/>
        <rFont val="Century Gothic"/>
        <family val="1"/>
      </rPr>
      <t>c</t>
    </r>
  </si>
  <si>
    <t>3.1:</t>
  </si>
  <si>
    <r>
      <t>V</t>
    </r>
    <r>
      <rPr>
        <vertAlign val="subscript"/>
        <sz val="8"/>
        <color rgb="FF202124"/>
        <rFont val="Century Gothic"/>
        <family val="1"/>
      </rPr>
      <t>s</t>
    </r>
    <r>
      <rPr>
        <sz val="8"/>
        <color rgb="FF202124"/>
        <rFont val="Century Gothic"/>
        <family val="1"/>
      </rPr>
      <t xml:space="preserve"> ≤ [.33√(fc')bd]</t>
    </r>
  </si>
  <si>
    <r>
      <t>[.33√(fc')bd] &lt; V</t>
    </r>
    <r>
      <rPr>
        <vertAlign val="subscript"/>
        <sz val="8"/>
        <color theme="1"/>
        <rFont val="Century Gothic"/>
        <family val="1"/>
      </rPr>
      <t>s</t>
    </r>
    <r>
      <rPr>
        <sz val="8"/>
        <color theme="1"/>
        <rFont val="Century Gothic"/>
        <family val="1"/>
      </rPr>
      <t xml:space="preserve"> ≤ [.66√(fc')bd]</t>
    </r>
  </si>
  <si>
    <r>
      <t>3𝞍V</t>
    </r>
    <r>
      <rPr>
        <vertAlign val="subscript"/>
        <sz val="8"/>
        <color theme="1"/>
        <rFont val="Century Gothic"/>
        <family val="1"/>
      </rPr>
      <t>c</t>
    </r>
    <r>
      <rPr>
        <sz val="8"/>
        <color theme="1"/>
        <rFont val="Century Gothic"/>
        <family val="1"/>
      </rPr>
      <t xml:space="preserve"> ≤ V</t>
    </r>
    <r>
      <rPr>
        <vertAlign val="subscript"/>
        <sz val="8"/>
        <color theme="1"/>
        <rFont val="Century Gothic"/>
        <family val="1"/>
      </rPr>
      <t>u</t>
    </r>
    <r>
      <rPr>
        <sz val="8"/>
        <color theme="1"/>
        <rFont val="Century Gothic"/>
        <family val="1"/>
      </rPr>
      <t xml:space="preserve"> ≤ 5𝞍V</t>
    </r>
    <r>
      <rPr>
        <vertAlign val="subscript"/>
        <sz val="8"/>
        <color theme="1"/>
        <rFont val="Century Gothic"/>
        <family val="1"/>
      </rPr>
      <t>c</t>
    </r>
  </si>
  <si>
    <t>3.2:</t>
  </si>
  <si>
    <t>4.1:</t>
  </si>
  <si>
    <t>4.2:</t>
  </si>
  <si>
    <r>
      <t>V</t>
    </r>
    <r>
      <rPr>
        <vertAlign val="subscript"/>
        <sz val="8"/>
        <color theme="1"/>
        <rFont val="Century Gothic"/>
        <family val="1"/>
      </rPr>
      <t>s</t>
    </r>
    <r>
      <rPr>
        <sz val="8"/>
        <color theme="1"/>
        <rFont val="Century Gothic"/>
        <family val="1"/>
      </rPr>
      <t xml:space="preserve"> &gt; [.66√(fc')bd]</t>
    </r>
  </si>
  <si>
    <r>
      <t>V</t>
    </r>
    <r>
      <rPr>
        <vertAlign val="subscript"/>
        <sz val="8"/>
        <color theme="1"/>
        <rFont val="Century Gothic"/>
        <family val="1"/>
      </rPr>
      <t>u</t>
    </r>
    <r>
      <rPr>
        <sz val="8"/>
        <color theme="1"/>
        <rFont val="Century Gothic"/>
        <family val="1"/>
      </rPr>
      <t xml:space="preserve"> &gt; 5𝞍V</t>
    </r>
    <r>
      <rPr>
        <vertAlign val="subscript"/>
        <sz val="8"/>
        <color theme="1"/>
        <rFont val="Century Gothic"/>
        <family val="1"/>
      </rPr>
      <t>c</t>
    </r>
  </si>
  <si>
    <t>5.2:</t>
  </si>
  <si>
    <t>5.1:</t>
  </si>
  <si>
    <t>DO NOT DELETE THIS</t>
  </si>
  <si>
    <t>C1</t>
  </si>
  <si>
    <t>C2</t>
  </si>
  <si>
    <t>C3</t>
  </si>
  <si>
    <t>C4</t>
  </si>
  <si>
    <t>C5</t>
  </si>
  <si>
    <t>WEB REINFORCEMENTS</t>
  </si>
  <si>
    <t>NSCP 2015 Provisions for Web Reinforcements:</t>
  </si>
  <si>
    <t xml:space="preserve">A. </t>
  </si>
  <si>
    <t>Avfyt</t>
  </si>
  <si>
    <t>C.</t>
  </si>
  <si>
    <t>0.35b</t>
  </si>
  <si>
    <t>0.062√(fc')b</t>
  </si>
  <si>
    <t>D.</t>
  </si>
  <si>
    <t>Spacing of stirrups:</t>
  </si>
  <si>
    <t>Case 1</t>
  </si>
  <si>
    <t>Case 2</t>
  </si>
  <si>
    <t>Case 3</t>
  </si>
  <si>
    <t>Case 4</t>
  </si>
  <si>
    <t>Case 5</t>
  </si>
  <si>
    <t xml:space="preserve">   Vs</t>
  </si>
  <si>
    <t>d/2</t>
  </si>
  <si>
    <t xml:space="preserve">D. </t>
  </si>
  <si>
    <t xml:space="preserve">      600      mm</t>
  </si>
  <si>
    <t>d/4</t>
  </si>
  <si>
    <t>Say S =</t>
  </si>
  <si>
    <t>[0.17√(fc')bd]</t>
  </si>
  <si>
    <r>
      <t>V</t>
    </r>
    <r>
      <rPr>
        <b/>
        <vertAlign val="subscript"/>
        <sz val="8"/>
        <color theme="1"/>
        <rFont val="Century Gothic"/>
        <family val="1"/>
      </rPr>
      <t>c</t>
    </r>
    <r>
      <rPr>
        <b/>
        <sz val="8"/>
        <color theme="1"/>
        <rFont val="Century Gothic"/>
        <family val="1"/>
      </rPr>
      <t xml:space="preserve"> =</t>
    </r>
  </si>
  <si>
    <r>
      <t>(V</t>
    </r>
    <r>
      <rPr>
        <vertAlign val="subscript"/>
        <sz val="8"/>
        <color theme="1"/>
        <rFont val="Century Gothic"/>
        <family val="1"/>
      </rPr>
      <t>u</t>
    </r>
    <r>
      <rPr>
        <sz val="8"/>
        <color theme="1"/>
        <rFont val="Century Gothic"/>
        <family val="1"/>
      </rPr>
      <t>/𝞍) - V</t>
    </r>
    <r>
      <rPr>
        <vertAlign val="subscript"/>
        <sz val="8"/>
        <color theme="1"/>
        <rFont val="Century Gothic"/>
        <family val="1"/>
      </rPr>
      <t>c</t>
    </r>
  </si>
  <si>
    <r>
      <t>V</t>
    </r>
    <r>
      <rPr>
        <b/>
        <vertAlign val="subscript"/>
        <sz val="8"/>
        <color theme="1"/>
        <rFont val="Century Gothic"/>
        <family val="1"/>
      </rPr>
      <t>s</t>
    </r>
    <r>
      <rPr>
        <b/>
        <sz val="8"/>
        <color theme="1"/>
        <rFont val="Century Gothic"/>
        <family val="1"/>
      </rPr>
      <t xml:space="preserve"> =</t>
    </r>
  </si>
  <si>
    <t>STAIRS PLAN AND DETAILING</t>
  </si>
  <si>
    <t>BEAM PLAN AND DETAILING</t>
  </si>
  <si>
    <t>COLUMN NAME HERE</t>
  </si>
  <si>
    <t>Factored Axial Load</t>
  </si>
  <si>
    <t>Assumed beam dimensions:</t>
  </si>
  <si>
    <r>
      <t>P</t>
    </r>
    <r>
      <rPr>
        <vertAlign val="subscript"/>
        <sz val="8"/>
        <color theme="1"/>
        <rFont val="Century Gothic"/>
        <family val="1"/>
      </rPr>
      <t>u</t>
    </r>
    <r>
      <rPr>
        <sz val="8"/>
        <color theme="1"/>
        <rFont val="Century Gothic"/>
        <family val="1"/>
      </rPr>
      <t xml:space="preserve"> =</t>
    </r>
  </si>
  <si>
    <r>
      <t>d</t>
    </r>
    <r>
      <rPr>
        <vertAlign val="subscript"/>
        <sz val="8"/>
        <color theme="1"/>
        <rFont val="Century Gothic"/>
        <family val="1"/>
      </rPr>
      <t>t</t>
    </r>
    <r>
      <rPr>
        <sz val="8"/>
        <color theme="1"/>
        <rFont val="Century Gothic"/>
        <family val="1"/>
      </rPr>
      <t xml:space="preserve"> =</t>
    </r>
  </si>
  <si>
    <r>
      <t>0.80𝞍 [0.85fc'(A</t>
    </r>
    <r>
      <rPr>
        <vertAlign val="subscript"/>
        <sz val="8"/>
        <color theme="1"/>
        <rFont val="Century Gothic"/>
        <family val="1"/>
      </rPr>
      <t>g</t>
    </r>
    <r>
      <rPr>
        <sz val="8"/>
        <color theme="1"/>
        <rFont val="Century Gothic"/>
        <family val="1"/>
      </rPr>
      <t>-A</t>
    </r>
    <r>
      <rPr>
        <vertAlign val="subscript"/>
        <sz val="8"/>
        <color theme="1"/>
        <rFont val="Century Gothic"/>
        <family val="1"/>
      </rPr>
      <t>st</t>
    </r>
    <r>
      <rPr>
        <sz val="8"/>
        <color theme="1"/>
        <rFont val="Century Gothic"/>
        <family val="1"/>
      </rPr>
      <t>) + fyA</t>
    </r>
    <r>
      <rPr>
        <vertAlign val="subscript"/>
        <sz val="8"/>
        <color theme="1"/>
        <rFont val="Century Gothic"/>
        <family val="1"/>
      </rPr>
      <t>st</t>
    </r>
    <r>
      <rPr>
        <sz val="8"/>
        <color theme="1"/>
        <rFont val="Century Gothic"/>
        <family val="1"/>
      </rPr>
      <t>]</t>
    </r>
  </si>
  <si>
    <r>
      <t>A</t>
    </r>
    <r>
      <rPr>
        <vertAlign val="subscript"/>
        <sz val="8"/>
        <color theme="1"/>
        <rFont val="Century Gothic"/>
        <family val="1"/>
      </rPr>
      <t>g</t>
    </r>
    <r>
      <rPr>
        <sz val="8"/>
        <color theme="1"/>
        <rFont val="Century Gothic"/>
        <family val="1"/>
      </rPr>
      <t xml:space="preserve"> =</t>
    </r>
  </si>
  <si>
    <r>
      <t>A</t>
    </r>
    <r>
      <rPr>
        <b/>
        <vertAlign val="subscript"/>
        <sz val="8"/>
        <color theme="1"/>
        <rFont val="Century Gothic"/>
        <family val="1"/>
      </rPr>
      <t>g</t>
    </r>
    <r>
      <rPr>
        <b/>
        <sz val="8"/>
        <color theme="1"/>
        <rFont val="Century Gothic"/>
        <family val="1"/>
      </rPr>
      <t xml:space="preserve"> =</t>
    </r>
  </si>
  <si>
    <r>
      <t>A</t>
    </r>
    <r>
      <rPr>
        <b/>
        <vertAlign val="subscript"/>
        <sz val="8"/>
        <color theme="1"/>
        <rFont val="Century Gothic"/>
        <family val="1"/>
      </rPr>
      <t>st</t>
    </r>
    <r>
      <rPr>
        <b/>
        <sz val="8"/>
        <color theme="1"/>
        <rFont val="Century Gothic"/>
        <family val="1"/>
      </rPr>
      <t xml:space="preserve"> =</t>
    </r>
  </si>
  <si>
    <t>COLUMN DIMENSION AND DETAILS</t>
  </si>
  <si>
    <t>Assumed column dimension:</t>
  </si>
  <si>
    <t>Dimension of Tied Column</t>
  </si>
  <si>
    <t>Pu</t>
  </si>
  <si>
    <r>
      <t>N</t>
    </r>
    <r>
      <rPr>
        <vertAlign val="subscript"/>
        <sz val="8"/>
        <color theme="1"/>
        <rFont val="Century Gothic"/>
        <family val="1"/>
      </rPr>
      <t>20</t>
    </r>
    <r>
      <rPr>
        <sz val="8"/>
        <color theme="1"/>
        <rFont val="Century Gothic"/>
        <family val="1"/>
      </rPr>
      <t xml:space="preserve"> =</t>
    </r>
  </si>
  <si>
    <r>
      <t>say N</t>
    </r>
    <r>
      <rPr>
        <b/>
        <vertAlign val="subscript"/>
        <sz val="8"/>
        <color theme="1"/>
        <rFont val="Century Gothic"/>
        <family val="1"/>
      </rPr>
      <t>20</t>
    </r>
    <r>
      <rPr>
        <b/>
        <sz val="8"/>
        <color theme="1"/>
        <rFont val="Century Gothic"/>
        <family val="1"/>
      </rPr>
      <t xml:space="preserve"> =</t>
    </r>
  </si>
  <si>
    <t>Diameter of Tie Wire</t>
  </si>
  <si>
    <r>
      <t>A</t>
    </r>
    <r>
      <rPr>
        <vertAlign val="subscript"/>
        <sz val="8"/>
        <color theme="1"/>
        <rFont val="Century Gothic"/>
        <family val="1"/>
      </rPr>
      <t xml:space="preserve">st </t>
    </r>
    <r>
      <rPr>
        <sz val="8"/>
        <color theme="1"/>
        <rFont val="Century Gothic"/>
        <family val="1"/>
      </rPr>
      <t>/A</t>
    </r>
    <r>
      <rPr>
        <vertAlign val="subscript"/>
        <sz val="8"/>
        <color theme="1"/>
        <rFont val="Century Gothic"/>
        <family val="1"/>
      </rPr>
      <t>bar</t>
    </r>
  </si>
  <si>
    <r>
      <t>h</t>
    </r>
    <r>
      <rPr>
        <vertAlign val="superscript"/>
        <sz val="8"/>
        <color theme="1"/>
        <rFont val="Century Gothic"/>
        <family val="1"/>
      </rPr>
      <t>2</t>
    </r>
  </si>
  <si>
    <t>bars</t>
  </si>
  <si>
    <t>spacing</t>
  </si>
  <si>
    <t>DON’T DELETE THIS</t>
  </si>
  <si>
    <t>Max spacing for longitudinal bars:</t>
  </si>
  <si>
    <r>
      <t>S</t>
    </r>
    <r>
      <rPr>
        <b/>
        <vertAlign val="subscript"/>
        <sz val="8"/>
        <color theme="1"/>
        <rFont val="Century Gothic"/>
        <family val="1"/>
      </rPr>
      <t>max</t>
    </r>
    <r>
      <rPr>
        <b/>
        <sz val="8"/>
        <color theme="1"/>
        <rFont val="Century Gothic"/>
        <family val="1"/>
      </rPr>
      <t xml:space="preserve"> = </t>
    </r>
  </si>
  <si>
    <t>Diameter of Longitudinal Bars</t>
  </si>
  <si>
    <t>A. Number of Steel Bars</t>
  </si>
  <si>
    <t>1. S =</t>
  </si>
  <si>
    <r>
      <t>48(d</t>
    </r>
    <r>
      <rPr>
        <vertAlign val="subscript"/>
        <sz val="8"/>
        <color theme="1"/>
        <rFont val="Century Gothic"/>
        <family val="1"/>
      </rPr>
      <t>t</t>
    </r>
    <r>
      <rPr>
        <sz val="8"/>
        <color theme="1"/>
        <rFont val="Century Gothic"/>
        <family val="1"/>
      </rPr>
      <t>)</t>
    </r>
  </si>
  <si>
    <t>2. S =</t>
  </si>
  <si>
    <r>
      <t>16(d</t>
    </r>
    <r>
      <rPr>
        <vertAlign val="subscript"/>
        <sz val="8"/>
        <color theme="1"/>
        <rFont val="Century Gothic"/>
        <family val="1"/>
      </rPr>
      <t>b</t>
    </r>
    <r>
      <rPr>
        <sz val="8"/>
        <color theme="1"/>
        <rFont val="Century Gothic"/>
        <family val="1"/>
      </rPr>
      <t>)</t>
    </r>
  </si>
  <si>
    <t>3. S =</t>
  </si>
  <si>
    <t>least dimension</t>
  </si>
  <si>
    <t>INVESTIGATION OF THE AXIAL CAPACITY</t>
  </si>
  <si>
    <r>
      <t>N</t>
    </r>
    <r>
      <rPr>
        <vertAlign val="subscript"/>
        <sz val="8"/>
        <color theme="1"/>
        <rFont val="Century Gothic"/>
        <family val="1"/>
      </rPr>
      <t xml:space="preserve">20 </t>
    </r>
    <r>
      <rPr>
        <sz val="8"/>
        <color theme="1"/>
        <rFont val="Century Gothic"/>
        <family val="1"/>
      </rPr>
      <t>(𝝅/4)(d</t>
    </r>
    <r>
      <rPr>
        <vertAlign val="subscript"/>
        <sz val="8"/>
        <color theme="1"/>
        <rFont val="Century Gothic"/>
        <family val="1"/>
      </rPr>
      <t>b</t>
    </r>
    <r>
      <rPr>
        <vertAlign val="superscript"/>
        <sz val="8"/>
        <color theme="1"/>
        <rFont val="Century Gothic"/>
        <family val="1"/>
      </rPr>
      <t>2</t>
    </r>
    <r>
      <rPr>
        <sz val="8"/>
        <color theme="1"/>
        <rFont val="Century Gothic"/>
        <family val="1"/>
      </rPr>
      <t>)</t>
    </r>
  </si>
  <si>
    <t>C. Axial Capacity of the Column</t>
  </si>
  <si>
    <t>B. Actual Area of Steel</t>
  </si>
  <si>
    <t>A. Gross area of Column</t>
  </si>
  <si>
    <r>
      <t>A</t>
    </r>
    <r>
      <rPr>
        <vertAlign val="subscript"/>
        <sz val="8"/>
        <color theme="1"/>
        <rFont val="Century Gothic"/>
        <family val="1"/>
      </rPr>
      <t>stACTUAL</t>
    </r>
    <r>
      <rPr>
        <sz val="8"/>
        <color theme="1"/>
        <rFont val="Century Gothic"/>
        <family val="1"/>
      </rPr>
      <t xml:space="preserve"> =</t>
    </r>
  </si>
  <si>
    <r>
      <t>A</t>
    </r>
    <r>
      <rPr>
        <b/>
        <vertAlign val="subscript"/>
        <sz val="8"/>
        <color theme="1"/>
        <rFont val="Century Gothic"/>
        <family val="1"/>
      </rPr>
      <t>stACTUAL</t>
    </r>
    <r>
      <rPr>
        <b/>
        <sz val="8"/>
        <color theme="1"/>
        <rFont val="Century Gothic"/>
        <family val="1"/>
      </rPr>
      <t xml:space="preserve"> =</t>
    </r>
  </si>
  <si>
    <r>
      <t>P</t>
    </r>
    <r>
      <rPr>
        <b/>
        <vertAlign val="subscript"/>
        <sz val="8"/>
        <color theme="1"/>
        <rFont val="Century Gothic"/>
        <family val="1"/>
      </rPr>
      <t>uMAX</t>
    </r>
    <r>
      <rPr>
        <b/>
        <sz val="8"/>
        <color theme="1"/>
        <rFont val="Century Gothic"/>
        <family val="1"/>
      </rPr>
      <t xml:space="preserve"> =</t>
    </r>
  </si>
  <si>
    <r>
      <t>P</t>
    </r>
    <r>
      <rPr>
        <vertAlign val="subscript"/>
        <sz val="8"/>
        <color theme="1"/>
        <rFont val="Century Gothic"/>
        <family val="1"/>
      </rPr>
      <t>uMAX</t>
    </r>
    <r>
      <rPr>
        <sz val="8"/>
        <color theme="1"/>
        <rFont val="Century Gothic"/>
        <family val="1"/>
      </rPr>
      <t xml:space="preserve"> =</t>
    </r>
  </si>
  <si>
    <t>COLUMN PLAN AND DETAILING</t>
  </si>
  <si>
    <t>H</t>
  </si>
  <si>
    <t>STEEL RATIO</t>
  </si>
  <si>
    <r>
      <t>A. Gross area of column (A</t>
    </r>
    <r>
      <rPr>
        <b/>
        <vertAlign val="subscript"/>
        <sz val="8"/>
        <color theme="1"/>
        <rFont val="Century Gothic"/>
        <family val="1"/>
      </rPr>
      <t>g</t>
    </r>
    <r>
      <rPr>
        <b/>
        <sz val="8"/>
        <color theme="1"/>
        <rFont val="Century Gothic"/>
        <family val="1"/>
      </rPr>
      <t>)</t>
    </r>
  </si>
  <si>
    <r>
      <t>𝞀</t>
    </r>
    <r>
      <rPr>
        <vertAlign val="subscript"/>
        <sz val="8"/>
        <color theme="1"/>
        <rFont val="Century Gothic"/>
        <family val="1"/>
      </rPr>
      <t>g</t>
    </r>
    <r>
      <rPr>
        <sz val="8"/>
        <color theme="1"/>
        <rFont val="Century Gothic"/>
        <family val="1"/>
      </rPr>
      <t xml:space="preserve"> =</t>
    </r>
  </si>
  <si>
    <r>
      <t>𝞀</t>
    </r>
    <r>
      <rPr>
        <b/>
        <vertAlign val="subscript"/>
        <sz val="8"/>
        <color theme="1"/>
        <rFont val="Century Gothic"/>
        <family val="1"/>
      </rPr>
      <t>g</t>
    </r>
    <r>
      <rPr>
        <b/>
        <sz val="8"/>
        <color theme="1"/>
        <rFont val="Century Gothic"/>
        <family val="1"/>
      </rPr>
      <t xml:space="preserve"> =</t>
    </r>
  </si>
  <si>
    <r>
      <t>A</t>
    </r>
    <r>
      <rPr>
        <vertAlign val="subscript"/>
        <sz val="8"/>
        <color theme="1"/>
        <rFont val="Century Gothic"/>
        <family val="1"/>
      </rPr>
      <t>st</t>
    </r>
    <r>
      <rPr>
        <sz val="8"/>
        <color theme="1"/>
        <rFont val="Century Gothic"/>
        <family val="1"/>
      </rPr>
      <t>/A</t>
    </r>
    <r>
      <rPr>
        <vertAlign val="subscript"/>
        <sz val="8"/>
        <color theme="1"/>
        <rFont val="Century Gothic"/>
        <family val="1"/>
      </rPr>
      <t>g</t>
    </r>
  </si>
  <si>
    <t>E</t>
  </si>
  <si>
    <r>
      <t>0.80𝞍 [0.85fc'(A</t>
    </r>
    <r>
      <rPr>
        <vertAlign val="subscript"/>
        <sz val="8"/>
        <color theme="1"/>
        <rFont val="Century Gothic"/>
        <family val="1"/>
      </rPr>
      <t>g</t>
    </r>
    <r>
      <rPr>
        <sz val="8"/>
        <color theme="1"/>
        <rFont val="Century Gothic"/>
        <family val="1"/>
      </rPr>
      <t>-𝞀</t>
    </r>
    <r>
      <rPr>
        <vertAlign val="subscript"/>
        <sz val="8"/>
        <color theme="1"/>
        <rFont val="Century Gothic"/>
        <family val="1"/>
      </rPr>
      <t>g</t>
    </r>
    <r>
      <rPr>
        <sz val="8"/>
        <color theme="1"/>
        <rFont val="Century Gothic"/>
        <family val="1"/>
      </rPr>
      <t>A</t>
    </r>
    <r>
      <rPr>
        <vertAlign val="subscript"/>
        <sz val="8"/>
        <color theme="1"/>
        <rFont val="Century Gothic"/>
        <family val="1"/>
      </rPr>
      <t>g</t>
    </r>
    <r>
      <rPr>
        <sz val="8"/>
        <color theme="1"/>
        <rFont val="Century Gothic"/>
        <family val="1"/>
      </rPr>
      <t>) + fy𝞀</t>
    </r>
    <r>
      <rPr>
        <vertAlign val="subscript"/>
        <sz val="8"/>
        <color theme="1"/>
        <rFont val="Century Gothic"/>
        <family val="1"/>
      </rPr>
      <t>g</t>
    </r>
    <r>
      <rPr>
        <sz val="8"/>
        <color theme="1"/>
        <rFont val="Century Gothic"/>
        <family val="1"/>
      </rPr>
      <t>A</t>
    </r>
    <r>
      <rPr>
        <vertAlign val="subscript"/>
        <sz val="8"/>
        <color theme="1"/>
        <rFont val="Century Gothic"/>
        <family val="1"/>
      </rPr>
      <t>g</t>
    </r>
    <r>
      <rPr>
        <sz val="8"/>
        <color theme="1"/>
        <rFont val="Century Gothic"/>
        <family val="1"/>
      </rPr>
      <t>]</t>
    </r>
  </si>
  <si>
    <t>B. STEEL RATIO (𝞀₉)</t>
  </si>
  <si>
    <r>
      <t>C. AREA OF STEEL (A</t>
    </r>
    <r>
      <rPr>
        <b/>
        <vertAlign val="subscript"/>
        <sz val="8"/>
        <color theme="1"/>
        <rFont val="Century Gothic"/>
        <family val="1"/>
      </rPr>
      <t>st</t>
    </r>
    <r>
      <rPr>
        <b/>
        <sz val="8"/>
        <color theme="1"/>
        <rFont val="Century Gothic"/>
        <family val="1"/>
      </rPr>
      <t>)</t>
    </r>
  </si>
  <si>
    <t>Therefore, use  𝞀₉ =</t>
  </si>
  <si>
    <t xml:space="preserve">Therefore, use S = </t>
  </si>
  <si>
    <r>
      <t>W</t>
    </r>
    <r>
      <rPr>
        <vertAlign val="subscript"/>
        <sz val="8"/>
        <rFont val="Century Gothic"/>
        <family val="1"/>
      </rPr>
      <t>u</t>
    </r>
    <r>
      <rPr>
        <sz val="8"/>
        <rFont val="Century Gothic"/>
        <family val="1"/>
      </rPr>
      <t>L</t>
    </r>
    <r>
      <rPr>
        <vertAlign val="superscript"/>
        <sz val="8"/>
        <rFont val="Century Gothic"/>
        <family val="1"/>
      </rPr>
      <t>2</t>
    </r>
    <r>
      <rPr>
        <sz val="8"/>
        <rFont val="Century Gothic"/>
        <family val="1"/>
      </rPr>
      <t>/16</t>
    </r>
  </si>
  <si>
    <r>
      <t>M</t>
    </r>
    <r>
      <rPr>
        <vertAlign val="subscript"/>
        <sz val="8"/>
        <rFont val="Century Gothic"/>
        <family val="1"/>
      </rPr>
      <t>u</t>
    </r>
    <r>
      <rPr>
        <sz val="8"/>
        <rFont val="Century Gothic"/>
        <family val="1"/>
      </rPr>
      <t xml:space="preserve"> =</t>
    </r>
  </si>
  <si>
    <r>
      <t>W</t>
    </r>
    <r>
      <rPr>
        <vertAlign val="subscript"/>
        <sz val="8"/>
        <rFont val="Century Gothic"/>
        <family val="1"/>
      </rPr>
      <t>u</t>
    </r>
    <r>
      <rPr>
        <sz val="8"/>
        <rFont val="Century Gothic"/>
        <family val="1"/>
      </rPr>
      <t>L</t>
    </r>
    <r>
      <rPr>
        <vertAlign val="superscript"/>
        <sz val="8"/>
        <rFont val="Century Gothic"/>
        <family val="1"/>
      </rPr>
      <t>2</t>
    </r>
    <r>
      <rPr>
        <sz val="8"/>
        <rFont val="Century Gothic"/>
        <family val="1"/>
      </rPr>
      <t>/14</t>
    </r>
  </si>
  <si>
    <r>
      <t>&lt; 𝞀</t>
    </r>
    <r>
      <rPr>
        <vertAlign val="subscript"/>
        <sz val="8"/>
        <color theme="1"/>
        <rFont val="Century Gothic"/>
        <family val="1"/>
      </rPr>
      <t>min</t>
    </r>
    <r>
      <rPr>
        <sz val="8"/>
        <color theme="1"/>
        <rFont val="Century Gothic"/>
        <family val="1"/>
      </rPr>
      <t xml:space="preserve">                    </t>
    </r>
    <r>
      <rPr>
        <b/>
        <sz val="8"/>
        <color rgb="FFFF0000"/>
        <rFont val="Century Gothic"/>
        <family val="1"/>
      </rPr>
      <t>not ok!</t>
    </r>
  </si>
  <si>
    <t>₁₂</t>
  </si>
  <si>
    <t>L₁ =</t>
  </si>
  <si>
    <t>L₂ =</t>
  </si>
  <si>
    <t>Length of Landing Slab</t>
  </si>
  <si>
    <t>Rn =</t>
  </si>
  <si>
    <t>Basic Floor Area</t>
  </si>
  <si>
    <t>Acoustical Fiber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</si>
</sst>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₱&quot;* #,##0.00_);_(&quot;₱&quot;* \(#,##0.00\);_(&quot;₱&quot;* &quot;-&quot;??_);_(@_)"/>
    <numFmt numFmtId="164" formatCode="0.0000"/>
    <numFmt numFmtId="165" formatCode="0.000000"/>
    <numFmt numFmtId="166" formatCode="0.000"/>
    <numFmt numFmtId="167" formatCode="0.00000"/>
  </numFmts>
  <fonts count="28" x14ac:knownFonts="1">
    <font>
      <sz val="12"/>
      <color theme="1"/>
      <name val="Calibri"/>
      <family val="2"/>
      <scheme val="minor"/>
    </font>
    <font>
      <b/>
      <sz val="10"/>
      <color theme="1"/>
      <name val="Century Gothic"/>
      <family val="1"/>
    </font>
    <font>
      <b/>
      <sz val="8"/>
      <color theme="1"/>
      <name val="Century Gothic"/>
      <family val="1"/>
    </font>
    <font>
      <sz val="8"/>
      <color theme="1"/>
      <name val="Century Gothic"/>
      <family val="1"/>
    </font>
    <font>
      <vertAlign val="subscript"/>
      <sz val="8"/>
      <color theme="1"/>
      <name val="Century Gothic"/>
      <family val="1"/>
    </font>
    <font>
      <vertAlign val="superscript"/>
      <sz val="8"/>
      <color theme="1"/>
      <name val="Century Gothic"/>
      <family val="1"/>
    </font>
    <font>
      <b/>
      <sz val="8"/>
      <name val="Century Gothic"/>
      <family val="1"/>
    </font>
    <font>
      <b/>
      <vertAlign val="subscript"/>
      <sz val="8"/>
      <color theme="1"/>
      <name val="Century Gothic"/>
      <family val="1"/>
    </font>
    <font>
      <sz val="8"/>
      <color rgb="FF000000"/>
      <name val="Century Gothic"/>
      <family val="1"/>
    </font>
    <font>
      <vertAlign val="subscript"/>
      <sz val="8"/>
      <color rgb="FF000000"/>
      <name val="Century Gothic"/>
      <family val="1"/>
    </font>
    <font>
      <b/>
      <sz val="8"/>
      <color rgb="FF000000"/>
      <name val="Century Gothic"/>
      <family val="1"/>
    </font>
    <font>
      <b/>
      <vertAlign val="subscript"/>
      <sz val="8"/>
      <color rgb="FF000000"/>
      <name val="Century Gothic"/>
      <family val="1"/>
    </font>
    <font>
      <sz val="7.5"/>
      <color theme="1"/>
      <name val="Century Gothic"/>
      <family val="1"/>
    </font>
    <font>
      <b/>
      <vertAlign val="superscript"/>
      <sz val="8"/>
      <color theme="1"/>
      <name val="Century Gothic"/>
      <family val="1"/>
    </font>
    <font>
      <b/>
      <sz val="10"/>
      <color theme="0"/>
      <name val="Century Gothic"/>
      <family val="1"/>
    </font>
    <font>
      <b/>
      <sz val="8"/>
      <color rgb="FFFF0000"/>
      <name val="Century Gothic"/>
      <family val="1"/>
    </font>
    <font>
      <i/>
      <sz val="8"/>
      <color theme="1"/>
      <name val="Century Gothic"/>
      <family val="1"/>
    </font>
    <font>
      <sz val="8"/>
      <color rgb="FFFF0000"/>
      <name val="Century Gothic"/>
      <family val="1"/>
    </font>
    <font>
      <vertAlign val="subscript"/>
      <sz val="8"/>
      <color rgb="FFFF0000"/>
      <name val="Century Gothic"/>
      <family val="1"/>
    </font>
    <font>
      <vertAlign val="superscript"/>
      <sz val="8"/>
      <color rgb="FFFF0000"/>
      <name val="Century Gothic"/>
      <family val="1"/>
    </font>
    <font>
      <sz val="8"/>
      <color rgb="FF202124"/>
      <name val="Century Gothic"/>
      <family val="1"/>
    </font>
    <font>
      <vertAlign val="subscript"/>
      <sz val="8"/>
      <color rgb="FF202124"/>
      <name val="Century Gothic"/>
      <family val="1"/>
    </font>
    <font>
      <b/>
      <i/>
      <sz val="8"/>
      <color rgb="FFFF0000"/>
      <name val="Century Gothic"/>
      <family val="1"/>
    </font>
    <font>
      <i/>
      <sz val="8"/>
      <color rgb="FFFF0000"/>
      <name val="Century Gothic"/>
      <family val="1"/>
    </font>
    <font>
      <sz val="8"/>
      <name val="Century Gothic"/>
      <family val="1"/>
    </font>
    <font>
      <vertAlign val="subscript"/>
      <sz val="8"/>
      <name val="Century Gothic"/>
      <family val="1"/>
    </font>
    <font>
      <vertAlign val="superscript"/>
      <sz val="8"/>
      <name val="Century Gothic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</patternFill>
    </fill>
    <fill>
      <patternFill patternType="solid">
        <fgColor theme="6" tint="0.39994506668294322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Font="0">
      <alignment horizontal="center"/>
    </xf>
    <xf numFmtId="0" fontId="14" fillId="2" borderId="0">
      <alignment horizontal="center" vertical="center"/>
    </xf>
    <xf numFmtId="44" fontId="2" fillId="3" borderId="0" applyBorder="0">
      <alignment horizontal="center" vertical="center"/>
    </xf>
    <xf numFmtId="0" fontId="27" fillId="0" borderId="0"/>
  </cellStyleXfs>
  <cellXfs count="260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2" fillId="0" borderId="0" xfId="0" applyFont="1" applyAlignment="1"/>
    <xf numFmtId="2" fontId="3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6" xfId="0" applyFont="1" applyBorder="1"/>
    <xf numFmtId="0" fontId="3" fillId="0" borderId="5" xfId="0" applyFont="1" applyBorder="1"/>
    <xf numFmtId="0" fontId="2" fillId="0" borderId="0" xfId="0" applyFont="1" applyBorder="1" applyAlignment="1">
      <alignment horizontal="right"/>
    </xf>
    <xf numFmtId="0" fontId="3" fillId="0" borderId="7" xfId="0" applyFont="1" applyBorder="1"/>
    <xf numFmtId="0" fontId="2" fillId="0" borderId="8" xfId="0" applyFont="1" applyBorder="1" applyAlignment="1">
      <alignment horizontal="right"/>
    </xf>
    <xf numFmtId="0" fontId="3" fillId="0" borderId="8" xfId="0" applyFont="1" applyBorder="1"/>
    <xf numFmtId="0" fontId="3" fillId="0" borderId="9" xfId="0" applyFont="1" applyBorder="1"/>
    <xf numFmtId="0" fontId="3" fillId="0" borderId="5" xfId="0" applyFont="1" applyBorder="1" applyAlignment="1">
      <alignment horizontal="right"/>
    </xf>
    <xf numFmtId="0" fontId="3" fillId="0" borderId="0" xfId="0" applyFont="1" applyBorder="1" applyAlignment="1">
      <alignment horizontal="right" vertical="center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 vertic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right" vertical="center"/>
    </xf>
    <xf numFmtId="0" fontId="2" fillId="0" borderId="5" xfId="0" applyFont="1" applyBorder="1" applyAlignment="1"/>
    <xf numFmtId="0" fontId="2" fillId="0" borderId="0" xfId="0" applyFont="1" applyBorder="1" applyAlignment="1"/>
    <xf numFmtId="0" fontId="2" fillId="0" borderId="6" xfId="0" applyFont="1" applyBorder="1" applyAlignment="1"/>
    <xf numFmtId="0" fontId="3" fillId="0" borderId="6" xfId="0" applyFont="1" applyBorder="1" applyAlignment="1">
      <alignment horizontal="left"/>
    </xf>
    <xf numFmtId="2" fontId="3" fillId="0" borderId="0" xfId="0" applyNumberFormat="1" applyFont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right"/>
    </xf>
    <xf numFmtId="0" fontId="2" fillId="0" borderId="0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2" fillId="0" borderId="5" xfId="0" applyFont="1" applyBorder="1"/>
    <xf numFmtId="0" fontId="2" fillId="0" borderId="6" xfId="0" applyFont="1" applyBorder="1"/>
    <xf numFmtId="166" fontId="2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12" fillId="0" borderId="0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0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3" fillId="0" borderId="5" xfId="0" applyFont="1" applyBorder="1" applyAlignment="1"/>
    <xf numFmtId="0" fontId="3" fillId="0" borderId="6" xfId="0" applyFont="1" applyBorder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vertical="top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6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65" fontId="2" fillId="0" borderId="6" xfId="0" applyNumberFormat="1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6" xfId="0" applyFont="1" applyBorder="1" applyAlignment="1">
      <alignment vertical="center" wrapText="1"/>
    </xf>
    <xf numFmtId="0" fontId="17" fillId="0" borderId="6" xfId="0" applyFont="1" applyBorder="1"/>
    <xf numFmtId="166" fontId="3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5" fillId="0" borderId="0" xfId="0" applyFont="1" applyBorder="1" applyAlignment="1">
      <alignment horizontal="right"/>
    </xf>
    <xf numFmtId="0" fontId="17" fillId="0" borderId="0" xfId="0" applyFont="1" applyBorder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Alignment="1">
      <alignment vertical="center"/>
    </xf>
    <xf numFmtId="0" fontId="8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0" fontId="17" fillId="0" borderId="0" xfId="0" applyFont="1"/>
    <xf numFmtId="166" fontId="3" fillId="0" borderId="0" xfId="0" applyNumberFormat="1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15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8" fillId="0" borderId="0" xfId="0" applyFont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2" fontId="2" fillId="0" borderId="0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6" fontId="3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166" fontId="2" fillId="0" borderId="8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166" fontId="3" fillId="0" borderId="0" xfId="0" applyNumberFormat="1" applyFont="1" applyBorder="1" applyAlignment="1">
      <alignment horizontal="left" vertical="center"/>
    </xf>
    <xf numFmtId="165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2" fontId="2" fillId="0" borderId="8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horizontal="right" vertical="center"/>
    </xf>
    <xf numFmtId="0" fontId="23" fillId="0" borderId="0" xfId="0" applyFont="1" applyBorder="1" applyAlignment="1">
      <alignment horizontal="right" vertical="center"/>
    </xf>
    <xf numFmtId="0" fontId="2" fillId="0" borderId="5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2" fontId="3" fillId="0" borderId="6" xfId="0" applyNumberFormat="1" applyFont="1" applyBorder="1" applyAlignment="1">
      <alignment horizontal="left" vertical="center"/>
    </xf>
    <xf numFmtId="2" fontId="2" fillId="0" borderId="6" xfId="0" applyNumberFormat="1" applyFont="1" applyBorder="1" applyAlignment="1">
      <alignment horizontal="left" vertical="center"/>
    </xf>
    <xf numFmtId="0" fontId="22" fillId="0" borderId="6" xfId="0" applyFont="1" applyBorder="1" applyAlignment="1">
      <alignment vertical="center"/>
    </xf>
    <xf numFmtId="1" fontId="3" fillId="0" borderId="6" xfId="0" applyNumberFormat="1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2" fillId="0" borderId="6" xfId="0" applyFont="1" applyBorder="1" applyAlignment="1">
      <alignment horizontal="right" vertical="center"/>
    </xf>
    <xf numFmtId="165" fontId="2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65" fontId="2" fillId="0" borderId="8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165" fontId="2" fillId="0" borderId="6" xfId="0" applyNumberFormat="1" applyFont="1" applyBorder="1" applyAlignment="1">
      <alignment horizontal="left" vertical="center"/>
    </xf>
    <xf numFmtId="165" fontId="2" fillId="0" borderId="0" xfId="0" applyNumberFormat="1" applyFont="1" applyBorder="1" applyAlignment="1">
      <alignment horizontal="left" vertical="center"/>
    </xf>
    <xf numFmtId="0" fontId="15" fillId="0" borderId="6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10" fillId="0" borderId="8" xfId="0" applyFont="1" applyBorder="1" applyAlignment="1">
      <alignment horizontal="right" vertical="center"/>
    </xf>
    <xf numFmtId="165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1" fontId="3" fillId="0" borderId="1" xfId="0" applyNumberFormat="1" applyFont="1" applyBorder="1" applyAlignment="1">
      <alignment horizontal="center" vertical="center"/>
    </xf>
    <xf numFmtId="167" fontId="2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24" fillId="0" borderId="0" xfId="0" applyFont="1"/>
    <xf numFmtId="0" fontId="24" fillId="0" borderId="0" xfId="0" applyFont="1" applyAlignment="1">
      <alignment horizontal="right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66" fontId="3" fillId="0" borderId="0" xfId="0" applyNumberFormat="1" applyFont="1" applyBorder="1" applyAlignment="1">
      <alignment horizontal="left" vertical="top"/>
    </xf>
    <xf numFmtId="166" fontId="3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44" fontId="2" fillId="3" borderId="5" xfId="3" applyBorder="1">
      <alignment horizontal="center" vertical="center"/>
    </xf>
    <xf numFmtId="44" fontId="2" fillId="3" borderId="0" xfId="3" applyBorder="1">
      <alignment horizontal="center" vertical="center"/>
    </xf>
    <xf numFmtId="44" fontId="2" fillId="3" borderId="6" xfId="3" applyBorder="1">
      <alignment horizontal="center" vertical="center"/>
    </xf>
    <xf numFmtId="0" fontId="14" fillId="2" borderId="10" xfId="2" applyBorder="1">
      <alignment horizontal="center" vertical="center"/>
    </xf>
    <xf numFmtId="0" fontId="14" fillId="2" borderId="11" xfId="2" applyBorder="1">
      <alignment horizontal="center" vertical="center"/>
    </xf>
    <xf numFmtId="0" fontId="14" fillId="2" borderId="12" xfId="2" applyBorder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4" fillId="2" borderId="2" xfId="2" applyBorder="1">
      <alignment horizontal="center" vertical="center"/>
    </xf>
    <xf numFmtId="0" fontId="14" fillId="2" borderId="3" xfId="2" applyBorder="1">
      <alignment horizontal="center" vertical="center"/>
    </xf>
    <xf numFmtId="0" fontId="14" fillId="2" borderId="4" xfId="2" applyBorder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2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2" fontId="3" fillId="0" borderId="0" xfId="0" applyNumberFormat="1" applyFont="1" applyAlignment="1">
      <alignment horizontal="right"/>
    </xf>
    <xf numFmtId="0" fontId="14" fillId="2" borderId="2" xfId="2" applyBorder="1" applyAlignment="1">
      <alignment horizontal="center" vertical="center"/>
    </xf>
    <xf numFmtId="0" fontId="14" fillId="2" borderId="3" xfId="2" applyBorder="1" applyAlignment="1">
      <alignment horizontal="center" vertical="center"/>
    </xf>
    <xf numFmtId="0" fontId="14" fillId="2" borderId="4" xfId="2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166" fontId="2" fillId="0" borderId="0" xfId="0" applyNumberFormat="1" applyFont="1" applyBorder="1" applyAlignment="1">
      <alignment horizontal="right" vertical="center"/>
    </xf>
    <xf numFmtId="44" fontId="2" fillId="3" borderId="5" xfId="3" applyBorder="1" applyAlignment="1">
      <alignment horizontal="center" vertical="center"/>
    </xf>
    <xf numFmtId="44" fontId="2" fillId="3" borderId="0" xfId="3" applyBorder="1" applyAlignment="1">
      <alignment horizontal="center" vertical="center"/>
    </xf>
    <xf numFmtId="44" fontId="2" fillId="3" borderId="6" xfId="3" applyBorder="1" applyAlignment="1">
      <alignment horizontal="center" vertical="center"/>
    </xf>
    <xf numFmtId="0" fontId="14" fillId="2" borderId="10" xfId="2" applyBorder="1" applyAlignment="1">
      <alignment horizontal="center" vertical="center"/>
    </xf>
    <xf numFmtId="0" fontId="14" fillId="2" borderId="11" xfId="2" applyBorder="1" applyAlignment="1">
      <alignment horizontal="center" vertical="center"/>
    </xf>
    <xf numFmtId="0" fontId="14" fillId="2" borderId="12" xfId="2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14" fillId="2" borderId="5" xfId="2" applyBorder="1" applyAlignment="1">
      <alignment horizontal="center" vertical="center"/>
    </xf>
    <xf numFmtId="0" fontId="14" fillId="2" borderId="0" xfId="2" applyBorder="1" applyAlignment="1">
      <alignment horizontal="center" vertical="center"/>
    </xf>
    <xf numFmtId="0" fontId="14" fillId="2" borderId="6" xfId="2" applyBorder="1" applyAlignment="1">
      <alignment horizontal="center" vertical="center"/>
    </xf>
  </cellXfs>
  <cellStyles count="5">
    <cellStyle name="Normal" xfId="0" builtinId="0"/>
    <cellStyle name="Normal 2" xfId="4" xr:uid="{96717DA8-8506-7948-93B2-E64798E5048C}"/>
    <cellStyle name="Style 1" xfId="1" xr:uid="{E9734D74-C14B-F349-9220-5CF9F575C825}"/>
    <cellStyle name="Style 2" xfId="2" xr:uid="{DB0E173A-D528-4D48-AA94-58B6731383E4}"/>
    <cellStyle name="Style 3" xfId="3" xr:uid="{63ECF148-0B2D-D047-A311-5DA3DA3C8D7B}"/>
  </cellStyles>
  <dxfs count="0"/>
  <tableStyles count="0" defaultTableStyle="TableStyleMedium2" defaultPivotStyle="PivotStyleLight16"/>
  <colors>
    <mruColors>
      <color rgb="FF4F07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5" Type="http://schemas.openxmlformats.org/officeDocument/2006/relationships/image" Target="../media/image12.emf"/><Relationship Id="rId4" Type="http://schemas.openxmlformats.org/officeDocument/2006/relationships/image" Target="../media/image1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313269</xdr:colOff>
      <xdr:row>27</xdr:row>
      <xdr:rowOff>42333</xdr:rowOff>
    </xdr:from>
    <xdr:ext cx="2552094" cy="102625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888989" y="4765813"/>
          <a:ext cx="1026253" cy="2552094"/>
        </a:xfrm>
        <a:prstGeom prst="rect">
          <a:avLst/>
        </a:prstGeom>
      </xdr:spPr>
    </xdr:pic>
    <xdr:clientData/>
  </xdr:oneCellAnchor>
  <xdr:twoCellAnchor>
    <xdr:from>
      <xdr:col>10</xdr:col>
      <xdr:colOff>8467</xdr:colOff>
      <xdr:row>81</xdr:row>
      <xdr:rowOff>8467</xdr:rowOff>
    </xdr:from>
    <xdr:to>
      <xdr:col>10</xdr:col>
      <xdr:colOff>406400</xdr:colOff>
      <xdr:row>81</xdr:row>
      <xdr:rowOff>8467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H="1">
          <a:off x="8136467" y="16467667"/>
          <a:ext cx="39793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25399</xdr:colOff>
      <xdr:row>77</xdr:row>
      <xdr:rowOff>8467</xdr:rowOff>
    </xdr:from>
    <xdr:to>
      <xdr:col>11</xdr:col>
      <xdr:colOff>190500</xdr:colOff>
      <xdr:row>77</xdr:row>
      <xdr:rowOff>9072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H="1" flipV="1">
          <a:off x="8153399" y="15654867"/>
          <a:ext cx="977901" cy="6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508961</xdr:colOff>
      <xdr:row>81</xdr:row>
      <xdr:rowOff>6349</xdr:rowOff>
    </xdr:from>
    <xdr:to>
      <xdr:col>11</xdr:col>
      <xdr:colOff>523776</xdr:colOff>
      <xdr:row>81</xdr:row>
      <xdr:rowOff>6349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H="1">
          <a:off x="8636961" y="16465549"/>
          <a:ext cx="82761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295727</xdr:colOff>
      <xdr:row>77</xdr:row>
      <xdr:rowOff>6654</xdr:rowOff>
    </xdr:from>
    <xdr:to>
      <xdr:col>11</xdr:col>
      <xdr:colOff>1233712</xdr:colOff>
      <xdr:row>77</xdr:row>
      <xdr:rowOff>9072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H="1" flipV="1">
          <a:off x="9236527" y="15653054"/>
          <a:ext cx="518885" cy="241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286656</xdr:colOff>
      <xdr:row>52</xdr:row>
      <xdr:rowOff>98304</xdr:rowOff>
    </xdr:from>
    <xdr:ext cx="5578629" cy="2045310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2866116" y="8898044"/>
          <a:ext cx="2045310" cy="5578629"/>
        </a:xfrm>
        <a:prstGeom prst="rect">
          <a:avLst/>
        </a:prstGeom>
      </xdr:spPr>
    </xdr:pic>
    <xdr:clientData/>
  </xdr:oneCellAnchor>
  <xdr:oneCellAnchor>
    <xdr:from>
      <xdr:col>1</xdr:col>
      <xdr:colOff>46958</xdr:colOff>
      <xdr:row>110</xdr:row>
      <xdr:rowOff>169335</xdr:rowOff>
    </xdr:from>
    <xdr:ext cx="5926963" cy="1621115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2744168" y="15280772"/>
          <a:ext cx="1621115" cy="5926963"/>
        </a:xfrm>
        <a:prstGeom prst="rect">
          <a:avLst/>
        </a:prstGeom>
      </xdr:spPr>
    </xdr:pic>
    <xdr:clientData/>
  </xdr:oneCellAnchor>
  <xdr:twoCellAnchor>
    <xdr:from>
      <xdr:col>10</xdr:col>
      <xdr:colOff>8467</xdr:colOff>
      <xdr:row>159</xdr:row>
      <xdr:rowOff>8467</xdr:rowOff>
    </xdr:from>
    <xdr:to>
      <xdr:col>10</xdr:col>
      <xdr:colOff>406400</xdr:colOff>
      <xdr:row>159</xdr:row>
      <xdr:rowOff>8467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H="1">
          <a:off x="8136467" y="32114067"/>
          <a:ext cx="39793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25399</xdr:colOff>
      <xdr:row>155</xdr:row>
      <xdr:rowOff>8467</xdr:rowOff>
    </xdr:from>
    <xdr:to>
      <xdr:col>11</xdr:col>
      <xdr:colOff>190500</xdr:colOff>
      <xdr:row>155</xdr:row>
      <xdr:rowOff>9072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 flipV="1">
          <a:off x="8153399" y="31301267"/>
          <a:ext cx="977901" cy="6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508961</xdr:colOff>
      <xdr:row>159</xdr:row>
      <xdr:rowOff>6349</xdr:rowOff>
    </xdr:from>
    <xdr:to>
      <xdr:col>11</xdr:col>
      <xdr:colOff>523776</xdr:colOff>
      <xdr:row>159</xdr:row>
      <xdr:rowOff>6349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H="1">
          <a:off x="8636961" y="32111949"/>
          <a:ext cx="82761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295727</xdr:colOff>
      <xdr:row>155</xdr:row>
      <xdr:rowOff>6654</xdr:rowOff>
    </xdr:from>
    <xdr:to>
      <xdr:col>11</xdr:col>
      <xdr:colOff>1233712</xdr:colOff>
      <xdr:row>155</xdr:row>
      <xdr:rowOff>9072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H="1" flipV="1">
          <a:off x="9236527" y="31299454"/>
          <a:ext cx="518885" cy="241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286656</xdr:colOff>
      <xdr:row>130</xdr:row>
      <xdr:rowOff>98304</xdr:rowOff>
    </xdr:from>
    <xdr:ext cx="5611858" cy="2058425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200000">
          <a:off x="2876172" y="24534388"/>
          <a:ext cx="2058425" cy="5611858"/>
        </a:xfrm>
        <a:prstGeom prst="rect">
          <a:avLst/>
        </a:prstGeom>
      </xdr:spPr>
    </xdr:pic>
    <xdr:clientData/>
  </xdr:oneCellAnchor>
  <xdr:oneCellAnchor>
    <xdr:from>
      <xdr:col>1</xdr:col>
      <xdr:colOff>46958</xdr:colOff>
      <xdr:row>188</xdr:row>
      <xdr:rowOff>97894</xdr:rowOff>
    </xdr:from>
    <xdr:ext cx="5960192" cy="1631813"/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3023947" y="35932105"/>
          <a:ext cx="1631813" cy="5960192"/>
        </a:xfrm>
        <a:prstGeom prst="rect">
          <a:avLst/>
        </a:prstGeom>
      </xdr:spPr>
    </xdr:pic>
    <xdr:clientData/>
  </xdr:oneCellAnchor>
  <xdr:twoCellAnchor>
    <xdr:from>
      <xdr:col>10</xdr:col>
      <xdr:colOff>8467</xdr:colOff>
      <xdr:row>237</xdr:row>
      <xdr:rowOff>8467</xdr:rowOff>
    </xdr:from>
    <xdr:to>
      <xdr:col>10</xdr:col>
      <xdr:colOff>406400</xdr:colOff>
      <xdr:row>237</xdr:row>
      <xdr:rowOff>8467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>
          <a:off x="8136467" y="47963667"/>
          <a:ext cx="39793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25399</xdr:colOff>
      <xdr:row>233</xdr:row>
      <xdr:rowOff>8467</xdr:rowOff>
    </xdr:from>
    <xdr:to>
      <xdr:col>11</xdr:col>
      <xdr:colOff>190500</xdr:colOff>
      <xdr:row>233</xdr:row>
      <xdr:rowOff>9072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 flipH="1" flipV="1">
          <a:off x="8153399" y="47150867"/>
          <a:ext cx="977901" cy="6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493185</xdr:colOff>
      <xdr:row>237</xdr:row>
      <xdr:rowOff>6349</xdr:rowOff>
    </xdr:from>
    <xdr:to>
      <xdr:col>11</xdr:col>
      <xdr:colOff>508000</xdr:colOff>
      <xdr:row>237</xdr:row>
      <xdr:rowOff>6349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H="1">
          <a:off x="8621185" y="47961549"/>
          <a:ext cx="82761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295727</xdr:colOff>
      <xdr:row>233</xdr:row>
      <xdr:rowOff>6654</xdr:rowOff>
    </xdr:from>
    <xdr:to>
      <xdr:col>11</xdr:col>
      <xdr:colOff>1233712</xdr:colOff>
      <xdr:row>233</xdr:row>
      <xdr:rowOff>9072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 flipH="1" flipV="1">
          <a:off x="9236527" y="47149054"/>
          <a:ext cx="518885" cy="241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286656</xdr:colOff>
      <xdr:row>208</xdr:row>
      <xdr:rowOff>98304</xdr:rowOff>
    </xdr:from>
    <xdr:ext cx="5611858" cy="2058425"/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6200000">
          <a:off x="2876172" y="40383988"/>
          <a:ext cx="2058425" cy="5611858"/>
        </a:xfrm>
        <a:prstGeom prst="rect">
          <a:avLst/>
        </a:prstGeom>
      </xdr:spPr>
    </xdr:pic>
    <xdr:clientData/>
  </xdr:oneCellAnchor>
  <xdr:oneCellAnchor>
    <xdr:from>
      <xdr:col>1</xdr:col>
      <xdr:colOff>46958</xdr:colOff>
      <xdr:row>266</xdr:row>
      <xdr:rowOff>97894</xdr:rowOff>
    </xdr:from>
    <xdr:ext cx="5960192" cy="1631813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6200000">
          <a:off x="3023947" y="51781705"/>
          <a:ext cx="1631813" cy="596019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26</xdr:row>
      <xdr:rowOff>24127</xdr:rowOff>
    </xdr:from>
    <xdr:to>
      <xdr:col>4</xdr:col>
      <xdr:colOff>471999</xdr:colOff>
      <xdr:row>41</xdr:row>
      <xdr:rowOff>24127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237058" y="3912452"/>
          <a:ext cx="2286000" cy="2586549"/>
        </a:xfrm>
        <a:prstGeom prst="rect">
          <a:avLst/>
        </a:prstGeom>
      </xdr:spPr>
    </xdr:pic>
    <xdr:clientData/>
  </xdr:twoCellAnchor>
  <xdr:twoCellAnchor editAs="oneCell">
    <xdr:from>
      <xdr:col>1</xdr:col>
      <xdr:colOff>313269</xdr:colOff>
      <xdr:row>46</xdr:row>
      <xdr:rowOff>42333</xdr:rowOff>
    </xdr:from>
    <xdr:to>
      <xdr:col>6</xdr:col>
      <xdr:colOff>143935</xdr:colOff>
      <xdr:row>53</xdr:row>
      <xdr:rowOff>19455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1632808" y="4530927"/>
          <a:ext cx="1043922" cy="2582333"/>
        </a:xfrm>
        <a:prstGeom prst="rect">
          <a:avLst/>
        </a:prstGeom>
      </xdr:spPr>
    </xdr:pic>
    <xdr:clientData/>
  </xdr:twoCellAnchor>
  <xdr:oneCellAnchor>
    <xdr:from>
      <xdr:col>0</xdr:col>
      <xdr:colOff>86783</xdr:colOff>
      <xdr:row>120</xdr:row>
      <xdr:rowOff>7192</xdr:rowOff>
    </xdr:from>
    <xdr:ext cx="2586549" cy="22860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237058" y="17103517"/>
          <a:ext cx="2286000" cy="2586549"/>
        </a:xfrm>
        <a:prstGeom prst="rect">
          <a:avLst/>
        </a:prstGeom>
      </xdr:spPr>
    </xdr:pic>
    <xdr:clientData/>
  </xdr:oneCellAnchor>
  <xdr:twoCellAnchor editAs="oneCell">
    <xdr:from>
      <xdr:col>5</xdr:col>
      <xdr:colOff>524932</xdr:colOff>
      <xdr:row>25</xdr:row>
      <xdr:rowOff>67730</xdr:rowOff>
    </xdr:from>
    <xdr:to>
      <xdr:col>11</xdr:col>
      <xdr:colOff>698501</xdr:colOff>
      <xdr:row>41</xdr:row>
      <xdr:rowOff>6520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200000">
          <a:off x="3758055" y="3472474"/>
          <a:ext cx="2377190" cy="3340102"/>
        </a:xfrm>
        <a:prstGeom prst="rect">
          <a:avLst/>
        </a:prstGeom>
      </xdr:spPr>
    </xdr:pic>
    <xdr:clientData/>
  </xdr:twoCellAnchor>
  <xdr:twoCellAnchor>
    <xdr:from>
      <xdr:col>4</xdr:col>
      <xdr:colOff>192617</xdr:colOff>
      <xdr:row>114</xdr:row>
      <xdr:rowOff>28809</xdr:rowOff>
    </xdr:from>
    <xdr:to>
      <xdr:col>11</xdr:col>
      <xdr:colOff>855136</xdr:colOff>
      <xdr:row>145</xdr:row>
      <xdr:rowOff>2103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2306762" y="16642930"/>
          <a:ext cx="4553761" cy="4379386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81</xdr:row>
      <xdr:rowOff>10279</xdr:rowOff>
    </xdr:from>
    <xdr:to>
      <xdr:col>11</xdr:col>
      <xdr:colOff>162456</xdr:colOff>
      <xdr:row>81</xdr:row>
      <xdr:rowOff>10884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CxnSpPr/>
      </xdr:nvCxnSpPr>
      <xdr:spPr>
        <a:xfrm flipH="1" flipV="1">
          <a:off x="5367867" y="12430879"/>
          <a:ext cx="712789" cy="6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267683</xdr:colOff>
      <xdr:row>81</xdr:row>
      <xdr:rowOff>8466</xdr:rowOff>
    </xdr:from>
    <xdr:to>
      <xdr:col>11</xdr:col>
      <xdr:colOff>1205668</xdr:colOff>
      <xdr:row>81</xdr:row>
      <xdr:rowOff>10884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CxnSpPr/>
      </xdr:nvCxnSpPr>
      <xdr:spPr>
        <a:xfrm flipH="1" flipV="1">
          <a:off x="6185883" y="12429066"/>
          <a:ext cx="937985" cy="241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8467</xdr:colOff>
      <xdr:row>46</xdr:row>
      <xdr:rowOff>8467</xdr:rowOff>
    </xdr:from>
    <xdr:to>
      <xdr:col>10</xdr:col>
      <xdr:colOff>406400</xdr:colOff>
      <xdr:row>46</xdr:row>
      <xdr:rowOff>8467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flipH="1">
          <a:off x="5342467" y="7323667"/>
          <a:ext cx="39793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25399</xdr:colOff>
      <xdr:row>42</xdr:row>
      <xdr:rowOff>8467</xdr:rowOff>
    </xdr:from>
    <xdr:to>
      <xdr:col>11</xdr:col>
      <xdr:colOff>190500</xdr:colOff>
      <xdr:row>42</xdr:row>
      <xdr:rowOff>9072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 flipH="1" flipV="1">
          <a:off x="5359399" y="6714067"/>
          <a:ext cx="711201" cy="6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493185</xdr:colOff>
      <xdr:row>46</xdr:row>
      <xdr:rowOff>6349</xdr:rowOff>
    </xdr:from>
    <xdr:to>
      <xdr:col>11</xdr:col>
      <xdr:colOff>508000</xdr:colOff>
      <xdr:row>46</xdr:row>
      <xdr:rowOff>6349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flipH="1">
          <a:off x="5827185" y="7321549"/>
          <a:ext cx="56091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295727</xdr:colOff>
      <xdr:row>42</xdr:row>
      <xdr:rowOff>6654</xdr:rowOff>
    </xdr:from>
    <xdr:to>
      <xdr:col>11</xdr:col>
      <xdr:colOff>1233712</xdr:colOff>
      <xdr:row>42</xdr:row>
      <xdr:rowOff>9072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 flipH="1" flipV="1">
          <a:off x="6175827" y="6712254"/>
          <a:ext cx="937985" cy="241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222248</xdr:colOff>
      <xdr:row>82</xdr:row>
      <xdr:rowOff>15878</xdr:rowOff>
    </xdr:from>
    <xdr:to>
      <xdr:col>2</xdr:col>
      <xdr:colOff>542288</xdr:colOff>
      <xdr:row>82</xdr:row>
      <xdr:rowOff>15878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H="1">
          <a:off x="1314448" y="12969878"/>
          <a:ext cx="3200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334975</xdr:colOff>
      <xdr:row>71</xdr:row>
      <xdr:rowOff>25394</xdr:rowOff>
    </xdr:from>
    <xdr:to>
      <xdr:col>5</xdr:col>
      <xdr:colOff>472135</xdr:colOff>
      <xdr:row>71</xdr:row>
      <xdr:rowOff>25394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 flipH="1">
          <a:off x="3065475" y="11302994"/>
          <a:ext cx="13716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11127</xdr:colOff>
      <xdr:row>71</xdr:row>
      <xdr:rowOff>19040</xdr:rowOff>
    </xdr:from>
    <xdr:to>
      <xdr:col>6</xdr:col>
      <xdr:colOff>194007</xdr:colOff>
      <xdr:row>71</xdr:row>
      <xdr:rowOff>19040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H="1">
          <a:off x="3287727" y="11296640"/>
          <a:ext cx="1828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8467</xdr:colOff>
      <xdr:row>102</xdr:row>
      <xdr:rowOff>8467</xdr:rowOff>
    </xdr:from>
    <xdr:to>
      <xdr:col>10</xdr:col>
      <xdr:colOff>406400</xdr:colOff>
      <xdr:row>102</xdr:row>
      <xdr:rowOff>8467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CxnSpPr/>
      </xdr:nvCxnSpPr>
      <xdr:spPr>
        <a:xfrm flipH="1">
          <a:off x="5342467" y="16061267"/>
          <a:ext cx="39793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25399</xdr:colOff>
      <xdr:row>98</xdr:row>
      <xdr:rowOff>8467</xdr:rowOff>
    </xdr:from>
    <xdr:to>
      <xdr:col>11</xdr:col>
      <xdr:colOff>190500</xdr:colOff>
      <xdr:row>98</xdr:row>
      <xdr:rowOff>9072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 flipH="1" flipV="1">
          <a:off x="5359399" y="15451667"/>
          <a:ext cx="711201" cy="6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493185</xdr:colOff>
      <xdr:row>102</xdr:row>
      <xdr:rowOff>6349</xdr:rowOff>
    </xdr:from>
    <xdr:to>
      <xdr:col>11</xdr:col>
      <xdr:colOff>508000</xdr:colOff>
      <xdr:row>102</xdr:row>
      <xdr:rowOff>6349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CxnSpPr/>
      </xdr:nvCxnSpPr>
      <xdr:spPr>
        <a:xfrm flipH="1">
          <a:off x="5827185" y="16059149"/>
          <a:ext cx="56091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295727</xdr:colOff>
      <xdr:row>98</xdr:row>
      <xdr:rowOff>6654</xdr:rowOff>
    </xdr:from>
    <xdr:to>
      <xdr:col>11</xdr:col>
      <xdr:colOff>1233712</xdr:colOff>
      <xdr:row>98</xdr:row>
      <xdr:rowOff>9072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CxnSpPr/>
      </xdr:nvCxnSpPr>
      <xdr:spPr>
        <a:xfrm flipH="1" flipV="1">
          <a:off x="6175827" y="15449854"/>
          <a:ext cx="937985" cy="241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222248</xdr:colOff>
      <xdr:row>138</xdr:row>
      <xdr:rowOff>15878</xdr:rowOff>
    </xdr:from>
    <xdr:to>
      <xdr:col>2</xdr:col>
      <xdr:colOff>542288</xdr:colOff>
      <xdr:row>138</xdr:row>
      <xdr:rowOff>15878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CxnSpPr/>
      </xdr:nvCxnSpPr>
      <xdr:spPr>
        <a:xfrm flipH="1">
          <a:off x="1314448" y="21707478"/>
          <a:ext cx="3200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334975</xdr:colOff>
      <xdr:row>127</xdr:row>
      <xdr:rowOff>25394</xdr:rowOff>
    </xdr:from>
    <xdr:to>
      <xdr:col>5</xdr:col>
      <xdr:colOff>472135</xdr:colOff>
      <xdr:row>127</xdr:row>
      <xdr:rowOff>25394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CxnSpPr/>
      </xdr:nvCxnSpPr>
      <xdr:spPr>
        <a:xfrm flipH="1">
          <a:off x="3065475" y="20040594"/>
          <a:ext cx="13716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11127</xdr:colOff>
      <xdr:row>127</xdr:row>
      <xdr:rowOff>19040</xdr:rowOff>
    </xdr:from>
    <xdr:to>
      <xdr:col>6</xdr:col>
      <xdr:colOff>194007</xdr:colOff>
      <xdr:row>127</xdr:row>
      <xdr:rowOff>19040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CxnSpPr/>
      </xdr:nvCxnSpPr>
      <xdr:spPr>
        <a:xfrm flipH="1">
          <a:off x="3287727" y="20034240"/>
          <a:ext cx="1828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211365</xdr:colOff>
      <xdr:row>16</xdr:row>
      <xdr:rowOff>18776</xdr:rowOff>
    </xdr:from>
    <xdr:to>
      <xdr:col>5</xdr:col>
      <xdr:colOff>195207</xdr:colOff>
      <xdr:row>29</xdr:row>
      <xdr:rowOff>77302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821723" y="2621518"/>
          <a:ext cx="2039726" cy="2168242"/>
        </a:xfrm>
        <a:prstGeom prst="rect">
          <a:avLst/>
        </a:prstGeom>
      </xdr:spPr>
    </xdr:pic>
    <xdr:clientData/>
  </xdr:twoCellAnchor>
  <xdr:twoCellAnchor editAs="oneCell">
    <xdr:from>
      <xdr:col>0</xdr:col>
      <xdr:colOff>338078</xdr:colOff>
      <xdr:row>147</xdr:row>
      <xdr:rowOff>49823</xdr:rowOff>
    </xdr:from>
    <xdr:to>
      <xdr:col>11</xdr:col>
      <xdr:colOff>1403721</xdr:colOff>
      <xdr:row>184</xdr:row>
      <xdr:rowOff>132305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1243614" y="22205236"/>
          <a:ext cx="5138368" cy="69494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218576</xdr:colOff>
      <xdr:row>19</xdr:row>
      <xdr:rowOff>153734</xdr:rowOff>
    </xdr:from>
    <xdr:to>
      <xdr:col>5</xdr:col>
      <xdr:colOff>196606</xdr:colOff>
      <xdr:row>33</xdr:row>
      <xdr:rowOff>69857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821029" y="3069181"/>
          <a:ext cx="2049723" cy="2162430"/>
        </a:xfrm>
        <a:prstGeom prst="rect">
          <a:avLst/>
        </a:prstGeom>
      </xdr:spPr>
    </xdr:pic>
    <xdr:clientData/>
  </xdr:twoCellAnchor>
  <xdr:twoCellAnchor editAs="oneCell">
    <xdr:from>
      <xdr:col>0</xdr:col>
      <xdr:colOff>453567</xdr:colOff>
      <xdr:row>104</xdr:row>
      <xdr:rowOff>193520</xdr:rowOff>
    </xdr:from>
    <xdr:to>
      <xdr:col>11</xdr:col>
      <xdr:colOff>988177</xdr:colOff>
      <xdr:row>123</xdr:row>
      <xdr:rowOff>72853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567" y="16195520"/>
          <a:ext cx="6414710" cy="28257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366437</xdr:colOff>
      <xdr:row>15</xdr:row>
      <xdr:rowOff>27716</xdr:rowOff>
    </xdr:from>
    <xdr:to>
      <xdr:col>5</xdr:col>
      <xdr:colOff>148766</xdr:colOff>
      <xdr:row>28</xdr:row>
      <xdr:rowOff>5603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931440" y="2510714"/>
          <a:ext cx="1938449" cy="1973079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72</xdr:row>
      <xdr:rowOff>25400</xdr:rowOff>
    </xdr:from>
    <xdr:to>
      <xdr:col>10</xdr:col>
      <xdr:colOff>474267</xdr:colOff>
      <xdr:row>99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7200" y="11684000"/>
          <a:ext cx="4081067" cy="411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0032-586F-5F49-88E1-4CF7B5B65CD5}">
  <sheetPr codeName="Sheet2">
    <tabColor theme="9"/>
    <pageSetUpPr fitToPage="1"/>
  </sheetPr>
  <dimension ref="A1:O279"/>
  <sheetViews>
    <sheetView showGridLines="0" tabSelected="1" topLeftCell="A258" zoomScale="175" zoomScaleNormal="175" zoomScaleSheetLayoutView="161" zoomScalePageLayoutView="160" workbookViewId="0">
      <selection activeCell="N274" sqref="N274"/>
    </sheetView>
  </sheetViews>
  <sheetFormatPr baseColWidth="10" defaultColWidth="10.6640625" defaultRowHeight="11" x14ac:dyDescent="0.15"/>
  <cols>
    <col min="1" max="6" width="7.1640625" style="1" customWidth="1"/>
    <col min="7" max="7" width="6.83203125" style="1" customWidth="1"/>
    <col min="8" max="8" width="6.33203125" style="1" customWidth="1"/>
    <col min="9" max="9" width="7.1640625" style="1" customWidth="1"/>
    <col min="10" max="10" width="6.6640625" style="1" customWidth="1"/>
    <col min="11" max="11" width="7.1640625" style="1" customWidth="1"/>
    <col min="12" max="12" width="21.1640625" style="1" customWidth="1"/>
    <col min="13" max="13" width="17.83203125" style="1" customWidth="1"/>
    <col min="14" max="15" width="10.6640625" style="80"/>
    <col min="16" max="16384" width="10.6640625" style="1"/>
  </cols>
  <sheetData>
    <row r="1" spans="1:15" ht="18" customHeight="1" x14ac:dyDescent="0.15">
      <c r="A1" s="214" t="str">
        <f>CONCATENATE("ONE WAY SLAB DESIGN (", N1, ")")</f>
        <v>ONE WAY SLAB DESIGN (S1-A)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6"/>
      <c r="M1" s="1" t="s">
        <v>122</v>
      </c>
      <c r="N1" s="234" t="s">
        <v>126</v>
      </c>
      <c r="O1" s="234"/>
    </row>
    <row r="2" spans="1:15" ht="12.75" customHeight="1" x14ac:dyDescent="0.15">
      <c r="A2" s="11"/>
      <c r="B2" s="87"/>
      <c r="C2" s="87"/>
      <c r="D2" s="87"/>
      <c r="E2" s="87"/>
      <c r="F2" s="87"/>
      <c r="G2" s="87"/>
      <c r="H2" s="87"/>
      <c r="L2" s="13"/>
      <c r="M2" s="1" t="s">
        <v>125</v>
      </c>
      <c r="N2" s="233">
        <v>1</v>
      </c>
      <c r="O2" s="233"/>
    </row>
    <row r="3" spans="1:15" ht="12.75" customHeight="1" x14ac:dyDescent="0.15">
      <c r="A3" s="14"/>
      <c r="B3" s="7" t="s">
        <v>112</v>
      </c>
      <c r="C3" s="1" t="s">
        <v>110</v>
      </c>
      <c r="I3" s="7" t="s">
        <v>1</v>
      </c>
      <c r="J3" s="1" t="s">
        <v>97</v>
      </c>
      <c r="L3" s="13"/>
      <c r="M3" s="1" t="s">
        <v>163</v>
      </c>
      <c r="N3" s="233" t="s">
        <v>129</v>
      </c>
      <c r="O3" s="233"/>
    </row>
    <row r="4" spans="1:15" ht="12.75" customHeight="1" x14ac:dyDescent="0.15">
      <c r="A4" s="14"/>
      <c r="B4" s="7" t="s">
        <v>113</v>
      </c>
      <c r="C4" s="1" t="s">
        <v>111</v>
      </c>
      <c r="I4" s="7" t="s">
        <v>2</v>
      </c>
      <c r="J4" s="1" t="s">
        <v>98</v>
      </c>
      <c r="L4" s="13"/>
      <c r="M4" s="1" t="s">
        <v>164</v>
      </c>
      <c r="N4" s="233">
        <v>5</v>
      </c>
      <c r="O4" s="233"/>
    </row>
    <row r="5" spans="1:15" ht="12.75" customHeight="1" x14ac:dyDescent="0.15">
      <c r="A5" s="14"/>
      <c r="B5" s="7" t="s">
        <v>3</v>
      </c>
      <c r="C5" s="1" t="s">
        <v>99</v>
      </c>
      <c r="I5" s="7" t="s">
        <v>114</v>
      </c>
      <c r="J5" s="1" t="s">
        <v>123</v>
      </c>
      <c r="L5" s="13"/>
      <c r="M5" s="1" t="s">
        <v>165</v>
      </c>
      <c r="N5" s="233" t="s">
        <v>370</v>
      </c>
      <c r="O5" s="233"/>
    </row>
    <row r="6" spans="1:15" ht="12.75" customHeight="1" x14ac:dyDescent="0.15">
      <c r="A6" s="14"/>
      <c r="B6" s="7" t="s">
        <v>4</v>
      </c>
      <c r="C6" s="1" t="s">
        <v>100</v>
      </c>
      <c r="I6" s="7" t="s">
        <v>124</v>
      </c>
      <c r="J6" s="1" t="str">
        <f>IF(N2=1, CONCATENATE(N1, " (One End Continuous)"), IF(N2=2, CONCATENATE(N1, " (Both Ends Continuous)"), ""))</f>
        <v>S1-A (One End Continuous)</v>
      </c>
      <c r="L6" s="13"/>
      <c r="M6" s="1" t="s">
        <v>166</v>
      </c>
      <c r="N6" s="233">
        <v>0.05</v>
      </c>
      <c r="O6" s="233"/>
    </row>
    <row r="7" spans="1:15" ht="12.75" customHeight="1" thickBot="1" x14ac:dyDescent="0.2">
      <c r="A7" s="16"/>
      <c r="B7" s="17"/>
      <c r="C7" s="18"/>
      <c r="D7" s="18"/>
      <c r="E7" s="18"/>
      <c r="F7" s="18"/>
      <c r="G7" s="18"/>
      <c r="H7" s="18"/>
      <c r="I7" s="17"/>
      <c r="J7" s="18"/>
      <c r="K7" s="18"/>
      <c r="L7" s="19"/>
      <c r="M7" s="1" t="s">
        <v>127</v>
      </c>
      <c r="N7" s="233" t="s">
        <v>369</v>
      </c>
      <c r="O7" s="233"/>
    </row>
    <row r="8" spans="1:15" ht="12.75" customHeight="1" thickBot="1" x14ac:dyDescent="0.2">
      <c r="M8" s="1" t="s">
        <v>128</v>
      </c>
      <c r="N8" s="233">
        <v>1.9</v>
      </c>
      <c r="O8" s="233"/>
    </row>
    <row r="9" spans="1:15" ht="18" customHeight="1" x14ac:dyDescent="0.15">
      <c r="A9" s="214" t="s">
        <v>48</v>
      </c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6"/>
      <c r="M9" s="1" t="s">
        <v>235</v>
      </c>
      <c r="N9" s="233">
        <v>1.7</v>
      </c>
      <c r="O9" s="233"/>
    </row>
    <row r="10" spans="1:15" ht="12.75" customHeight="1" x14ac:dyDescent="0.15">
      <c r="A10" s="11"/>
      <c r="B10" s="87"/>
      <c r="C10" s="87"/>
      <c r="D10" s="87"/>
      <c r="E10" s="87"/>
      <c r="F10" s="87"/>
      <c r="G10" s="87"/>
      <c r="H10" s="87"/>
      <c r="L10" s="13"/>
    </row>
    <row r="11" spans="1:15" ht="12.75" customHeight="1" x14ac:dyDescent="0.15">
      <c r="A11" s="20" t="s">
        <v>16</v>
      </c>
      <c r="B11" s="4">
        <v>20.7</v>
      </c>
      <c r="C11" s="1" t="s">
        <v>5</v>
      </c>
      <c r="D11" s="1" t="s">
        <v>6</v>
      </c>
      <c r="H11" s="97" t="s">
        <v>19</v>
      </c>
      <c r="I11" s="4">
        <f>N8</f>
        <v>1.9</v>
      </c>
      <c r="J11" s="1" t="s">
        <v>11</v>
      </c>
      <c r="K11" s="1" t="str">
        <f>CONCATENATE("Live Load (", N7, ")")</f>
        <v>Live Load (Basic Floor Area)</v>
      </c>
      <c r="L11" s="13"/>
    </row>
    <row r="12" spans="1:15" ht="12.75" customHeight="1" x14ac:dyDescent="0.15">
      <c r="A12" s="20" t="s">
        <v>17</v>
      </c>
      <c r="B12" s="4">
        <v>276</v>
      </c>
      <c r="C12" s="1" t="s">
        <v>5</v>
      </c>
      <c r="D12" s="1" t="s">
        <v>7</v>
      </c>
      <c r="H12" s="97" t="s">
        <v>161</v>
      </c>
      <c r="I12" s="4">
        <f>N4</f>
        <v>5</v>
      </c>
      <c r="J12" s="1" t="s">
        <v>11</v>
      </c>
      <c r="K12" s="1" t="str">
        <f>CONCATENATE("Floor Finish (", N3, ")")</f>
        <v>Floor Finish (Ceramic Tile on 25 mm Bed)</v>
      </c>
      <c r="L12" s="13"/>
    </row>
    <row r="13" spans="1:15" ht="12.75" customHeight="1" x14ac:dyDescent="0.15">
      <c r="A13" s="20" t="s">
        <v>147</v>
      </c>
      <c r="B13" s="4">
        <v>23.5</v>
      </c>
      <c r="C13" s="1" t="s">
        <v>10</v>
      </c>
      <c r="D13" s="1" t="s">
        <v>8</v>
      </c>
      <c r="H13" s="80" t="s">
        <v>162</v>
      </c>
      <c r="I13" s="4">
        <f>N6</f>
        <v>0.05</v>
      </c>
      <c r="J13" s="1" t="s">
        <v>11</v>
      </c>
      <c r="K13" s="1" t="str">
        <f>CONCATENATE("Ceiling Finish (", N5, ")")</f>
        <v>Ceiling Finish (Acoustical Fiber Board)</v>
      </c>
      <c r="L13" s="13"/>
    </row>
    <row r="14" spans="1:15" ht="12.75" customHeight="1" x14ac:dyDescent="0.15">
      <c r="A14" s="20" t="s">
        <v>70</v>
      </c>
      <c r="B14" s="4" t="str">
        <f>IF(B11&lt;29,"0.85",0.85-((0.05/7)*(B11-28)))</f>
        <v>0.85</v>
      </c>
      <c r="D14" s="1" t="s">
        <v>9</v>
      </c>
      <c r="H14" s="80" t="s">
        <v>82</v>
      </c>
      <c r="I14" s="4">
        <v>12</v>
      </c>
      <c r="J14" s="1" t="s">
        <v>29</v>
      </c>
      <c r="K14" s="1" t="s">
        <v>80</v>
      </c>
      <c r="L14" s="13"/>
    </row>
    <row r="15" spans="1:15" ht="12.75" customHeight="1" x14ac:dyDescent="0.15">
      <c r="A15" s="20" t="s">
        <v>133</v>
      </c>
      <c r="B15" s="4">
        <f>N9</f>
        <v>1.7</v>
      </c>
      <c r="C15" s="1" t="s">
        <v>28</v>
      </c>
      <c r="D15" s="1" t="s">
        <v>134</v>
      </c>
      <c r="H15" s="97" t="s">
        <v>81</v>
      </c>
      <c r="I15" s="4">
        <v>10</v>
      </c>
      <c r="J15" s="1" t="s">
        <v>29</v>
      </c>
      <c r="K15" s="1" t="s">
        <v>79</v>
      </c>
      <c r="L15" s="13"/>
    </row>
    <row r="16" spans="1:15" ht="12.75" customHeight="1" thickBot="1" x14ac:dyDescent="0.2">
      <c r="A16" s="22"/>
      <c r="B16" s="59"/>
      <c r="C16" s="18"/>
      <c r="D16" s="18"/>
      <c r="E16" s="18"/>
      <c r="F16" s="18"/>
      <c r="G16" s="18"/>
      <c r="H16" s="18"/>
      <c r="I16" s="18"/>
      <c r="J16" s="18"/>
      <c r="K16" s="18"/>
      <c r="L16" s="19"/>
    </row>
    <row r="17" spans="1:13" ht="12.75" customHeight="1" thickBot="1" x14ac:dyDescent="0.2"/>
    <row r="18" spans="1:13" ht="18" customHeight="1" x14ac:dyDescent="0.15">
      <c r="A18" s="214" t="s">
        <v>130</v>
      </c>
      <c r="B18" s="215"/>
      <c r="C18" s="215"/>
      <c r="D18" s="215"/>
      <c r="E18" s="215"/>
      <c r="F18" s="215"/>
      <c r="G18" s="215"/>
      <c r="H18" s="215"/>
      <c r="I18" s="215"/>
      <c r="J18" s="215"/>
      <c r="K18" s="215"/>
      <c r="L18" s="216"/>
    </row>
    <row r="19" spans="1:13" ht="12.75" customHeight="1" x14ac:dyDescent="0.15">
      <c r="A19" s="20"/>
      <c r="B19" s="82"/>
      <c r="L19" s="13"/>
    </row>
    <row r="20" spans="1:13" ht="12.75" customHeight="1" x14ac:dyDescent="0.15">
      <c r="A20" s="39"/>
      <c r="B20" s="2" t="str">
        <f>IF(N2=1, "NSCP 2015 407.3.1, Minimum Slab Thickness for One End Continuous: L/24", IF(N2=2, "NSCP 2015 407.3.1, Minimum Slab Thickness for Both Ends Continuous: L/28", ""))</f>
        <v>NSCP 2015 407.3.1, Minimum Slab Thickness for One End Continuous: L/24</v>
      </c>
      <c r="C20" s="2"/>
      <c r="D20" s="2"/>
      <c r="E20" s="2"/>
      <c r="F20" s="2"/>
      <c r="G20" s="2"/>
      <c r="H20" s="2"/>
      <c r="I20" s="2"/>
      <c r="J20" s="2"/>
      <c r="K20" s="2"/>
      <c r="L20" s="40"/>
    </row>
    <row r="21" spans="1:13" ht="12.75" customHeight="1" x14ac:dyDescent="0.15">
      <c r="A21" s="39"/>
      <c r="B21" s="84" t="s">
        <v>180</v>
      </c>
      <c r="C21" s="2"/>
      <c r="D21" s="2"/>
      <c r="E21" s="2"/>
      <c r="F21" s="2"/>
      <c r="G21" s="2"/>
      <c r="H21" s="2"/>
      <c r="I21" s="2"/>
      <c r="J21" s="2"/>
      <c r="K21" s="2"/>
      <c r="L21" s="13"/>
    </row>
    <row r="22" spans="1:13" ht="12.75" customHeight="1" x14ac:dyDescent="0.15">
      <c r="A22" s="39"/>
      <c r="B22" s="84"/>
      <c r="C22" s="2"/>
      <c r="D22" s="2"/>
      <c r="E22" s="2"/>
      <c r="F22" s="2"/>
      <c r="G22" s="2"/>
      <c r="H22" s="2"/>
      <c r="I22" s="2"/>
      <c r="J22" s="2"/>
      <c r="K22" s="2"/>
      <c r="L22" s="13"/>
    </row>
    <row r="23" spans="1:13" ht="12.75" customHeight="1" x14ac:dyDescent="0.15">
      <c r="A23" s="39"/>
      <c r="B23" s="2"/>
      <c r="C23" s="2"/>
      <c r="D23" s="2"/>
      <c r="E23" s="2"/>
      <c r="F23" s="2"/>
      <c r="G23" s="2"/>
      <c r="H23" s="80" t="s">
        <v>35</v>
      </c>
      <c r="I23" s="83" t="str">
        <f>IF(N2=1, "L/24 [0.4 + (fy/700)]", IF(N2=2, "L/28 [0.4 + (fy/700)]", ""))</f>
        <v>L/24 [0.4 + (fy/700)]</v>
      </c>
      <c r="J23" s="2"/>
      <c r="L23" s="40"/>
    </row>
    <row r="24" spans="1:13" ht="12.75" customHeight="1" x14ac:dyDescent="0.15">
      <c r="A24" s="39"/>
      <c r="B24" s="2"/>
      <c r="C24" s="2"/>
      <c r="E24" s="2"/>
      <c r="F24" s="2"/>
      <c r="G24" s="2"/>
      <c r="H24" s="80" t="s">
        <v>35</v>
      </c>
      <c r="I24" s="95">
        <f>(B15/24) *(0.4 + (B12/700))*1000</f>
        <v>56.261904761904759</v>
      </c>
      <c r="J24" s="1" t="s">
        <v>29</v>
      </c>
      <c r="K24" s="2"/>
      <c r="L24" s="40"/>
    </row>
    <row r="25" spans="1:13" ht="12.75" customHeight="1" x14ac:dyDescent="0.15">
      <c r="A25" s="39"/>
      <c r="B25" s="2"/>
      <c r="C25" s="2"/>
      <c r="D25" s="2"/>
      <c r="E25" s="2"/>
      <c r="F25" s="2"/>
      <c r="G25" s="7" t="s">
        <v>136</v>
      </c>
      <c r="H25" s="7" t="s">
        <v>135</v>
      </c>
      <c r="I25" s="87">
        <v>150</v>
      </c>
      <c r="J25" s="2" t="s">
        <v>29</v>
      </c>
      <c r="K25" s="2"/>
      <c r="L25" s="40"/>
    </row>
    <row r="26" spans="1:13" ht="12.75" customHeight="1" x14ac:dyDescent="0.15">
      <c r="A26" s="39"/>
      <c r="B26" s="2"/>
      <c r="C26" s="2"/>
      <c r="D26" s="2"/>
      <c r="E26" s="2"/>
      <c r="F26" s="2"/>
      <c r="G26" s="2"/>
      <c r="H26" s="2"/>
      <c r="I26" s="2"/>
      <c r="J26" s="2"/>
      <c r="K26" s="2"/>
      <c r="L26" s="40"/>
    </row>
    <row r="27" spans="1:13" ht="12.75" customHeight="1" x14ac:dyDescent="0.15">
      <c r="A27" s="39"/>
      <c r="B27" s="2" t="s">
        <v>53</v>
      </c>
      <c r="C27" s="2"/>
      <c r="D27" s="2"/>
      <c r="E27" s="2"/>
      <c r="F27" s="2"/>
      <c r="G27" s="2"/>
      <c r="H27" s="2"/>
      <c r="I27" s="2"/>
      <c r="J27" s="2"/>
      <c r="K27" s="2"/>
      <c r="L27" s="40"/>
    </row>
    <row r="28" spans="1:13" ht="12.75" customHeight="1" x14ac:dyDescent="0.15">
      <c r="A28" s="39"/>
      <c r="B28" s="2"/>
      <c r="C28" s="2"/>
      <c r="D28" s="2"/>
      <c r="E28" s="2"/>
      <c r="F28" s="2"/>
      <c r="G28" s="2"/>
      <c r="H28" s="2"/>
      <c r="I28" s="2"/>
      <c r="J28" s="2"/>
      <c r="K28" s="2"/>
      <c r="L28" s="40"/>
      <c r="M28" s="80"/>
    </row>
    <row r="29" spans="1:13" ht="12.75" customHeight="1" x14ac:dyDescent="0.15">
      <c r="A29" s="39"/>
      <c r="B29" s="2"/>
      <c r="C29" s="2"/>
      <c r="D29" s="2"/>
      <c r="E29" s="2"/>
      <c r="F29" s="2"/>
      <c r="G29" s="2"/>
      <c r="H29" s="80" t="s">
        <v>71</v>
      </c>
      <c r="I29" s="4">
        <v>1000</v>
      </c>
      <c r="J29" s="1" t="s">
        <v>29</v>
      </c>
      <c r="K29" s="1" t="s">
        <v>72</v>
      </c>
      <c r="L29" s="40"/>
    </row>
    <row r="30" spans="1:13" ht="12.75" customHeight="1" x14ac:dyDescent="0.15">
      <c r="A30" s="14"/>
      <c r="H30" s="80" t="s">
        <v>51</v>
      </c>
      <c r="I30" s="4">
        <v>20</v>
      </c>
      <c r="J30" s="1" t="s">
        <v>29</v>
      </c>
      <c r="K30" s="1" t="s">
        <v>30</v>
      </c>
      <c r="L30" s="13"/>
    </row>
    <row r="31" spans="1:13" ht="12.75" customHeight="1" x14ac:dyDescent="0.15">
      <c r="A31" s="14"/>
      <c r="L31" s="13"/>
    </row>
    <row r="32" spans="1:13" ht="12.75" customHeight="1" x14ac:dyDescent="0.15">
      <c r="A32" s="14"/>
      <c r="H32" s="80" t="s">
        <v>50</v>
      </c>
      <c r="I32" s="1" t="s">
        <v>83</v>
      </c>
      <c r="L32" s="13"/>
    </row>
    <row r="33" spans="1:15" ht="12.75" customHeight="1" x14ac:dyDescent="0.15">
      <c r="A33" s="14"/>
      <c r="H33" s="7" t="s">
        <v>50</v>
      </c>
      <c r="I33" s="87">
        <f>I25-I30-(I14/2)</f>
        <v>124</v>
      </c>
      <c r="J33" s="2" t="s">
        <v>29</v>
      </c>
      <c r="L33" s="13"/>
    </row>
    <row r="34" spans="1:15" ht="12.75" customHeight="1" thickBot="1" x14ac:dyDescent="0.2">
      <c r="A34" s="16"/>
      <c r="B34" s="18"/>
      <c r="C34" s="18"/>
      <c r="D34" s="18"/>
      <c r="E34" s="18"/>
      <c r="F34" s="18"/>
      <c r="G34" s="18"/>
      <c r="H34" s="17"/>
      <c r="I34" s="37"/>
      <c r="J34" s="38"/>
      <c r="K34" s="18"/>
      <c r="L34" s="19"/>
    </row>
    <row r="35" spans="1:15" ht="12.75" customHeight="1" thickBot="1" x14ac:dyDescent="0.2">
      <c r="H35" s="7"/>
      <c r="I35" s="2"/>
      <c r="J35" s="2"/>
    </row>
    <row r="36" spans="1:15" s="96" customFormat="1" ht="18" customHeight="1" x14ac:dyDescent="0.15">
      <c r="A36" s="214" t="s">
        <v>49</v>
      </c>
      <c r="B36" s="215"/>
      <c r="C36" s="215"/>
      <c r="D36" s="215"/>
      <c r="E36" s="215"/>
      <c r="F36" s="215"/>
      <c r="G36" s="215"/>
      <c r="H36" s="215"/>
      <c r="I36" s="215"/>
      <c r="J36" s="215"/>
      <c r="K36" s="215"/>
      <c r="L36" s="216"/>
      <c r="N36" s="85"/>
      <c r="O36" s="85"/>
    </row>
    <row r="37" spans="1:15" ht="12.75" customHeight="1" x14ac:dyDescent="0.15">
      <c r="A37" s="28"/>
      <c r="L37" s="13"/>
    </row>
    <row r="38" spans="1:15" s="2" customFormat="1" ht="12.75" customHeight="1" x14ac:dyDescent="0.15">
      <c r="A38" s="39"/>
      <c r="B38" s="2" t="s">
        <v>103</v>
      </c>
      <c r="F38" s="2" t="s">
        <v>104</v>
      </c>
      <c r="J38" s="2" t="s">
        <v>31</v>
      </c>
      <c r="L38" s="40"/>
      <c r="N38" s="7"/>
      <c r="O38" s="7"/>
    </row>
    <row r="39" spans="1:15" s="2" customFormat="1" ht="12.75" customHeight="1" x14ac:dyDescent="0.15">
      <c r="A39" s="39"/>
      <c r="L39" s="40"/>
      <c r="N39" s="7"/>
      <c r="O39" s="7"/>
    </row>
    <row r="40" spans="1:15" ht="12.75" customHeight="1" x14ac:dyDescent="0.15">
      <c r="A40" s="14"/>
      <c r="B40" s="80" t="s">
        <v>33</v>
      </c>
      <c r="C40" s="1" t="s">
        <v>132</v>
      </c>
      <c r="F40" s="80" t="s">
        <v>37</v>
      </c>
      <c r="G40" s="1" t="s">
        <v>131</v>
      </c>
      <c r="J40" s="80" t="s">
        <v>46</v>
      </c>
      <c r="K40" s="1" t="s">
        <v>45</v>
      </c>
      <c r="L40" s="13"/>
    </row>
    <row r="41" spans="1:15" ht="12.75" customHeight="1" x14ac:dyDescent="0.15">
      <c r="A41" s="14"/>
      <c r="B41" s="7" t="s">
        <v>40</v>
      </c>
      <c r="C41" s="88">
        <f>I25*I29*(B13/1000000)</f>
        <v>3.5249999999999999</v>
      </c>
      <c r="D41" s="2" t="s">
        <v>11</v>
      </c>
      <c r="F41" s="7" t="s">
        <v>43</v>
      </c>
      <c r="G41" s="88">
        <f>I11</f>
        <v>1.9</v>
      </c>
      <c r="H41" s="2" t="s">
        <v>11</v>
      </c>
      <c r="J41" s="80" t="s">
        <v>46</v>
      </c>
      <c r="K41" s="95">
        <f>1.2*C44 + 1.6*G41</f>
        <v>13.330000000000002</v>
      </c>
      <c r="L41" s="13" t="s">
        <v>11</v>
      </c>
    </row>
    <row r="42" spans="1:15" ht="12.75" customHeight="1" x14ac:dyDescent="0.15">
      <c r="A42" s="14"/>
      <c r="B42" s="80"/>
      <c r="J42" s="7" t="s">
        <v>47</v>
      </c>
      <c r="K42" s="88">
        <f>K41</f>
        <v>13.330000000000002</v>
      </c>
      <c r="L42" s="40" t="s">
        <v>60</v>
      </c>
    </row>
    <row r="43" spans="1:15" ht="12.75" customHeight="1" x14ac:dyDescent="0.15">
      <c r="A43" s="14"/>
      <c r="B43" s="80" t="s">
        <v>38</v>
      </c>
      <c r="C43" s="1" t="s">
        <v>170</v>
      </c>
      <c r="L43" s="13"/>
    </row>
    <row r="44" spans="1:15" ht="12.75" customHeight="1" x14ac:dyDescent="0.15">
      <c r="A44" s="14"/>
      <c r="B44" s="7" t="s">
        <v>41</v>
      </c>
      <c r="C44" s="88">
        <f>C41+I12+I13</f>
        <v>8.5750000000000011</v>
      </c>
      <c r="D44" s="2" t="s">
        <v>11</v>
      </c>
      <c r="L44" s="13"/>
    </row>
    <row r="45" spans="1:15" ht="12.75" customHeight="1" thickBot="1" x14ac:dyDescent="0.2">
      <c r="A45" s="16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9"/>
    </row>
    <row r="46" spans="1:15" ht="12.75" customHeight="1" thickBot="1" x14ac:dyDescent="0.2"/>
    <row r="47" spans="1:15" ht="18" customHeight="1" x14ac:dyDescent="0.15">
      <c r="A47" s="214" t="str">
        <f>IF(N2=1, "MOMENT CAPACITY AND STEEL RATIO (AT END SUPPORT)", IF(N2=2, "MOMENT CAPACITY AND STEEL RATIO (AT CONTINUOUS END)"))</f>
        <v>MOMENT CAPACITY AND STEEL RATIO (AT END SUPPORT)</v>
      </c>
      <c r="B47" s="215"/>
      <c r="C47" s="215"/>
      <c r="D47" s="215"/>
      <c r="E47" s="215"/>
      <c r="F47" s="215"/>
      <c r="G47" s="215"/>
      <c r="H47" s="215"/>
      <c r="I47" s="215"/>
      <c r="J47" s="215"/>
      <c r="K47" s="215"/>
      <c r="L47" s="216"/>
    </row>
    <row r="48" spans="1:15" ht="12.75" customHeight="1" x14ac:dyDescent="0.15">
      <c r="A48" s="14"/>
      <c r="L48" s="13"/>
    </row>
    <row r="49" spans="1:12" ht="12.75" customHeight="1" x14ac:dyDescent="0.15">
      <c r="A49" s="14"/>
      <c r="B49" s="2" t="str">
        <f>IF(B51&gt;3, "According to NSCP 2015 406.5.2, for slabs with L exceeding 3m:", "According to NSCP 2015 406.5.2, for slabs with L NOT exceeding 3m:")</f>
        <v>According to NSCP 2015 406.5.2, for slabs with L NOT exceeding 3m:</v>
      </c>
      <c r="L49" s="13"/>
    </row>
    <row r="50" spans="1:12" ht="12.75" customHeight="1" x14ac:dyDescent="0.15">
      <c r="A50" s="14"/>
      <c r="B50" s="2"/>
      <c r="L50" s="13"/>
    </row>
    <row r="51" spans="1:12" ht="12.75" customHeight="1" x14ac:dyDescent="0.15">
      <c r="A51" s="20" t="s">
        <v>133</v>
      </c>
      <c r="B51" s="4">
        <f>B15</f>
        <v>1.7</v>
      </c>
      <c r="C51" s="1" t="s">
        <v>28</v>
      </c>
      <c r="D51" s="1" t="s">
        <v>139</v>
      </c>
      <c r="L51" s="13"/>
    </row>
    <row r="52" spans="1:12" ht="12.75" customHeight="1" x14ac:dyDescent="0.15">
      <c r="A52" s="20"/>
      <c r="B52" s="82"/>
      <c r="L52" s="13"/>
    </row>
    <row r="53" spans="1:12" ht="12.75" customHeight="1" x14ac:dyDescent="0.15">
      <c r="A53" s="14"/>
      <c r="D53" s="82" t="str">
        <f>IF(N2=1, CONCATENATE("L = ",B51, " m"), "")</f>
        <v>L = 1.7 m</v>
      </c>
      <c r="G53" s="227" t="str">
        <f>IF(N2=2,CONCATENATE("L = ",B51," m"),"")</f>
        <v/>
      </c>
      <c r="H53" s="227"/>
      <c r="J53" s="227"/>
      <c r="K53" s="227"/>
      <c r="L53" s="13"/>
    </row>
    <row r="54" spans="1:12" ht="12.75" customHeight="1" x14ac:dyDescent="0.15">
      <c r="A54" s="14"/>
      <c r="L54" s="13"/>
    </row>
    <row r="55" spans="1:12" ht="12.75" customHeight="1" x14ac:dyDescent="0.15">
      <c r="A55" s="14"/>
      <c r="L55" s="13"/>
    </row>
    <row r="56" spans="1:12" ht="12.75" customHeight="1" x14ac:dyDescent="0.15">
      <c r="A56" s="14"/>
      <c r="L56" s="13"/>
    </row>
    <row r="57" spans="1:12" ht="12.75" customHeight="1" x14ac:dyDescent="0.15">
      <c r="A57" s="14"/>
      <c r="L57" s="13"/>
    </row>
    <row r="58" spans="1:12" ht="12.75" customHeight="1" x14ac:dyDescent="0.15">
      <c r="A58" s="14"/>
      <c r="L58" s="13"/>
    </row>
    <row r="59" spans="1:12" ht="12.75" customHeight="1" x14ac:dyDescent="0.15">
      <c r="A59" s="14"/>
      <c r="C59" s="231"/>
      <c r="D59" s="231"/>
      <c r="E59" s="231"/>
      <c r="L59" s="13"/>
    </row>
    <row r="60" spans="1:12" ht="12.75" customHeight="1" x14ac:dyDescent="0.15">
      <c r="A60" s="14"/>
      <c r="C60" s="231"/>
      <c r="D60" s="231"/>
      <c r="E60" s="231"/>
      <c r="L60" s="13"/>
    </row>
    <row r="61" spans="1:12" ht="12.75" customHeight="1" x14ac:dyDescent="0.15">
      <c r="A61" s="14"/>
      <c r="B61" s="232"/>
      <c r="C61" s="232"/>
      <c r="L61" s="13"/>
    </row>
    <row r="62" spans="1:12" ht="12.75" customHeight="1" x14ac:dyDescent="0.15">
      <c r="A62" s="14"/>
      <c r="L62" s="13"/>
    </row>
    <row r="63" spans="1:12" ht="12.75" customHeight="1" x14ac:dyDescent="0.15">
      <c r="A63" s="14"/>
      <c r="L63" s="13"/>
    </row>
    <row r="64" spans="1:12" ht="12.75" customHeight="1" x14ac:dyDescent="0.15">
      <c r="A64" s="14"/>
      <c r="L64" s="13"/>
    </row>
    <row r="65" spans="1:14" ht="12.75" customHeight="1" x14ac:dyDescent="0.15">
      <c r="A65" s="14"/>
      <c r="L65" s="13"/>
    </row>
    <row r="66" spans="1:14" ht="12.75" customHeight="1" x14ac:dyDescent="0.15">
      <c r="A66" s="226"/>
      <c r="B66" s="227"/>
      <c r="L66" s="13"/>
    </row>
    <row r="67" spans="1:14" ht="12.75" customHeight="1" x14ac:dyDescent="0.15">
      <c r="A67" s="14"/>
      <c r="B67" s="235"/>
      <c r="C67" s="235"/>
      <c r="L67" s="13"/>
    </row>
    <row r="68" spans="1:14" ht="12.75" customHeight="1" x14ac:dyDescent="0.15">
      <c r="A68" s="14"/>
      <c r="L68" s="13"/>
    </row>
    <row r="69" spans="1:14" ht="12.75" customHeight="1" x14ac:dyDescent="0.15">
      <c r="A69" s="14"/>
      <c r="B69" s="2" t="s">
        <v>55</v>
      </c>
      <c r="F69" s="2" t="s">
        <v>197</v>
      </c>
      <c r="J69" s="2" t="s">
        <v>62</v>
      </c>
      <c r="L69" s="13"/>
    </row>
    <row r="70" spans="1:14" ht="12.75" customHeight="1" x14ac:dyDescent="0.15">
      <c r="A70" s="14"/>
      <c r="L70" s="13"/>
    </row>
    <row r="71" spans="1:14" ht="12.75" customHeight="1" x14ac:dyDescent="0.15">
      <c r="A71" s="14"/>
      <c r="B71" s="193" t="s">
        <v>361</v>
      </c>
      <c r="C71" s="192" t="s">
        <v>360</v>
      </c>
      <c r="F71" s="80" t="s">
        <v>57</v>
      </c>
      <c r="G71" s="1" t="s">
        <v>137</v>
      </c>
      <c r="I71" s="2"/>
      <c r="J71" s="80" t="s">
        <v>101</v>
      </c>
      <c r="K71" s="1" t="s">
        <v>65</v>
      </c>
      <c r="L71" s="13"/>
      <c r="M71" s="1" t="s">
        <v>74</v>
      </c>
      <c r="N71" s="80">
        <f>((0.9*B11*I29*I33*I33*G72)*(1-(0.59*G72)))</f>
        <v>57357811.473394103</v>
      </c>
    </row>
    <row r="72" spans="1:14" ht="12.75" customHeight="1" x14ac:dyDescent="0.15">
      <c r="A72" s="14"/>
      <c r="B72" s="7" t="s">
        <v>58</v>
      </c>
      <c r="C72" s="88">
        <f>IF(B51&gt;3, (IF(N2=1,((K42*B51*B51)/16),((K42*B51*B51)/11))), ((K42*B51*B51)/12))</f>
        <v>3.2103083333333333</v>
      </c>
      <c r="D72" s="2" t="s">
        <v>59</v>
      </c>
      <c r="E72" s="230" t="s">
        <v>138</v>
      </c>
      <c r="F72" s="230"/>
      <c r="G72" s="87">
        <f>(C72*10^6)/(0.9*I29*I33*I33)</f>
        <v>0.23198551373954601</v>
      </c>
      <c r="J72" s="7" t="s">
        <v>102</v>
      </c>
      <c r="K72" s="89">
        <f>1.4/B12</f>
        <v>5.0724637681159417E-3</v>
      </c>
      <c r="L72" s="40"/>
      <c r="M72" s="1" t="s">
        <v>75</v>
      </c>
      <c r="N72" s="80" t="e">
        <f>(K41*#REF!*#REF!)/8*1000000</f>
        <v>#REF!</v>
      </c>
    </row>
    <row r="73" spans="1:14" ht="12.75" customHeight="1" x14ac:dyDescent="0.15">
      <c r="A73" s="14"/>
      <c r="B73" s="7"/>
      <c r="C73" s="93"/>
      <c r="D73" s="2"/>
      <c r="J73" s="7"/>
      <c r="K73" s="93"/>
      <c r="L73" s="40"/>
    </row>
    <row r="74" spans="1:14" ht="12.75" customHeight="1" x14ac:dyDescent="0.15">
      <c r="A74" s="14"/>
      <c r="J74" s="80" t="s">
        <v>101</v>
      </c>
      <c r="K74" s="1" t="s">
        <v>66</v>
      </c>
      <c r="L74" s="13"/>
    </row>
    <row r="75" spans="1:14" ht="12.75" customHeight="1" x14ac:dyDescent="0.15">
      <c r="A75" s="14"/>
      <c r="J75" s="7" t="s">
        <v>102</v>
      </c>
      <c r="K75" s="89">
        <f>SQRT(B11)/(4*B12)</f>
        <v>4.1211279587236686E-3</v>
      </c>
      <c r="L75" s="40"/>
    </row>
    <row r="76" spans="1:14" ht="12.75" customHeight="1" x14ac:dyDescent="0.15">
      <c r="A76" s="14"/>
      <c r="J76" s="80"/>
      <c r="L76" s="13"/>
    </row>
    <row r="77" spans="1:14" ht="12.75" customHeight="1" x14ac:dyDescent="0.15">
      <c r="A77" s="14"/>
      <c r="J77" s="92" t="s">
        <v>63</v>
      </c>
      <c r="K77" s="91" t="s">
        <v>172</v>
      </c>
      <c r="L77" s="55"/>
    </row>
    <row r="78" spans="1:14" ht="12.75" customHeight="1" x14ac:dyDescent="0.15">
      <c r="A78" s="14"/>
      <c r="K78" s="91" t="s">
        <v>173</v>
      </c>
      <c r="L78" s="48"/>
    </row>
    <row r="79" spans="1:14" ht="12.75" customHeight="1" x14ac:dyDescent="0.15">
      <c r="A79" s="14"/>
      <c r="J79" s="90" t="s">
        <v>64</v>
      </c>
      <c r="K79" s="89">
        <f>(0.85*B11*B14*(3/8))/B12</f>
        <v>2.03203125E-2</v>
      </c>
      <c r="L79" s="40"/>
    </row>
    <row r="80" spans="1:14" ht="12.75" customHeight="1" x14ac:dyDescent="0.15">
      <c r="A80" s="14"/>
      <c r="J80" s="80"/>
      <c r="L80" s="13"/>
    </row>
    <row r="81" spans="1:15" ht="12.75" customHeight="1" x14ac:dyDescent="0.15">
      <c r="A81" s="14"/>
      <c r="J81" s="80" t="s">
        <v>67</v>
      </c>
      <c r="K81" s="1" t="s">
        <v>140</v>
      </c>
      <c r="L81" s="13"/>
    </row>
    <row r="82" spans="1:15" ht="12.75" customHeight="1" x14ac:dyDescent="0.15">
      <c r="A82" s="14"/>
      <c r="J82" s="80"/>
      <c r="K82" s="1" t="s">
        <v>174</v>
      </c>
      <c r="L82" s="13"/>
    </row>
    <row r="83" spans="1:15" ht="12.75" customHeight="1" x14ac:dyDescent="0.15">
      <c r="A83" s="14"/>
      <c r="J83" s="7" t="s">
        <v>69</v>
      </c>
      <c r="K83" s="89">
        <f>((0.85*B11)/B12)*(1-SQRT(1-(2*G72)/(0.85*B11)))</f>
        <v>8.461425747274717E-4</v>
      </c>
      <c r="L83" s="13" t="s">
        <v>157</v>
      </c>
    </row>
    <row r="84" spans="1:15" ht="12.75" customHeight="1" x14ac:dyDescent="0.15">
      <c r="A84" s="14"/>
      <c r="L84" s="13" t="s">
        <v>76</v>
      </c>
    </row>
    <row r="85" spans="1:15" ht="12.75" customHeight="1" x14ac:dyDescent="0.15">
      <c r="A85" s="14"/>
      <c r="L85" s="13"/>
    </row>
    <row r="86" spans="1:15" s="2" customFormat="1" ht="12.75" customHeight="1" x14ac:dyDescent="0.15">
      <c r="A86" s="39"/>
      <c r="I86" s="229" t="s">
        <v>148</v>
      </c>
      <c r="J86" s="229"/>
      <c r="K86" s="229"/>
      <c r="L86" s="65">
        <f>IF(K83&lt;K72, K72, IF(K83&gt;K79, K79, K83))</f>
        <v>5.0724637681159417E-3</v>
      </c>
      <c r="N86" s="7"/>
      <c r="O86" s="7"/>
    </row>
    <row r="87" spans="1:15" ht="12.75" customHeight="1" thickBot="1" x14ac:dyDescent="0.2">
      <c r="A87" s="16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9"/>
    </row>
    <row r="88" spans="1:15" ht="12.75" customHeight="1" thickBot="1" x14ac:dyDescent="0.2">
      <c r="A88" s="14"/>
      <c r="K88" s="2"/>
      <c r="L88" s="13"/>
    </row>
    <row r="89" spans="1:15" ht="18" customHeight="1" x14ac:dyDescent="0.15">
      <c r="A89" s="214" t="s">
        <v>77</v>
      </c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6"/>
    </row>
    <row r="90" spans="1:15" ht="12.75" customHeight="1" x14ac:dyDescent="0.15">
      <c r="A90" s="14"/>
      <c r="L90" s="13"/>
    </row>
    <row r="91" spans="1:15" ht="12.75" customHeight="1" x14ac:dyDescent="0.15">
      <c r="A91" s="14"/>
      <c r="B91" s="2" t="s">
        <v>84</v>
      </c>
      <c r="C91" s="2"/>
      <c r="D91" s="2"/>
      <c r="E91" s="2"/>
      <c r="F91" s="2"/>
      <c r="G91" s="2"/>
      <c r="H91" s="2" t="s">
        <v>85</v>
      </c>
      <c r="L91" s="13"/>
    </row>
    <row r="92" spans="1:15" ht="12.75" customHeight="1" x14ac:dyDescent="0.15">
      <c r="A92" s="14"/>
      <c r="L92" s="13"/>
    </row>
    <row r="93" spans="1:15" ht="12.75" customHeight="1" x14ac:dyDescent="0.15">
      <c r="A93" s="14"/>
      <c r="B93" s="80" t="s">
        <v>149</v>
      </c>
      <c r="C93" s="1" t="s">
        <v>143</v>
      </c>
      <c r="H93" s="80" t="s">
        <v>149</v>
      </c>
      <c r="I93" s="1" t="s">
        <v>92</v>
      </c>
      <c r="L93" s="13"/>
    </row>
    <row r="94" spans="1:15" ht="12.75" customHeight="1" x14ac:dyDescent="0.15">
      <c r="A94" s="14"/>
      <c r="B94" s="7" t="s">
        <v>150</v>
      </c>
      <c r="C94" s="88">
        <f>L86*I29*I33</f>
        <v>628.98550724637676</v>
      </c>
      <c r="D94" s="2" t="s">
        <v>88</v>
      </c>
      <c r="H94" s="7" t="s">
        <v>150</v>
      </c>
      <c r="I94" s="87">
        <f>0.002*I29*I25</f>
        <v>300</v>
      </c>
      <c r="J94" s="2" t="s">
        <v>88</v>
      </c>
      <c r="L94" s="13"/>
    </row>
    <row r="95" spans="1:15" ht="12.75" customHeight="1" x14ac:dyDescent="0.15">
      <c r="A95" s="14"/>
      <c r="L95" s="13"/>
    </row>
    <row r="96" spans="1:15" ht="12.75" customHeight="1" x14ac:dyDescent="0.15">
      <c r="A96" s="14"/>
      <c r="B96" s="80" t="s">
        <v>151</v>
      </c>
      <c r="C96" s="1" t="s">
        <v>89</v>
      </c>
      <c r="H96" s="80" t="s">
        <v>151</v>
      </c>
      <c r="I96" s="1" t="s">
        <v>93</v>
      </c>
      <c r="L96" s="13"/>
    </row>
    <row r="97" spans="1:12" ht="12.75" customHeight="1" x14ac:dyDescent="0.15">
      <c r="A97" s="14"/>
      <c r="B97" s="7" t="s">
        <v>152</v>
      </c>
      <c r="C97" s="88">
        <f>(PI()/4)*I14^2</f>
        <v>113.09733552923255</v>
      </c>
      <c r="D97" s="2" t="s">
        <v>88</v>
      </c>
      <c r="H97" s="7" t="s">
        <v>152</v>
      </c>
      <c r="I97" s="88">
        <f>(PI()/4)*I15^2</f>
        <v>78.539816339744831</v>
      </c>
      <c r="J97" s="2" t="s">
        <v>88</v>
      </c>
      <c r="L97" s="13"/>
    </row>
    <row r="98" spans="1:12" ht="12.75" customHeight="1" x14ac:dyDescent="0.15">
      <c r="A98" s="14"/>
      <c r="L98" s="13"/>
    </row>
    <row r="99" spans="1:12" ht="12.75" customHeight="1" x14ac:dyDescent="0.15">
      <c r="A99" s="14"/>
      <c r="B99" s="80" t="s">
        <v>90</v>
      </c>
      <c r="C99" s="1" t="s">
        <v>91</v>
      </c>
      <c r="H99" s="80" t="s">
        <v>90</v>
      </c>
      <c r="I99" s="1" t="s">
        <v>91</v>
      </c>
      <c r="L99" s="13"/>
    </row>
    <row r="100" spans="1:12" ht="12.75" customHeight="1" x14ac:dyDescent="0.15">
      <c r="A100" s="14"/>
      <c r="B100" s="80" t="s">
        <v>90</v>
      </c>
      <c r="C100" s="82">
        <f>(C97/C94)*1000</f>
        <v>179.80912791513933</v>
      </c>
      <c r="D100" s="1" t="s">
        <v>87</v>
      </c>
      <c r="H100" s="80" t="s">
        <v>90</v>
      </c>
      <c r="I100" s="82">
        <f>(I97/I94)*1000</f>
        <v>261.79938779914949</v>
      </c>
      <c r="J100" s="1" t="s">
        <v>87</v>
      </c>
      <c r="L100" s="13"/>
    </row>
    <row r="101" spans="1:12" ht="12.75" customHeight="1" x14ac:dyDescent="0.15">
      <c r="A101" s="50"/>
      <c r="B101" s="7" t="s">
        <v>96</v>
      </c>
      <c r="C101" s="87">
        <f>FLOOR(C100,10)</f>
        <v>170</v>
      </c>
      <c r="D101" s="2" t="s">
        <v>88</v>
      </c>
      <c r="G101" s="7"/>
      <c r="H101" s="7" t="s">
        <v>96</v>
      </c>
      <c r="I101" s="87">
        <f>FLOOR(I100,10)</f>
        <v>260</v>
      </c>
      <c r="J101" s="2" t="s">
        <v>88</v>
      </c>
      <c r="L101" s="13"/>
    </row>
    <row r="102" spans="1:12" ht="12.75" customHeight="1" x14ac:dyDescent="0.15">
      <c r="A102" s="14"/>
      <c r="L102" s="13"/>
    </row>
    <row r="103" spans="1:12" ht="12.75" customHeight="1" x14ac:dyDescent="0.15">
      <c r="A103" s="14"/>
      <c r="B103" s="2" t="s">
        <v>206</v>
      </c>
      <c r="L103" s="13"/>
    </row>
    <row r="104" spans="1:12" ht="12.75" customHeight="1" x14ac:dyDescent="0.15">
      <c r="A104" s="14"/>
      <c r="L104" s="13"/>
    </row>
    <row r="105" spans="1:12" ht="12.75" customHeight="1" x14ac:dyDescent="0.15">
      <c r="A105" s="14"/>
      <c r="B105" s="80" t="s">
        <v>160</v>
      </c>
      <c r="C105" s="82">
        <f>3*I25</f>
        <v>450</v>
      </c>
      <c r="D105" s="1" t="s">
        <v>29</v>
      </c>
      <c r="H105" s="1" t="s">
        <v>155</v>
      </c>
      <c r="I105" s="82">
        <f>5*I25</f>
        <v>750</v>
      </c>
      <c r="J105" s="1" t="s">
        <v>29</v>
      </c>
      <c r="L105" s="13"/>
    </row>
    <row r="106" spans="1:12" ht="12.75" customHeight="1" x14ac:dyDescent="0.15">
      <c r="A106" s="14"/>
      <c r="B106" s="1" t="s">
        <v>78</v>
      </c>
      <c r="C106" s="82">
        <v>450</v>
      </c>
      <c r="D106" s="1" t="s">
        <v>29</v>
      </c>
      <c r="H106" s="1" t="s">
        <v>95</v>
      </c>
      <c r="I106" s="82">
        <v>450</v>
      </c>
      <c r="J106" s="1" t="s">
        <v>29</v>
      </c>
      <c r="L106" s="13"/>
    </row>
    <row r="107" spans="1:12" ht="12.75" customHeight="1" x14ac:dyDescent="0.15">
      <c r="A107" s="14"/>
      <c r="L107" s="13"/>
    </row>
    <row r="108" spans="1:12" ht="12.75" customHeight="1" x14ac:dyDescent="0.15">
      <c r="A108" s="204" t="str">
        <f>CONCATENATE("Therefore, use 12 mm Main Steel Bars spaced at ",  C101, " mm O.C.")</f>
        <v>Therefore, use 12 mm Main Steel Bars spaced at 170 mm O.C.</v>
      </c>
      <c r="B108" s="205"/>
      <c r="C108" s="205"/>
      <c r="D108" s="205"/>
      <c r="E108" s="205"/>
      <c r="F108" s="205"/>
      <c r="G108" s="2"/>
      <c r="H108" s="205" t="str">
        <f>CONCATENATE("Therefore, use 10 mm Temperature Steel Bars spaced at ",  I101, " mm O.C.")</f>
        <v>Therefore, use 10 mm Temperature Steel Bars spaced at 260 mm O.C.</v>
      </c>
      <c r="I108" s="205"/>
      <c r="J108" s="205"/>
      <c r="K108" s="205"/>
      <c r="L108" s="206"/>
    </row>
    <row r="109" spans="1:12" ht="12.75" customHeight="1" thickBot="1" x14ac:dyDescent="0.2">
      <c r="A109" s="60"/>
      <c r="B109" s="61"/>
      <c r="C109" s="61"/>
      <c r="D109" s="61"/>
      <c r="E109" s="61"/>
      <c r="F109" s="61"/>
      <c r="G109" s="38"/>
      <c r="H109" s="61"/>
      <c r="I109" s="61"/>
      <c r="J109" s="61"/>
      <c r="K109" s="61"/>
      <c r="L109" s="62"/>
    </row>
    <row r="110" spans="1:12" ht="12" thickBot="1" x14ac:dyDescent="0.2">
      <c r="A110" s="14"/>
      <c r="L110" s="13"/>
    </row>
    <row r="111" spans="1:12" ht="18" customHeight="1" x14ac:dyDescent="0.15">
      <c r="A111" s="214" t="s">
        <v>144</v>
      </c>
      <c r="B111" s="215"/>
      <c r="C111" s="215"/>
      <c r="D111" s="215"/>
      <c r="E111" s="215"/>
      <c r="F111" s="215"/>
      <c r="G111" s="215"/>
      <c r="H111" s="215"/>
      <c r="I111" s="215"/>
      <c r="J111" s="215"/>
      <c r="K111" s="215"/>
      <c r="L111" s="216"/>
    </row>
    <row r="112" spans="1:12" x14ac:dyDescent="0.15">
      <c r="A112" s="14"/>
      <c r="L112" s="13"/>
    </row>
    <row r="113" spans="1:12" x14ac:dyDescent="0.15">
      <c r="A113" s="14"/>
      <c r="G113" s="228" t="str">
        <f>CONCATENATE("     L = ", B51, " m")</f>
        <v xml:space="preserve">     L = 1.7 m</v>
      </c>
      <c r="H113" s="228"/>
      <c r="L113" s="13"/>
    </row>
    <row r="114" spans="1:12" x14ac:dyDescent="0.15">
      <c r="A114" s="14"/>
      <c r="L114" s="13"/>
    </row>
    <row r="115" spans="1:12" x14ac:dyDescent="0.15">
      <c r="A115" s="39"/>
      <c r="B115" s="227"/>
      <c r="C115" s="227"/>
      <c r="D115" s="227"/>
      <c r="E115" s="2"/>
      <c r="F115" s="2"/>
      <c r="L115" s="13"/>
    </row>
    <row r="116" spans="1:12" x14ac:dyDescent="0.15">
      <c r="A116" s="39"/>
      <c r="B116" s="2"/>
      <c r="C116" s="2"/>
      <c r="D116" s="2"/>
      <c r="E116" s="2"/>
      <c r="F116" s="2"/>
      <c r="L116" s="212" t="str">
        <f>CONCATENATE("                 d = ", I33, " mm")</f>
        <v xml:space="preserve">                 d = 124 mm</v>
      </c>
    </row>
    <row r="117" spans="1:12" x14ac:dyDescent="0.15">
      <c r="A117" s="226" t="str">
        <f>CONCATENATE("h = ", I25, " mm")</f>
        <v>h = 150 mm</v>
      </c>
      <c r="B117" s="227"/>
      <c r="C117" s="2"/>
      <c r="D117" s="2"/>
      <c r="E117" s="2"/>
      <c r="F117" s="2"/>
      <c r="L117" s="212"/>
    </row>
    <row r="118" spans="1:12" ht="16" customHeight="1" x14ac:dyDescent="0.15">
      <c r="A118" s="39"/>
      <c r="B118" s="2"/>
      <c r="C118" s="2"/>
      <c r="D118" s="2"/>
      <c r="E118" s="2"/>
      <c r="F118" s="2"/>
      <c r="K118" s="86"/>
      <c r="L118" s="55"/>
    </row>
    <row r="119" spans="1:12" ht="16" customHeight="1" x14ac:dyDescent="0.15">
      <c r="A119" s="39"/>
      <c r="B119" s="2"/>
      <c r="C119" s="2"/>
      <c r="D119" s="2"/>
      <c r="E119" s="2"/>
      <c r="F119" s="2"/>
      <c r="K119" s="86"/>
      <c r="L119" s="55"/>
    </row>
    <row r="120" spans="1:12" x14ac:dyDescent="0.15">
      <c r="A120" s="39"/>
      <c r="B120" s="2"/>
      <c r="C120" s="2"/>
      <c r="D120" s="2"/>
      <c r="E120" s="227"/>
      <c r="F120" s="227"/>
      <c r="K120" s="86"/>
      <c r="L120" s="55"/>
    </row>
    <row r="121" spans="1:12" ht="9" customHeight="1" x14ac:dyDescent="0.15">
      <c r="A121" s="39"/>
      <c r="B121" s="2"/>
      <c r="C121" s="2"/>
      <c r="D121" s="2"/>
      <c r="E121" s="1" t="str">
        <f>CONCATENATE(I14, " mm main bars")</f>
        <v>12 mm main bars</v>
      </c>
      <c r="F121" s="2"/>
      <c r="I121" s="1" t="str">
        <f>CONCATENATE(I15, " mm temperature bars")</f>
        <v>10 mm temperature bars</v>
      </c>
      <c r="L121" s="13"/>
    </row>
    <row r="122" spans="1:12" x14ac:dyDescent="0.15">
      <c r="A122" s="14"/>
      <c r="E122" s="1" t="str">
        <f>CONCATENATE("spaced at ", C101, " mm O.C.")</f>
        <v>spaced at 170 mm O.C.</v>
      </c>
      <c r="G122" s="2"/>
      <c r="I122" s="1" t="str">
        <f>CONCATENATE("spaced at ", I101, " mm O.C.")</f>
        <v>spaced at 260 mm O.C.</v>
      </c>
      <c r="L122" s="13"/>
    </row>
    <row r="123" spans="1:12" ht="12" thickBot="1" x14ac:dyDescent="0.2">
      <c r="A123" s="16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9"/>
    </row>
    <row r="124" spans="1:12" ht="12" thickBot="1" x14ac:dyDescent="0.2"/>
    <row r="125" spans="1:12" ht="18" customHeight="1" x14ac:dyDescent="0.15">
      <c r="A125" s="214" t="s">
        <v>146</v>
      </c>
      <c r="B125" s="215"/>
      <c r="C125" s="215"/>
      <c r="D125" s="215"/>
      <c r="E125" s="215"/>
      <c r="F125" s="215"/>
      <c r="G125" s="215"/>
      <c r="H125" s="215"/>
      <c r="I125" s="215"/>
      <c r="J125" s="215"/>
      <c r="K125" s="215"/>
      <c r="L125" s="216"/>
    </row>
    <row r="126" spans="1:12" x14ac:dyDescent="0.15">
      <c r="A126" s="14"/>
      <c r="L126" s="13"/>
    </row>
    <row r="127" spans="1:12" x14ac:dyDescent="0.15">
      <c r="A127" s="14"/>
      <c r="B127" s="2" t="str">
        <f>IF(B51&gt;3, "According to NSCP 2015 406.5.2, for slabs with L exceeding 3m:", "According to NSCP 2015 406.5.2, for slabs with L NOT exceeding 3m:")</f>
        <v>According to NSCP 2015 406.5.2, for slabs with L NOT exceeding 3m:</v>
      </c>
      <c r="L127" s="13"/>
    </row>
    <row r="128" spans="1:12" x14ac:dyDescent="0.15">
      <c r="A128" s="14"/>
      <c r="B128" s="2"/>
      <c r="L128" s="13"/>
    </row>
    <row r="129" spans="1:12" x14ac:dyDescent="0.15">
      <c r="A129" s="20" t="s">
        <v>133</v>
      </c>
      <c r="B129" s="4">
        <f>B15</f>
        <v>1.7</v>
      </c>
      <c r="C129" s="1" t="s">
        <v>28</v>
      </c>
      <c r="D129" s="1" t="s">
        <v>139</v>
      </c>
      <c r="L129" s="13"/>
    </row>
    <row r="130" spans="1:12" x14ac:dyDescent="0.15">
      <c r="A130" s="20"/>
      <c r="B130" s="82"/>
      <c r="L130" s="13"/>
    </row>
    <row r="131" spans="1:12" x14ac:dyDescent="0.15">
      <c r="A131" s="14"/>
      <c r="D131" s="82" t="str">
        <f>IF(N2=1, CONCATENATE("L = ",B51, " m"), "")</f>
        <v>L = 1.7 m</v>
      </c>
      <c r="G131" s="227" t="str">
        <f>IF(N2=2, CONCATENATE("L = ",B51, " m"), "")</f>
        <v/>
      </c>
      <c r="H131" s="227"/>
      <c r="J131" s="227"/>
      <c r="K131" s="227"/>
      <c r="L131" s="13"/>
    </row>
    <row r="132" spans="1:12" x14ac:dyDescent="0.15">
      <c r="A132" s="14"/>
      <c r="L132" s="13"/>
    </row>
    <row r="133" spans="1:12" x14ac:dyDescent="0.15">
      <c r="A133" s="14"/>
      <c r="L133" s="13"/>
    </row>
    <row r="134" spans="1:12" x14ac:dyDescent="0.15">
      <c r="A134" s="14"/>
      <c r="L134" s="13"/>
    </row>
    <row r="135" spans="1:12" x14ac:dyDescent="0.15">
      <c r="A135" s="14"/>
      <c r="L135" s="13"/>
    </row>
    <row r="136" spans="1:12" x14ac:dyDescent="0.15">
      <c r="A136" s="14"/>
      <c r="L136" s="13"/>
    </row>
    <row r="137" spans="1:12" x14ac:dyDescent="0.15">
      <c r="A137" s="14"/>
      <c r="L137" s="13"/>
    </row>
    <row r="138" spans="1:12" x14ac:dyDescent="0.15">
      <c r="A138" s="14"/>
      <c r="L138" s="13"/>
    </row>
    <row r="139" spans="1:12" x14ac:dyDescent="0.15">
      <c r="A139" s="14"/>
      <c r="L139" s="13"/>
    </row>
    <row r="140" spans="1:12" x14ac:dyDescent="0.15">
      <c r="A140" s="14"/>
      <c r="L140" s="13"/>
    </row>
    <row r="141" spans="1:12" x14ac:dyDescent="0.15">
      <c r="A141" s="14"/>
      <c r="L141" s="13"/>
    </row>
    <row r="142" spans="1:12" x14ac:dyDescent="0.15">
      <c r="A142" s="14"/>
      <c r="L142" s="13"/>
    </row>
    <row r="143" spans="1:12" x14ac:dyDescent="0.15">
      <c r="A143" s="14"/>
      <c r="L143" s="13"/>
    </row>
    <row r="144" spans="1:12" x14ac:dyDescent="0.15">
      <c r="A144" s="14"/>
      <c r="L144" s="13"/>
    </row>
    <row r="145" spans="1:12" x14ac:dyDescent="0.15">
      <c r="A145" s="14"/>
      <c r="L145" s="13"/>
    </row>
    <row r="146" spans="1:12" x14ac:dyDescent="0.15">
      <c r="A146" s="14"/>
      <c r="L146" s="13"/>
    </row>
    <row r="147" spans="1:12" x14ac:dyDescent="0.15">
      <c r="A147" s="14"/>
      <c r="B147" s="2" t="s">
        <v>55</v>
      </c>
      <c r="F147" s="2" t="s">
        <v>197</v>
      </c>
      <c r="J147" s="2" t="s">
        <v>62</v>
      </c>
      <c r="L147" s="13"/>
    </row>
    <row r="148" spans="1:12" x14ac:dyDescent="0.15">
      <c r="A148" s="14"/>
      <c r="L148" s="13"/>
    </row>
    <row r="149" spans="1:12" ht="12" x14ac:dyDescent="0.15">
      <c r="A149" s="14"/>
      <c r="B149" s="80" t="s">
        <v>57</v>
      </c>
      <c r="C149" s="192" t="s">
        <v>362</v>
      </c>
      <c r="F149" s="80" t="s">
        <v>57</v>
      </c>
      <c r="G149" s="1" t="s">
        <v>137</v>
      </c>
      <c r="I149" s="2"/>
      <c r="J149" s="80" t="s">
        <v>101</v>
      </c>
      <c r="K149" s="1" t="s">
        <v>65</v>
      </c>
      <c r="L149" s="13"/>
    </row>
    <row r="150" spans="1:12" x14ac:dyDescent="0.15">
      <c r="A150" s="14"/>
      <c r="B150" s="7" t="s">
        <v>58</v>
      </c>
      <c r="C150" s="88">
        <f>IF(N2=1, (K42*B51*B51)/14,  (K42*B51*B51)/16)</f>
        <v>2.7516928571428569</v>
      </c>
      <c r="D150" s="2" t="s">
        <v>59</v>
      </c>
      <c r="E150" s="230" t="s">
        <v>138</v>
      </c>
      <c r="F150" s="230"/>
      <c r="G150" s="87">
        <f>(C150*10^6)/(0.9*I29*I33*I33)</f>
        <v>0.19884472606246797</v>
      </c>
      <c r="J150" s="7" t="s">
        <v>102</v>
      </c>
      <c r="K150" s="89">
        <f>1.4/B12</f>
        <v>5.0724637681159417E-3</v>
      </c>
      <c r="L150" s="40"/>
    </row>
    <row r="151" spans="1:12" x14ac:dyDescent="0.15">
      <c r="A151" s="14"/>
      <c r="B151" s="7"/>
      <c r="C151" s="93"/>
      <c r="D151" s="2"/>
      <c r="J151" s="7"/>
      <c r="K151" s="93"/>
      <c r="L151" s="40"/>
    </row>
    <row r="152" spans="1:12" x14ac:dyDescent="0.15">
      <c r="A152" s="14"/>
      <c r="J152" s="80" t="s">
        <v>101</v>
      </c>
      <c r="K152" s="1" t="s">
        <v>66</v>
      </c>
      <c r="L152" s="13"/>
    </row>
    <row r="153" spans="1:12" x14ac:dyDescent="0.15">
      <c r="A153" s="14"/>
      <c r="J153" s="7" t="s">
        <v>102</v>
      </c>
      <c r="K153" s="89">
        <f>SQRT(B11)/(4*B12)</f>
        <v>4.1211279587236686E-3</v>
      </c>
      <c r="L153" s="40"/>
    </row>
    <row r="154" spans="1:12" x14ac:dyDescent="0.15">
      <c r="A154" s="14"/>
      <c r="J154" s="80"/>
      <c r="L154" s="13"/>
    </row>
    <row r="155" spans="1:12" x14ac:dyDescent="0.15">
      <c r="A155" s="14"/>
      <c r="J155" s="92" t="s">
        <v>63</v>
      </c>
      <c r="K155" s="91" t="s">
        <v>172</v>
      </c>
      <c r="L155" s="55"/>
    </row>
    <row r="156" spans="1:12" x14ac:dyDescent="0.15">
      <c r="A156" s="14"/>
      <c r="K156" s="91" t="s">
        <v>141</v>
      </c>
      <c r="L156" s="48"/>
    </row>
    <row r="157" spans="1:12" x14ac:dyDescent="0.15">
      <c r="A157" s="14"/>
      <c r="J157" s="90" t="s">
        <v>153</v>
      </c>
      <c r="K157" s="89">
        <f>(0.85*B11*B14*(3/8))/B12</f>
        <v>2.03203125E-2</v>
      </c>
      <c r="L157" s="40"/>
    </row>
    <row r="158" spans="1:12" x14ac:dyDescent="0.15">
      <c r="A158" s="14"/>
      <c r="J158" s="80"/>
      <c r="L158" s="13"/>
    </row>
    <row r="159" spans="1:12" x14ac:dyDescent="0.15">
      <c r="A159" s="14"/>
      <c r="J159" s="80" t="s">
        <v>67</v>
      </c>
      <c r="K159" s="1" t="s">
        <v>140</v>
      </c>
      <c r="L159" s="13"/>
    </row>
    <row r="160" spans="1:12" x14ac:dyDescent="0.15">
      <c r="A160" s="14"/>
      <c r="J160" s="80"/>
      <c r="K160" s="1" t="s">
        <v>174</v>
      </c>
      <c r="L160" s="13"/>
    </row>
    <row r="161" spans="1:12" x14ac:dyDescent="0.15">
      <c r="A161" s="14"/>
      <c r="J161" s="7" t="s">
        <v>154</v>
      </c>
      <c r="K161" s="89">
        <f>((0.85*B11)/B12)*(1-SQRT(1-(2*G150)/(0.85*B11)))</f>
        <v>7.2456956131110935E-4</v>
      </c>
      <c r="L161" s="13" t="s">
        <v>171</v>
      </c>
    </row>
    <row r="162" spans="1:12" x14ac:dyDescent="0.15">
      <c r="A162" s="14"/>
      <c r="L162" s="13" t="s">
        <v>76</v>
      </c>
    </row>
    <row r="163" spans="1:12" x14ac:dyDescent="0.15">
      <c r="A163" s="14"/>
      <c r="L163" s="13"/>
    </row>
    <row r="164" spans="1:12" x14ac:dyDescent="0.15">
      <c r="A164" s="14"/>
      <c r="J164" s="1" t="s">
        <v>142</v>
      </c>
      <c r="L164" s="65">
        <f>IF(K83&lt;K72, K72, IF(K83&gt;K79, K79, K83))</f>
        <v>5.0724637681159417E-3</v>
      </c>
    </row>
    <row r="165" spans="1:12" ht="12" thickBot="1" x14ac:dyDescent="0.2">
      <c r="A165" s="16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9"/>
    </row>
    <row r="166" spans="1:12" ht="12" thickBot="1" x14ac:dyDescent="0.2">
      <c r="A166" s="14"/>
      <c r="K166" s="2"/>
      <c r="L166" s="13"/>
    </row>
    <row r="167" spans="1:12" ht="18" customHeight="1" x14ac:dyDescent="0.15">
      <c r="A167" s="214" t="s">
        <v>77</v>
      </c>
      <c r="B167" s="215"/>
      <c r="C167" s="215"/>
      <c r="D167" s="215"/>
      <c r="E167" s="215"/>
      <c r="F167" s="215"/>
      <c r="G167" s="215"/>
      <c r="H167" s="215"/>
      <c r="I167" s="215"/>
      <c r="J167" s="215"/>
      <c r="K167" s="215"/>
      <c r="L167" s="216"/>
    </row>
    <row r="168" spans="1:12" x14ac:dyDescent="0.15">
      <c r="A168" s="14"/>
      <c r="L168" s="13"/>
    </row>
    <row r="169" spans="1:12" x14ac:dyDescent="0.15">
      <c r="A169" s="14"/>
      <c r="B169" s="2" t="s">
        <v>84</v>
      </c>
      <c r="C169" s="2"/>
      <c r="D169" s="2"/>
      <c r="E169" s="2"/>
      <c r="F169" s="2"/>
      <c r="G169" s="2"/>
      <c r="H169" s="2" t="s">
        <v>85</v>
      </c>
      <c r="L169" s="13"/>
    </row>
    <row r="170" spans="1:12" x14ac:dyDescent="0.15">
      <c r="A170" s="14"/>
      <c r="L170" s="13"/>
    </row>
    <row r="171" spans="1:12" x14ac:dyDescent="0.15">
      <c r="A171" s="14"/>
      <c r="B171" s="80" t="s">
        <v>149</v>
      </c>
      <c r="C171" s="1" t="s">
        <v>143</v>
      </c>
      <c r="H171" s="80" t="s">
        <v>149</v>
      </c>
      <c r="I171" s="1" t="s">
        <v>92</v>
      </c>
      <c r="L171" s="13"/>
    </row>
    <row r="172" spans="1:12" ht="12" x14ac:dyDescent="0.15">
      <c r="A172" s="14"/>
      <c r="B172" s="7" t="s">
        <v>150</v>
      </c>
      <c r="C172" s="88">
        <f>L164*I29*I33</f>
        <v>628.98550724637676</v>
      </c>
      <c r="D172" s="2" t="s">
        <v>88</v>
      </c>
      <c r="H172" s="7" t="s">
        <v>150</v>
      </c>
      <c r="I172" s="87">
        <f>0.002*I29*I25</f>
        <v>300</v>
      </c>
      <c r="J172" s="2" t="s">
        <v>88</v>
      </c>
      <c r="L172" s="13"/>
    </row>
    <row r="173" spans="1:12" x14ac:dyDescent="0.15">
      <c r="A173" s="14"/>
      <c r="L173" s="13"/>
    </row>
    <row r="174" spans="1:12" ht="12" x14ac:dyDescent="0.15">
      <c r="A174" s="14"/>
      <c r="B174" s="80" t="s">
        <v>151</v>
      </c>
      <c r="C174" s="1" t="s">
        <v>89</v>
      </c>
      <c r="H174" s="80" t="s">
        <v>151</v>
      </c>
      <c r="I174" s="1" t="s">
        <v>93</v>
      </c>
      <c r="L174" s="13"/>
    </row>
    <row r="175" spans="1:12" ht="12" x14ac:dyDescent="0.15">
      <c r="A175" s="14"/>
      <c r="B175" s="7" t="s">
        <v>152</v>
      </c>
      <c r="C175" s="88">
        <f>(PI()/4)*I14^2</f>
        <v>113.09733552923255</v>
      </c>
      <c r="D175" s="2" t="s">
        <v>88</v>
      </c>
      <c r="H175" s="7" t="s">
        <v>152</v>
      </c>
      <c r="I175" s="88">
        <f>(PI()/4)*I15^2</f>
        <v>78.539816339744831</v>
      </c>
      <c r="J175" s="2" t="s">
        <v>88</v>
      </c>
      <c r="L175" s="13"/>
    </row>
    <row r="176" spans="1:12" x14ac:dyDescent="0.15">
      <c r="A176" s="14"/>
      <c r="L176" s="13"/>
    </row>
    <row r="177" spans="1:12" x14ac:dyDescent="0.15">
      <c r="A177" s="14"/>
      <c r="B177" s="80" t="s">
        <v>90</v>
      </c>
      <c r="C177" s="1" t="s">
        <v>91</v>
      </c>
      <c r="H177" s="80" t="s">
        <v>90</v>
      </c>
      <c r="I177" s="1" t="s">
        <v>91</v>
      </c>
      <c r="L177" s="13"/>
    </row>
    <row r="178" spans="1:12" ht="12" x14ac:dyDescent="0.15">
      <c r="A178" s="14"/>
      <c r="B178" s="80" t="s">
        <v>90</v>
      </c>
      <c r="C178" s="82">
        <f>(C97/C94)*1000</f>
        <v>179.80912791513933</v>
      </c>
      <c r="D178" s="1" t="s">
        <v>87</v>
      </c>
      <c r="H178" s="80" t="s">
        <v>90</v>
      </c>
      <c r="I178" s="82">
        <f>(I97/I94)*1000</f>
        <v>261.79938779914949</v>
      </c>
      <c r="J178" s="1" t="s">
        <v>87</v>
      </c>
      <c r="L178" s="13"/>
    </row>
    <row r="179" spans="1:12" ht="12" x14ac:dyDescent="0.15">
      <c r="A179" s="50"/>
      <c r="B179" s="7" t="s">
        <v>96</v>
      </c>
      <c r="C179" s="87">
        <f>FLOOR(C100,10)</f>
        <v>170</v>
      </c>
      <c r="D179" s="2" t="s">
        <v>88</v>
      </c>
      <c r="G179" s="7"/>
      <c r="H179" s="7" t="s">
        <v>96</v>
      </c>
      <c r="I179" s="87">
        <f>FLOOR(I100,10)</f>
        <v>260</v>
      </c>
      <c r="J179" s="2" t="s">
        <v>88</v>
      </c>
      <c r="L179" s="13"/>
    </row>
    <row r="180" spans="1:12" x14ac:dyDescent="0.15">
      <c r="A180" s="14"/>
      <c r="L180" s="13"/>
    </row>
    <row r="181" spans="1:12" x14ac:dyDescent="0.15">
      <c r="A181" s="14"/>
      <c r="B181" s="2" t="s">
        <v>206</v>
      </c>
      <c r="L181" s="13"/>
    </row>
    <row r="182" spans="1:12" x14ac:dyDescent="0.15">
      <c r="A182" s="14"/>
      <c r="L182" s="13"/>
    </row>
    <row r="183" spans="1:12" x14ac:dyDescent="0.15">
      <c r="A183" s="14"/>
      <c r="B183" s="80" t="s">
        <v>160</v>
      </c>
      <c r="C183" s="82">
        <f>3*I25</f>
        <v>450</v>
      </c>
      <c r="D183" s="1" t="s">
        <v>29</v>
      </c>
      <c r="H183" s="1" t="s">
        <v>155</v>
      </c>
      <c r="I183" s="82">
        <f>5*I25</f>
        <v>750</v>
      </c>
      <c r="J183" s="1" t="s">
        <v>29</v>
      </c>
      <c r="L183" s="13"/>
    </row>
    <row r="184" spans="1:12" x14ac:dyDescent="0.15">
      <c r="A184" s="14"/>
      <c r="B184" s="1" t="s">
        <v>78</v>
      </c>
      <c r="C184" s="82">
        <v>450</v>
      </c>
      <c r="D184" s="1" t="s">
        <v>29</v>
      </c>
      <c r="H184" s="1" t="s">
        <v>95</v>
      </c>
      <c r="I184" s="82">
        <v>450</v>
      </c>
      <c r="J184" s="1" t="s">
        <v>29</v>
      </c>
      <c r="L184" s="13"/>
    </row>
    <row r="185" spans="1:12" x14ac:dyDescent="0.15">
      <c r="A185" s="14"/>
      <c r="L185" s="13"/>
    </row>
    <row r="186" spans="1:12" x14ac:dyDescent="0.15">
      <c r="A186" s="204" t="str">
        <f>CONCATENATE("Therefore, use 12 mm Main Steel Bars spaced at ",  C101, " mm O.C.")</f>
        <v>Therefore, use 12 mm Main Steel Bars spaced at 170 mm O.C.</v>
      </c>
      <c r="B186" s="205"/>
      <c r="C186" s="205"/>
      <c r="D186" s="205"/>
      <c r="E186" s="205"/>
      <c r="F186" s="205"/>
      <c r="G186" s="2"/>
      <c r="H186" s="205" t="str">
        <f>CONCATENATE("Therefore, use 10 mm Temperature Steel Bars spaced at ",  I101, " mm O.C.")</f>
        <v>Therefore, use 10 mm Temperature Steel Bars spaced at 260 mm O.C.</v>
      </c>
      <c r="I186" s="205"/>
      <c r="J186" s="205"/>
      <c r="K186" s="205"/>
      <c r="L186" s="206"/>
    </row>
    <row r="187" spans="1:12" ht="12" thickBot="1" x14ac:dyDescent="0.2">
      <c r="A187" s="60"/>
      <c r="B187" s="61"/>
      <c r="C187" s="61"/>
      <c r="D187" s="61"/>
      <c r="E187" s="61"/>
      <c r="F187" s="61"/>
      <c r="G187" s="38"/>
      <c r="H187" s="61"/>
      <c r="I187" s="61"/>
      <c r="J187" s="61"/>
      <c r="K187" s="61"/>
      <c r="L187" s="62"/>
    </row>
    <row r="188" spans="1:12" ht="12" thickBot="1" x14ac:dyDescent="0.2">
      <c r="A188" s="14"/>
      <c r="L188" s="13"/>
    </row>
    <row r="189" spans="1:12" ht="18" customHeight="1" x14ac:dyDescent="0.15">
      <c r="A189" s="214" t="s">
        <v>144</v>
      </c>
      <c r="B189" s="215"/>
      <c r="C189" s="215"/>
      <c r="D189" s="215"/>
      <c r="E189" s="215"/>
      <c r="F189" s="215"/>
      <c r="G189" s="215"/>
      <c r="H189" s="215"/>
      <c r="I189" s="215"/>
      <c r="J189" s="215"/>
      <c r="K189" s="215"/>
      <c r="L189" s="216"/>
    </row>
    <row r="190" spans="1:12" x14ac:dyDescent="0.15">
      <c r="A190" s="14"/>
      <c r="L190" s="13"/>
    </row>
    <row r="191" spans="1:12" x14ac:dyDescent="0.15">
      <c r="A191" s="14"/>
      <c r="G191" s="228" t="str">
        <f>CONCATENATE("     L = ", B51, " m")</f>
        <v xml:space="preserve">     L = 1.7 m</v>
      </c>
      <c r="H191" s="228"/>
      <c r="L191" s="13"/>
    </row>
    <row r="192" spans="1:12" x14ac:dyDescent="0.15">
      <c r="A192" s="14"/>
      <c r="L192" s="13"/>
    </row>
    <row r="193" spans="1:12" x14ac:dyDescent="0.15">
      <c r="A193" s="39"/>
      <c r="B193" s="227"/>
      <c r="C193" s="227"/>
      <c r="D193" s="227"/>
      <c r="E193" s="2"/>
      <c r="F193" s="2"/>
      <c r="L193" s="13"/>
    </row>
    <row r="194" spans="1:12" x14ac:dyDescent="0.15">
      <c r="A194" s="39"/>
      <c r="B194" s="2"/>
      <c r="C194" s="2"/>
      <c r="D194" s="2"/>
      <c r="E194" s="2"/>
      <c r="F194" s="2"/>
      <c r="L194" s="212" t="str">
        <f>CONCATENATE("                 d = ", I33, " mm")</f>
        <v xml:space="preserve">                 d = 124 mm</v>
      </c>
    </row>
    <row r="195" spans="1:12" x14ac:dyDescent="0.15">
      <c r="A195" s="226" t="str">
        <f>CONCATENATE("h = ", I25, " mm")</f>
        <v>h = 150 mm</v>
      </c>
      <c r="B195" s="227"/>
      <c r="C195" s="2"/>
      <c r="D195" s="2"/>
      <c r="E195" s="2"/>
      <c r="F195" s="2"/>
      <c r="L195" s="212"/>
    </row>
    <row r="196" spans="1:12" ht="15.75" customHeight="1" x14ac:dyDescent="0.15">
      <c r="A196" s="39"/>
      <c r="B196" s="2"/>
      <c r="C196" s="2"/>
      <c r="D196" s="2"/>
      <c r="E196" s="2"/>
      <c r="F196" s="2"/>
      <c r="K196" s="86"/>
      <c r="L196" s="55"/>
    </row>
    <row r="197" spans="1:12" x14ac:dyDescent="0.15">
      <c r="A197" s="39"/>
      <c r="B197" s="2"/>
      <c r="C197" s="2"/>
      <c r="D197" s="2"/>
      <c r="E197" s="227"/>
      <c r="F197" s="227"/>
      <c r="K197" s="86"/>
      <c r="L197" s="55"/>
    </row>
    <row r="198" spans="1:12" x14ac:dyDescent="0.15">
      <c r="A198" s="39"/>
      <c r="B198" s="2"/>
      <c r="C198" s="2"/>
      <c r="D198" s="2"/>
      <c r="E198" s="82"/>
      <c r="F198" s="82"/>
      <c r="K198" s="86"/>
      <c r="L198" s="55"/>
    </row>
    <row r="199" spans="1:12" x14ac:dyDescent="0.15">
      <c r="A199" s="39"/>
      <c r="B199" s="2"/>
      <c r="C199" s="2"/>
      <c r="D199" s="2"/>
      <c r="E199" s="1" t="str">
        <f>CONCATENATE(I14, " mm main bars")</f>
        <v>12 mm main bars</v>
      </c>
      <c r="F199" s="2"/>
      <c r="I199" s="1" t="str">
        <f>CONCATENATE(I15, " mm temperature bars")</f>
        <v>10 mm temperature bars</v>
      </c>
      <c r="L199" s="13"/>
    </row>
    <row r="200" spans="1:12" x14ac:dyDescent="0.15">
      <c r="A200" s="14"/>
      <c r="E200" s="1" t="str">
        <f>CONCATENATE("spaced at ", C101, " mm O.C.")</f>
        <v>spaced at 170 mm O.C.</v>
      </c>
      <c r="G200" s="2"/>
      <c r="I200" s="1" t="str">
        <f>CONCATENATE("spaced at ", I101, " mm O.C.")</f>
        <v>spaced at 260 mm O.C.</v>
      </c>
      <c r="L200" s="13"/>
    </row>
    <row r="201" spans="1:12" ht="12" thickBot="1" x14ac:dyDescent="0.2">
      <c r="A201" s="16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9"/>
    </row>
    <row r="202" spans="1:12" ht="12" thickBot="1" x14ac:dyDescent="0.2"/>
    <row r="203" spans="1:12" ht="18" customHeight="1" x14ac:dyDescent="0.15">
      <c r="A203" s="214" t="s">
        <v>156</v>
      </c>
      <c r="B203" s="215"/>
      <c r="C203" s="215"/>
      <c r="D203" s="215"/>
      <c r="E203" s="215"/>
      <c r="F203" s="215"/>
      <c r="G203" s="215"/>
      <c r="H203" s="215"/>
      <c r="I203" s="215"/>
      <c r="J203" s="215"/>
      <c r="K203" s="215"/>
      <c r="L203" s="216"/>
    </row>
    <row r="204" spans="1:12" x14ac:dyDescent="0.15">
      <c r="A204" s="14"/>
      <c r="L204" s="13"/>
    </row>
    <row r="205" spans="1:12" x14ac:dyDescent="0.15">
      <c r="A205" s="14"/>
      <c r="B205" s="2" t="str">
        <f>IF(B15&gt;3, "According to NSCP 2015 406.5.2, for slabs with L exceeding 3m:", "According to NSCP 2015 406.5.2, for slabs with L NOT exceeding 3m:")</f>
        <v>According to NSCP 2015 406.5.2, for slabs with L NOT exceeding 3m:</v>
      </c>
      <c r="L205" s="13"/>
    </row>
    <row r="206" spans="1:12" x14ac:dyDescent="0.15">
      <c r="A206" s="14"/>
      <c r="B206" s="2"/>
      <c r="L206" s="13"/>
    </row>
    <row r="207" spans="1:12" x14ac:dyDescent="0.15">
      <c r="A207" s="20" t="s">
        <v>133</v>
      </c>
      <c r="B207" s="4">
        <f>B15</f>
        <v>1.7</v>
      </c>
      <c r="C207" s="1" t="s">
        <v>28</v>
      </c>
      <c r="D207" s="1" t="s">
        <v>139</v>
      </c>
      <c r="L207" s="13"/>
    </row>
    <row r="208" spans="1:12" x14ac:dyDescent="0.15">
      <c r="A208" s="20"/>
      <c r="B208" s="82"/>
      <c r="L208" s="13"/>
    </row>
    <row r="209" spans="1:12" x14ac:dyDescent="0.15">
      <c r="A209" s="14"/>
      <c r="D209" s="82" t="str">
        <f>IF(N2=1,CONCATENATE("L = ",B51," m"),"")</f>
        <v>L = 1.7 m</v>
      </c>
      <c r="G209" s="227" t="str">
        <f>IF(N2=2,CONCATENATE("L = ",B51," m"),"")</f>
        <v/>
      </c>
      <c r="H209" s="227"/>
      <c r="J209" s="227"/>
      <c r="K209" s="227"/>
      <c r="L209" s="13"/>
    </row>
    <row r="210" spans="1:12" x14ac:dyDescent="0.15">
      <c r="A210" s="14"/>
      <c r="L210" s="13"/>
    </row>
    <row r="211" spans="1:12" x14ac:dyDescent="0.15">
      <c r="A211" s="14"/>
      <c r="L211" s="13"/>
    </row>
    <row r="212" spans="1:12" x14ac:dyDescent="0.15">
      <c r="A212" s="14"/>
      <c r="L212" s="13"/>
    </row>
    <row r="213" spans="1:12" x14ac:dyDescent="0.15">
      <c r="A213" s="14"/>
      <c r="L213" s="13"/>
    </row>
    <row r="214" spans="1:12" x14ac:dyDescent="0.15">
      <c r="A214" s="14"/>
      <c r="L214" s="13"/>
    </row>
    <row r="215" spans="1:12" x14ac:dyDescent="0.15">
      <c r="A215" s="14"/>
      <c r="L215" s="13"/>
    </row>
    <row r="216" spans="1:12" x14ac:dyDescent="0.15">
      <c r="A216" s="14"/>
      <c r="L216" s="13"/>
    </row>
    <row r="217" spans="1:12" x14ac:dyDescent="0.15">
      <c r="A217" s="14"/>
      <c r="L217" s="13"/>
    </row>
    <row r="218" spans="1:12" x14ac:dyDescent="0.15">
      <c r="A218" s="14"/>
      <c r="L218" s="13"/>
    </row>
    <row r="219" spans="1:12" x14ac:dyDescent="0.15">
      <c r="A219" s="14"/>
      <c r="L219" s="13"/>
    </row>
    <row r="220" spans="1:12" x14ac:dyDescent="0.15">
      <c r="A220" s="14"/>
      <c r="L220" s="13"/>
    </row>
    <row r="221" spans="1:12" x14ac:dyDescent="0.15">
      <c r="A221" s="14"/>
      <c r="L221" s="13"/>
    </row>
    <row r="222" spans="1:12" x14ac:dyDescent="0.15">
      <c r="A222" s="14"/>
      <c r="L222" s="13"/>
    </row>
    <row r="223" spans="1:12" x14ac:dyDescent="0.15">
      <c r="A223" s="14"/>
      <c r="L223" s="13"/>
    </row>
    <row r="224" spans="1:12" x14ac:dyDescent="0.15">
      <c r="A224" s="14"/>
      <c r="L224" s="13"/>
    </row>
    <row r="225" spans="1:12" x14ac:dyDescent="0.15">
      <c r="A225" s="14"/>
      <c r="B225" s="2" t="s">
        <v>55</v>
      </c>
      <c r="F225" s="2" t="s">
        <v>197</v>
      </c>
      <c r="J225" s="2" t="s">
        <v>62</v>
      </c>
      <c r="L225" s="13"/>
    </row>
    <row r="226" spans="1:12" x14ac:dyDescent="0.15">
      <c r="A226" s="14"/>
      <c r="L226" s="13"/>
    </row>
    <row r="227" spans="1:12" ht="12" x14ac:dyDescent="0.15">
      <c r="A227" s="14"/>
      <c r="B227" s="80" t="s">
        <v>57</v>
      </c>
      <c r="C227" s="94" t="s">
        <v>236</v>
      </c>
      <c r="F227" s="80" t="s">
        <v>57</v>
      </c>
      <c r="G227" s="1" t="s">
        <v>137</v>
      </c>
      <c r="I227" s="2"/>
      <c r="J227" s="80" t="s">
        <v>101</v>
      </c>
      <c r="K227" s="1" t="s">
        <v>65</v>
      </c>
      <c r="L227" s="13"/>
    </row>
    <row r="228" spans="1:12" x14ac:dyDescent="0.15">
      <c r="A228" s="14"/>
      <c r="B228" s="7" t="s">
        <v>58</v>
      </c>
      <c r="C228" s="88">
        <f>IF(B207&gt;3, (IF(N2=1, ((K42*B51*B51)/10), ((K42*B51*B51)/11))), (K42*B51*B51)/12)</f>
        <v>3.2103083333333333</v>
      </c>
      <c r="D228" s="2" t="s">
        <v>59</v>
      </c>
      <c r="E228" s="230" t="s">
        <v>138</v>
      </c>
      <c r="F228" s="230"/>
      <c r="G228" s="87">
        <f>(C228*10^6)/(0.9*I29*I33*I33)</f>
        <v>0.23198551373954601</v>
      </c>
      <c r="J228" s="7" t="s">
        <v>102</v>
      </c>
      <c r="K228" s="89">
        <f>1.4/B12</f>
        <v>5.0724637681159417E-3</v>
      </c>
      <c r="L228" s="40"/>
    </row>
    <row r="229" spans="1:12" x14ac:dyDescent="0.15">
      <c r="A229" s="14"/>
      <c r="B229" s="7"/>
      <c r="C229" s="93"/>
      <c r="D229" s="2"/>
      <c r="J229" s="7"/>
      <c r="K229" s="93"/>
      <c r="L229" s="40"/>
    </row>
    <row r="230" spans="1:12" x14ac:dyDescent="0.15">
      <c r="A230" s="14"/>
      <c r="J230" s="80" t="s">
        <v>101</v>
      </c>
      <c r="K230" s="1" t="s">
        <v>66</v>
      </c>
      <c r="L230" s="13"/>
    </row>
    <row r="231" spans="1:12" x14ac:dyDescent="0.15">
      <c r="A231" s="14"/>
      <c r="J231" s="7" t="s">
        <v>102</v>
      </c>
      <c r="K231" s="89">
        <f>SQRT(B11)/(4*B12)</f>
        <v>4.1211279587236686E-3</v>
      </c>
      <c r="L231" s="40"/>
    </row>
    <row r="232" spans="1:12" x14ac:dyDescent="0.15">
      <c r="A232" s="14"/>
      <c r="J232" s="80"/>
      <c r="L232" s="13"/>
    </row>
    <row r="233" spans="1:12" x14ac:dyDescent="0.15">
      <c r="A233" s="14"/>
      <c r="J233" s="92" t="s">
        <v>63</v>
      </c>
      <c r="K233" s="91" t="s">
        <v>175</v>
      </c>
      <c r="L233" s="55"/>
    </row>
    <row r="234" spans="1:12" x14ac:dyDescent="0.15">
      <c r="A234" s="14"/>
      <c r="K234" s="91" t="s">
        <v>176</v>
      </c>
      <c r="L234" s="48"/>
    </row>
    <row r="235" spans="1:12" x14ac:dyDescent="0.15">
      <c r="A235" s="14"/>
      <c r="J235" s="90" t="s">
        <v>64</v>
      </c>
      <c r="K235" s="89">
        <f>(0.85*B11*B14*(3/8))/B12</f>
        <v>2.03203125E-2</v>
      </c>
      <c r="L235" s="40"/>
    </row>
    <row r="236" spans="1:12" x14ac:dyDescent="0.15">
      <c r="A236" s="14"/>
      <c r="J236" s="80"/>
      <c r="L236" s="13"/>
    </row>
    <row r="237" spans="1:12" x14ac:dyDescent="0.15">
      <c r="A237" s="14"/>
      <c r="J237" s="80" t="s">
        <v>67</v>
      </c>
      <c r="K237" s="1" t="s">
        <v>140</v>
      </c>
      <c r="L237" s="13"/>
    </row>
    <row r="238" spans="1:12" x14ac:dyDescent="0.15">
      <c r="A238" s="14"/>
      <c r="J238" s="80"/>
      <c r="K238" s="1" t="s">
        <v>174</v>
      </c>
      <c r="L238" s="13"/>
    </row>
    <row r="239" spans="1:12" x14ac:dyDescent="0.15">
      <c r="A239" s="14"/>
      <c r="J239" s="7" t="s">
        <v>69</v>
      </c>
      <c r="K239" s="89">
        <f>((0.85*B11)/B12)*(1-SQRT(1-(2*G228)/(0.85*B11)))</f>
        <v>8.461425747274717E-4</v>
      </c>
      <c r="L239" s="13" t="s">
        <v>157</v>
      </c>
    </row>
    <row r="240" spans="1:12" x14ac:dyDescent="0.15">
      <c r="A240" s="14"/>
      <c r="L240" s="13" t="s">
        <v>76</v>
      </c>
    </row>
    <row r="241" spans="1:12" x14ac:dyDescent="0.15">
      <c r="A241" s="14"/>
      <c r="L241" s="13"/>
    </row>
    <row r="242" spans="1:12" x14ac:dyDescent="0.15">
      <c r="A242" s="14"/>
      <c r="J242" s="1" t="s">
        <v>142</v>
      </c>
      <c r="L242" s="65">
        <f>IF(K83&lt;K72, K72, IF(K83&gt;K79, K79, K83))</f>
        <v>5.0724637681159417E-3</v>
      </c>
    </row>
    <row r="243" spans="1:12" ht="12" thickBot="1" x14ac:dyDescent="0.2">
      <c r="A243" s="16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9"/>
    </row>
    <row r="244" spans="1:12" ht="12" thickBot="1" x14ac:dyDescent="0.2">
      <c r="A244" s="14"/>
      <c r="K244" s="2"/>
      <c r="L244" s="13"/>
    </row>
    <row r="245" spans="1:12" ht="18" customHeight="1" x14ac:dyDescent="0.15">
      <c r="A245" s="214" t="s">
        <v>77</v>
      </c>
      <c r="B245" s="215"/>
      <c r="C245" s="215"/>
      <c r="D245" s="215"/>
      <c r="E245" s="215"/>
      <c r="F245" s="215"/>
      <c r="G245" s="215"/>
      <c r="H245" s="215"/>
      <c r="I245" s="215"/>
      <c r="J245" s="215"/>
      <c r="K245" s="215"/>
      <c r="L245" s="216"/>
    </row>
    <row r="246" spans="1:12" x14ac:dyDescent="0.15">
      <c r="A246" s="14"/>
      <c r="L246" s="13"/>
    </row>
    <row r="247" spans="1:12" x14ac:dyDescent="0.15">
      <c r="A247" s="14"/>
      <c r="B247" s="2" t="s">
        <v>84</v>
      </c>
      <c r="C247" s="2"/>
      <c r="D247" s="2"/>
      <c r="E247" s="2"/>
      <c r="F247" s="2"/>
      <c r="G247" s="2"/>
      <c r="H247" s="2" t="s">
        <v>85</v>
      </c>
      <c r="L247" s="13"/>
    </row>
    <row r="248" spans="1:12" x14ac:dyDescent="0.15">
      <c r="A248" s="14"/>
      <c r="L248" s="13"/>
    </row>
    <row r="249" spans="1:12" x14ac:dyDescent="0.15">
      <c r="A249" s="14"/>
      <c r="B249" s="80" t="s">
        <v>149</v>
      </c>
      <c r="C249" s="1" t="s">
        <v>143</v>
      </c>
      <c r="H249" s="80" t="s">
        <v>149</v>
      </c>
      <c r="I249" s="1" t="s">
        <v>92</v>
      </c>
      <c r="L249" s="13"/>
    </row>
    <row r="250" spans="1:12" ht="12" x14ac:dyDescent="0.15">
      <c r="A250" s="14"/>
      <c r="B250" s="7" t="s">
        <v>150</v>
      </c>
      <c r="C250" s="88">
        <f>L242*I29*I33</f>
        <v>628.98550724637676</v>
      </c>
      <c r="D250" s="2" t="s">
        <v>88</v>
      </c>
      <c r="H250" s="7" t="s">
        <v>150</v>
      </c>
      <c r="I250" s="87">
        <f>0.002*I29*I25</f>
        <v>300</v>
      </c>
      <c r="J250" s="2" t="s">
        <v>88</v>
      </c>
      <c r="L250" s="13"/>
    </row>
    <row r="251" spans="1:12" x14ac:dyDescent="0.15">
      <c r="A251" s="14"/>
      <c r="L251" s="13"/>
    </row>
    <row r="252" spans="1:12" ht="12" x14ac:dyDescent="0.15">
      <c r="A252" s="14"/>
      <c r="B252" s="80" t="s">
        <v>151</v>
      </c>
      <c r="C252" s="1" t="s">
        <v>89</v>
      </c>
      <c r="H252" s="80" t="s">
        <v>151</v>
      </c>
      <c r="I252" s="1" t="s">
        <v>93</v>
      </c>
      <c r="L252" s="13"/>
    </row>
    <row r="253" spans="1:12" ht="12" x14ac:dyDescent="0.15">
      <c r="A253" s="14"/>
      <c r="B253" s="7" t="s">
        <v>152</v>
      </c>
      <c r="C253" s="88">
        <f>(PI()/4)*I14^2</f>
        <v>113.09733552923255</v>
      </c>
      <c r="D253" s="2" t="s">
        <v>88</v>
      </c>
      <c r="H253" s="7" t="s">
        <v>152</v>
      </c>
      <c r="I253" s="88">
        <f>(PI()/4)*I15^2</f>
        <v>78.539816339744831</v>
      </c>
      <c r="J253" s="2" t="s">
        <v>88</v>
      </c>
      <c r="L253" s="13"/>
    </row>
    <row r="254" spans="1:12" x14ac:dyDescent="0.15">
      <c r="A254" s="14"/>
      <c r="L254" s="13"/>
    </row>
    <row r="255" spans="1:12" x14ac:dyDescent="0.15">
      <c r="A255" s="14"/>
      <c r="B255" s="80" t="s">
        <v>90</v>
      </c>
      <c r="C255" s="1" t="s">
        <v>91</v>
      </c>
      <c r="H255" s="80" t="s">
        <v>90</v>
      </c>
      <c r="I255" s="1" t="s">
        <v>91</v>
      </c>
      <c r="L255" s="13"/>
    </row>
    <row r="256" spans="1:12" ht="12" x14ac:dyDescent="0.15">
      <c r="A256" s="14"/>
      <c r="B256" s="80" t="s">
        <v>90</v>
      </c>
      <c r="C256" s="82">
        <f>(C97/C94)*1000</f>
        <v>179.80912791513933</v>
      </c>
      <c r="D256" s="1" t="s">
        <v>87</v>
      </c>
      <c r="H256" s="80" t="s">
        <v>90</v>
      </c>
      <c r="I256" s="82">
        <f>(I97/I94)*1000</f>
        <v>261.79938779914949</v>
      </c>
      <c r="J256" s="1" t="s">
        <v>87</v>
      </c>
      <c r="L256" s="13"/>
    </row>
    <row r="257" spans="1:12" ht="12" x14ac:dyDescent="0.15">
      <c r="A257" s="50"/>
      <c r="B257" s="7" t="s">
        <v>96</v>
      </c>
      <c r="C257" s="87">
        <f>FLOOR(C100,10)</f>
        <v>170</v>
      </c>
      <c r="D257" s="2" t="s">
        <v>88</v>
      </c>
      <c r="G257" s="7"/>
      <c r="H257" s="7" t="s">
        <v>96</v>
      </c>
      <c r="I257" s="87">
        <f>FLOOR(I100,10)</f>
        <v>260</v>
      </c>
      <c r="J257" s="2" t="s">
        <v>88</v>
      </c>
      <c r="L257" s="13"/>
    </row>
    <row r="258" spans="1:12" x14ac:dyDescent="0.15">
      <c r="A258" s="14"/>
      <c r="L258" s="13"/>
    </row>
    <row r="259" spans="1:12" x14ac:dyDescent="0.15">
      <c r="A259" s="14"/>
      <c r="B259" s="2" t="s">
        <v>206</v>
      </c>
      <c r="L259" s="13"/>
    </row>
    <row r="260" spans="1:12" x14ac:dyDescent="0.15">
      <c r="A260" s="14"/>
      <c r="L260" s="13"/>
    </row>
    <row r="261" spans="1:12" x14ac:dyDescent="0.15">
      <c r="A261" s="14"/>
      <c r="B261" s="80" t="s">
        <v>160</v>
      </c>
      <c r="C261" s="82">
        <f>3*I25</f>
        <v>450</v>
      </c>
      <c r="D261" s="1" t="s">
        <v>29</v>
      </c>
      <c r="H261" s="1" t="s">
        <v>155</v>
      </c>
      <c r="I261" s="82">
        <f>5*I25</f>
        <v>750</v>
      </c>
      <c r="J261" s="1" t="s">
        <v>29</v>
      </c>
      <c r="L261" s="13"/>
    </row>
    <row r="262" spans="1:12" x14ac:dyDescent="0.15">
      <c r="A262" s="14"/>
      <c r="B262" s="1" t="s">
        <v>78</v>
      </c>
      <c r="C262" s="82">
        <v>450</v>
      </c>
      <c r="D262" s="1" t="s">
        <v>29</v>
      </c>
      <c r="H262" s="1" t="s">
        <v>95</v>
      </c>
      <c r="I262" s="82">
        <v>450</v>
      </c>
      <c r="J262" s="1" t="s">
        <v>29</v>
      </c>
      <c r="L262" s="13"/>
    </row>
    <row r="263" spans="1:12" x14ac:dyDescent="0.15">
      <c r="A263" s="14"/>
      <c r="L263" s="13"/>
    </row>
    <row r="264" spans="1:12" x14ac:dyDescent="0.15">
      <c r="A264" s="204" t="str">
        <f>CONCATENATE("Therefore, use 12 mm Main Steel Bars spaced at ",  C101, " mm O.C.")</f>
        <v>Therefore, use 12 mm Main Steel Bars spaced at 170 mm O.C.</v>
      </c>
      <c r="B264" s="205"/>
      <c r="C264" s="205"/>
      <c r="D264" s="205"/>
      <c r="E264" s="205"/>
      <c r="F264" s="205"/>
      <c r="G264" s="2"/>
      <c r="H264" s="205" t="str">
        <f>CONCATENATE("Therefore, use 10 mm Temperature Steel Bars spaced at ",  I101, " mm O.C.")</f>
        <v>Therefore, use 10 mm Temperature Steel Bars spaced at 260 mm O.C.</v>
      </c>
      <c r="I264" s="205"/>
      <c r="J264" s="205"/>
      <c r="K264" s="205"/>
      <c r="L264" s="206"/>
    </row>
    <row r="265" spans="1:12" ht="12" thickBot="1" x14ac:dyDescent="0.2">
      <c r="A265" s="60"/>
      <c r="B265" s="61"/>
      <c r="C265" s="61"/>
      <c r="D265" s="61"/>
      <c r="E265" s="61"/>
      <c r="F265" s="61"/>
      <c r="G265" s="38"/>
      <c r="H265" s="61"/>
      <c r="I265" s="61"/>
      <c r="J265" s="61"/>
      <c r="K265" s="61"/>
      <c r="L265" s="62"/>
    </row>
    <row r="266" spans="1:12" ht="12" thickBot="1" x14ac:dyDescent="0.2">
      <c r="A266" s="14"/>
      <c r="L266" s="13"/>
    </row>
    <row r="267" spans="1:12" ht="18" customHeight="1" x14ac:dyDescent="0.15">
      <c r="A267" s="214" t="s">
        <v>144</v>
      </c>
      <c r="B267" s="215"/>
      <c r="C267" s="215"/>
      <c r="D267" s="215"/>
      <c r="E267" s="215"/>
      <c r="F267" s="215"/>
      <c r="G267" s="215"/>
      <c r="H267" s="215"/>
      <c r="I267" s="215"/>
      <c r="J267" s="215"/>
      <c r="K267" s="215"/>
      <c r="L267" s="216"/>
    </row>
    <row r="268" spans="1:12" x14ac:dyDescent="0.15">
      <c r="A268" s="14"/>
      <c r="L268" s="13"/>
    </row>
    <row r="269" spans="1:12" x14ac:dyDescent="0.15">
      <c r="A269" s="14"/>
      <c r="G269" s="228" t="str">
        <f>CONCATENATE("     L = ", B51, " m")</f>
        <v xml:space="preserve">     L = 1.7 m</v>
      </c>
      <c r="H269" s="228"/>
      <c r="L269" s="13"/>
    </row>
    <row r="270" spans="1:12" x14ac:dyDescent="0.15">
      <c r="A270" s="14"/>
      <c r="L270" s="13"/>
    </row>
    <row r="271" spans="1:12" x14ac:dyDescent="0.15">
      <c r="A271" s="39"/>
      <c r="B271" s="227"/>
      <c r="C271" s="227"/>
      <c r="D271" s="227"/>
      <c r="E271" s="2"/>
      <c r="F271" s="2"/>
      <c r="L271" s="13"/>
    </row>
    <row r="272" spans="1:12" x14ac:dyDescent="0.15">
      <c r="A272" s="39"/>
      <c r="B272" s="2"/>
      <c r="C272" s="2"/>
      <c r="D272" s="2"/>
      <c r="E272" s="2"/>
      <c r="F272" s="2"/>
      <c r="L272" s="212" t="str">
        <f>CONCATENATE("                 d = ", I33, " mm")</f>
        <v xml:space="preserve">                 d = 124 mm</v>
      </c>
    </row>
    <row r="273" spans="1:12" x14ac:dyDescent="0.15">
      <c r="A273" s="226" t="str">
        <f>CONCATENATE("h = ", I25, " mm")</f>
        <v>h = 150 mm</v>
      </c>
      <c r="B273" s="227"/>
      <c r="C273" s="2"/>
      <c r="D273" s="2"/>
      <c r="E273" s="2"/>
      <c r="F273" s="2"/>
      <c r="L273" s="212"/>
    </row>
    <row r="274" spans="1:12" x14ac:dyDescent="0.15">
      <c r="A274" s="39"/>
      <c r="B274" s="2"/>
      <c r="C274" s="2"/>
      <c r="D274" s="2"/>
      <c r="E274" s="2"/>
      <c r="F274" s="2"/>
      <c r="K274" s="86"/>
      <c r="L274" s="55"/>
    </row>
    <row r="275" spans="1:12" ht="15.75" customHeight="1" x14ac:dyDescent="0.15">
      <c r="A275" s="39"/>
      <c r="B275" s="2"/>
      <c r="C275" s="2"/>
      <c r="D275" s="2"/>
      <c r="E275" s="227"/>
      <c r="F275" s="227"/>
      <c r="K275" s="86"/>
      <c r="L275" s="55"/>
    </row>
    <row r="276" spans="1:12" ht="15.75" customHeight="1" x14ac:dyDescent="0.15">
      <c r="A276" s="39"/>
      <c r="B276" s="2"/>
      <c r="C276" s="2"/>
      <c r="D276" s="2"/>
      <c r="E276" s="82"/>
      <c r="F276" s="82"/>
      <c r="K276" s="86"/>
      <c r="L276" s="55"/>
    </row>
    <row r="277" spans="1:12" x14ac:dyDescent="0.15">
      <c r="A277" s="39"/>
      <c r="B277" s="2"/>
      <c r="C277" s="2"/>
      <c r="D277" s="2"/>
      <c r="E277" s="1" t="str">
        <f>CONCATENATE(I14, " mm main bars")</f>
        <v>12 mm main bars</v>
      </c>
      <c r="F277" s="2"/>
      <c r="I277" s="1" t="str">
        <f>CONCATENATE(I15, " mm temperature bars")</f>
        <v>10 mm temperature bars</v>
      </c>
      <c r="L277" s="13"/>
    </row>
    <row r="278" spans="1:12" x14ac:dyDescent="0.15">
      <c r="A278" s="14"/>
      <c r="E278" s="1" t="str">
        <f>CONCATENATE("spaced at ", C101, " mm O.C.")</f>
        <v>spaced at 170 mm O.C.</v>
      </c>
      <c r="G278" s="2"/>
      <c r="I278" s="1" t="str">
        <f>CONCATENATE("spaced at ", I101, " mm O.C.")</f>
        <v>spaced at 260 mm O.C.</v>
      </c>
      <c r="L278" s="13"/>
    </row>
    <row r="279" spans="1:12" ht="12" thickBot="1" x14ac:dyDescent="0.2">
      <c r="A279" s="16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9"/>
    </row>
  </sheetData>
  <mergeCells count="57">
    <mergeCell ref="N6:O6"/>
    <mergeCell ref="G131:H131"/>
    <mergeCell ref="G53:H53"/>
    <mergeCell ref="G209:H209"/>
    <mergeCell ref="N1:O1"/>
    <mergeCell ref="N2:O2"/>
    <mergeCell ref="N3:O3"/>
    <mergeCell ref="N4:O4"/>
    <mergeCell ref="N5:O5"/>
    <mergeCell ref="A111:L111"/>
    <mergeCell ref="B115:D115"/>
    <mergeCell ref="G113:H113"/>
    <mergeCell ref="B67:C67"/>
    <mergeCell ref="N7:O7"/>
    <mergeCell ref="N8:O8"/>
    <mergeCell ref="N9:O9"/>
    <mergeCell ref="B61:C61"/>
    <mergeCell ref="A66:B66"/>
    <mergeCell ref="A89:L89"/>
    <mergeCell ref="A108:F108"/>
    <mergeCell ref="H108:L108"/>
    <mergeCell ref="A1:L1"/>
    <mergeCell ref="A9:L9"/>
    <mergeCell ref="A18:L18"/>
    <mergeCell ref="A36:L36"/>
    <mergeCell ref="A47:L47"/>
    <mergeCell ref="E275:F275"/>
    <mergeCell ref="I86:K86"/>
    <mergeCell ref="J53:K53"/>
    <mergeCell ref="E72:F72"/>
    <mergeCell ref="L116:L117"/>
    <mergeCell ref="A125:L125"/>
    <mergeCell ref="J131:K131"/>
    <mergeCell ref="E150:F150"/>
    <mergeCell ref="A167:L167"/>
    <mergeCell ref="A186:F186"/>
    <mergeCell ref="E228:F228"/>
    <mergeCell ref="A245:L245"/>
    <mergeCell ref="A264:F264"/>
    <mergeCell ref="H264:L264"/>
    <mergeCell ref="A267:L267"/>
    <mergeCell ref="C59:E60"/>
    <mergeCell ref="L272:L273"/>
    <mergeCell ref="A273:B273"/>
    <mergeCell ref="A117:B117"/>
    <mergeCell ref="G269:H269"/>
    <mergeCell ref="E197:F197"/>
    <mergeCell ref="A203:L203"/>
    <mergeCell ref="J209:K209"/>
    <mergeCell ref="H186:L186"/>
    <mergeCell ref="A189:L189"/>
    <mergeCell ref="G191:H191"/>
    <mergeCell ref="B193:D193"/>
    <mergeCell ref="L194:L195"/>
    <mergeCell ref="A195:B195"/>
    <mergeCell ref="B271:D271"/>
    <mergeCell ref="E120:F120"/>
  </mergeCells>
  <printOptions horizontalCentered="1"/>
  <pageMargins left="0.25" right="0.25" top="0.25" bottom="0.25" header="0.05" footer="0.05"/>
  <pageSetup paperSize="10" scale="94" fitToHeight="4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2F82-E2EF-644A-A939-89C58097B106}">
  <sheetPr codeName="Sheet8">
    <tabColor theme="7"/>
  </sheetPr>
  <dimension ref="A1:Y155"/>
  <sheetViews>
    <sheetView showGridLines="0" showWhiteSpace="0" view="pageLayout" topLeftCell="A30" zoomScale="150" zoomScaleNormal="100" zoomScaleSheetLayoutView="160" zoomScalePageLayoutView="150" workbookViewId="0">
      <selection activeCell="O42" sqref="O42"/>
    </sheetView>
  </sheetViews>
  <sheetFormatPr baseColWidth="10" defaultColWidth="10.6640625" defaultRowHeight="11" x14ac:dyDescent="0.15"/>
  <cols>
    <col min="1" max="6" width="7.1640625" style="1" customWidth="1"/>
    <col min="7" max="7" width="6.83203125" style="1" customWidth="1"/>
    <col min="8" max="8" width="6.33203125" style="1" customWidth="1"/>
    <col min="9" max="9" width="7.1640625" style="1" customWidth="1"/>
    <col min="10" max="10" width="6.6640625" style="1" customWidth="1"/>
    <col min="11" max="11" width="7.1640625" style="1" customWidth="1"/>
    <col min="12" max="12" width="21.1640625" style="1" customWidth="1"/>
    <col min="13" max="16384" width="10.6640625" style="1"/>
  </cols>
  <sheetData>
    <row r="1" spans="1:13" ht="18" customHeight="1" x14ac:dyDescent="0.15">
      <c r="A1" s="214" t="s">
        <v>0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6"/>
    </row>
    <row r="2" spans="1:13" ht="12.75" customHeight="1" x14ac:dyDescent="0.15">
      <c r="A2" s="11"/>
      <c r="B2" s="12"/>
      <c r="C2" s="12"/>
      <c r="D2" s="12"/>
      <c r="E2" s="12"/>
      <c r="F2" s="12"/>
      <c r="G2" s="12"/>
      <c r="H2" s="12"/>
      <c r="I2" s="6"/>
      <c r="J2" s="6"/>
      <c r="K2" s="6"/>
      <c r="L2" s="13"/>
    </row>
    <row r="3" spans="1:13" ht="12.75" customHeight="1" x14ac:dyDescent="0.15">
      <c r="A3" s="14"/>
      <c r="B3" s="15" t="s">
        <v>112</v>
      </c>
      <c r="C3" s="6" t="s">
        <v>110</v>
      </c>
      <c r="D3" s="6"/>
      <c r="E3" s="6"/>
      <c r="F3" s="6"/>
      <c r="G3" s="6"/>
      <c r="H3" s="6"/>
      <c r="I3" s="15" t="s">
        <v>1</v>
      </c>
      <c r="J3" s="6" t="s">
        <v>97</v>
      </c>
      <c r="K3" s="6"/>
      <c r="L3" s="13"/>
    </row>
    <row r="4" spans="1:13" ht="12.75" customHeight="1" x14ac:dyDescent="0.15">
      <c r="A4" s="14"/>
      <c r="B4" s="15" t="s">
        <v>113</v>
      </c>
      <c r="C4" s="6" t="s">
        <v>111</v>
      </c>
      <c r="D4" s="6"/>
      <c r="E4" s="6"/>
      <c r="F4" s="6"/>
      <c r="G4" s="6"/>
      <c r="H4" s="6"/>
      <c r="I4" s="15" t="s">
        <v>2</v>
      </c>
      <c r="J4" s="6" t="s">
        <v>98</v>
      </c>
      <c r="K4" s="6"/>
      <c r="L4" s="13"/>
    </row>
    <row r="5" spans="1:13" ht="12.75" customHeight="1" x14ac:dyDescent="0.15">
      <c r="A5" s="14"/>
      <c r="B5" s="15" t="s">
        <v>3</v>
      </c>
      <c r="C5" s="6" t="s">
        <v>99</v>
      </c>
      <c r="D5" s="6"/>
      <c r="E5" s="6"/>
      <c r="F5" s="6"/>
      <c r="G5" s="6"/>
      <c r="H5" s="6"/>
      <c r="I5" s="15" t="s">
        <v>114</v>
      </c>
      <c r="J5" s="6" t="s">
        <v>115</v>
      </c>
      <c r="K5" s="6"/>
      <c r="L5" s="13"/>
    </row>
    <row r="6" spans="1:13" ht="12.75" customHeight="1" x14ac:dyDescent="0.15">
      <c r="A6" s="14"/>
      <c r="B6" s="15" t="s">
        <v>4</v>
      </c>
      <c r="C6" s="6" t="s">
        <v>100</v>
      </c>
      <c r="D6" s="6"/>
      <c r="E6" s="6"/>
      <c r="F6" s="6"/>
      <c r="G6" s="6"/>
      <c r="H6" s="6"/>
      <c r="I6" s="6"/>
      <c r="J6" s="6"/>
      <c r="K6" s="6"/>
      <c r="L6" s="13"/>
    </row>
    <row r="7" spans="1:13" ht="12.75" customHeight="1" thickBot="1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9"/>
      <c r="M7" s="1" t="s">
        <v>364</v>
      </c>
    </row>
    <row r="8" spans="1:13" ht="12.75" customHeight="1" thickBot="1" x14ac:dyDescent="0.2"/>
    <row r="9" spans="1:13" ht="18" customHeight="1" x14ac:dyDescent="0.15">
      <c r="A9" s="214" t="s">
        <v>48</v>
      </c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6"/>
    </row>
    <row r="10" spans="1:13" ht="12.75" customHeight="1" x14ac:dyDescent="0.15">
      <c r="A10" s="11"/>
      <c r="B10" s="12"/>
      <c r="C10" s="12"/>
      <c r="D10" s="12"/>
      <c r="E10" s="12"/>
      <c r="F10" s="12"/>
      <c r="G10" s="12"/>
      <c r="H10" s="12"/>
      <c r="I10" s="6"/>
      <c r="J10" s="6"/>
      <c r="K10" s="6"/>
      <c r="L10" s="13"/>
    </row>
    <row r="11" spans="1:13" ht="12.75" customHeight="1" x14ac:dyDescent="0.15">
      <c r="A11" s="20" t="s">
        <v>16</v>
      </c>
      <c r="B11" s="4">
        <v>21</v>
      </c>
      <c r="C11" s="6" t="s">
        <v>5</v>
      </c>
      <c r="D11" s="6" t="s">
        <v>6</v>
      </c>
      <c r="E11" s="6"/>
      <c r="F11" s="6"/>
      <c r="G11" s="6"/>
      <c r="H11" s="21" t="s">
        <v>19</v>
      </c>
      <c r="I11" s="4">
        <v>1.9</v>
      </c>
      <c r="J11" s="6" t="s">
        <v>11</v>
      </c>
      <c r="K11" s="6" t="s">
        <v>12</v>
      </c>
      <c r="L11" s="13"/>
    </row>
    <row r="12" spans="1:13" ht="12.75" customHeight="1" x14ac:dyDescent="0.15">
      <c r="A12" s="20" t="s">
        <v>17</v>
      </c>
      <c r="B12" s="4">
        <v>276</v>
      </c>
      <c r="C12" s="6" t="s">
        <v>5</v>
      </c>
      <c r="D12" s="6" t="s">
        <v>7</v>
      </c>
      <c r="E12" s="6"/>
      <c r="F12" s="6"/>
      <c r="G12" s="6"/>
      <c r="H12" s="21" t="s">
        <v>20</v>
      </c>
      <c r="I12" s="4">
        <v>0</v>
      </c>
      <c r="J12" s="6" t="s">
        <v>11</v>
      </c>
      <c r="K12" s="6" t="s">
        <v>13</v>
      </c>
      <c r="L12" s="13"/>
    </row>
    <row r="13" spans="1:13" ht="12.75" customHeight="1" x14ac:dyDescent="0.15">
      <c r="A13" s="20" t="s">
        <v>18</v>
      </c>
      <c r="B13" s="4">
        <v>23.5</v>
      </c>
      <c r="C13" s="6" t="s">
        <v>10</v>
      </c>
      <c r="D13" s="6" t="s">
        <v>8</v>
      </c>
      <c r="E13" s="6"/>
      <c r="F13" s="6"/>
      <c r="G13" s="6"/>
      <c r="H13" s="21" t="s">
        <v>161</v>
      </c>
      <c r="I13" s="4">
        <v>0</v>
      </c>
      <c r="J13" s="6" t="s">
        <v>11</v>
      </c>
      <c r="K13" s="6" t="s">
        <v>177</v>
      </c>
      <c r="L13" s="13"/>
    </row>
    <row r="14" spans="1:13" ht="12.75" customHeight="1" x14ac:dyDescent="0.15">
      <c r="A14" s="20" t="s">
        <v>70</v>
      </c>
      <c r="B14" s="4">
        <v>0.85</v>
      </c>
      <c r="C14" s="6"/>
      <c r="D14" s="6" t="s">
        <v>9</v>
      </c>
      <c r="E14" s="6"/>
      <c r="F14" s="6"/>
      <c r="G14" s="6"/>
      <c r="H14" s="21" t="s">
        <v>179</v>
      </c>
      <c r="I14" s="4">
        <v>0</v>
      </c>
      <c r="J14" s="6" t="s">
        <v>11</v>
      </c>
      <c r="K14" s="6" t="s">
        <v>14</v>
      </c>
      <c r="L14" s="13"/>
    </row>
    <row r="15" spans="1:13" ht="12.75" customHeight="1" x14ac:dyDescent="0.15">
      <c r="A15" s="20" t="s">
        <v>82</v>
      </c>
      <c r="B15" s="4">
        <v>16</v>
      </c>
      <c r="C15" s="6" t="s">
        <v>29</v>
      </c>
      <c r="D15" s="6" t="s">
        <v>80</v>
      </c>
      <c r="E15" s="6"/>
      <c r="F15" s="6"/>
      <c r="G15" s="6"/>
      <c r="H15" s="21" t="s">
        <v>81</v>
      </c>
      <c r="I15" s="4">
        <v>10</v>
      </c>
      <c r="J15" s="6" t="s">
        <v>29</v>
      </c>
      <c r="K15" s="6" t="s">
        <v>79</v>
      </c>
      <c r="L15" s="13"/>
    </row>
    <row r="16" spans="1:13" ht="12.75" customHeight="1" thickBot="1" x14ac:dyDescent="0.2">
      <c r="A16" s="22"/>
      <c r="B16" s="59"/>
      <c r="C16" s="18"/>
      <c r="D16" s="18"/>
      <c r="E16" s="18"/>
      <c r="F16" s="18"/>
      <c r="G16" s="18"/>
      <c r="H16" s="23"/>
      <c r="I16" s="59"/>
      <c r="J16" s="18"/>
      <c r="K16" s="18"/>
      <c r="L16" s="19"/>
    </row>
    <row r="17" spans="1:12" ht="12.75" customHeight="1" thickBo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ht="18" customHeight="1" x14ac:dyDescent="0.15">
      <c r="A18" s="214" t="s">
        <v>15</v>
      </c>
      <c r="B18" s="215"/>
      <c r="C18" s="215"/>
      <c r="D18" s="215"/>
      <c r="E18" s="215"/>
      <c r="F18" s="215"/>
      <c r="G18" s="215"/>
      <c r="H18" s="215"/>
      <c r="I18" s="215"/>
      <c r="J18" s="215"/>
      <c r="K18" s="215"/>
      <c r="L18" s="216"/>
    </row>
    <row r="19" spans="1:12" ht="12.75" customHeight="1" x14ac:dyDescent="0.1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6"/>
    </row>
    <row r="20" spans="1:12" ht="12.75" customHeight="1" x14ac:dyDescent="0.15">
      <c r="A20" s="20" t="s">
        <v>108</v>
      </c>
      <c r="B20" s="4">
        <v>2</v>
      </c>
      <c r="C20" s="27" t="s">
        <v>28</v>
      </c>
      <c r="D20" s="25"/>
      <c r="E20" s="25"/>
      <c r="F20" s="25"/>
      <c r="G20" s="25"/>
      <c r="H20" s="21" t="s">
        <v>22</v>
      </c>
      <c r="I20" s="10">
        <v>0.26</v>
      </c>
      <c r="J20" s="6" t="s">
        <v>28</v>
      </c>
      <c r="K20" s="6" t="s">
        <v>26</v>
      </c>
      <c r="L20" s="13"/>
    </row>
    <row r="21" spans="1:12" ht="12.75" customHeight="1" x14ac:dyDescent="0.15">
      <c r="A21" s="20" t="s">
        <v>365</v>
      </c>
      <c r="B21" s="4">
        <v>1.2</v>
      </c>
      <c r="C21" s="27" t="s">
        <v>28</v>
      </c>
      <c r="D21" s="81" t="s">
        <v>367</v>
      </c>
      <c r="E21" s="25"/>
      <c r="F21" s="25"/>
      <c r="G21" s="25"/>
      <c r="H21" s="21" t="s">
        <v>23</v>
      </c>
      <c r="I21" s="4">
        <v>0.15</v>
      </c>
      <c r="J21" s="6" t="s">
        <v>28</v>
      </c>
      <c r="K21" s="6" t="s">
        <v>27</v>
      </c>
      <c r="L21" s="13"/>
    </row>
    <row r="22" spans="1:12" ht="12.75" customHeight="1" x14ac:dyDescent="0.15">
      <c r="A22" s="28" t="s">
        <v>366</v>
      </c>
      <c r="B22" s="4">
        <v>3</v>
      </c>
      <c r="C22" s="6" t="s">
        <v>28</v>
      </c>
      <c r="D22" s="6" t="s">
        <v>24</v>
      </c>
      <c r="E22" s="6"/>
      <c r="F22" s="6"/>
      <c r="G22" s="6"/>
      <c r="H22" s="6"/>
      <c r="I22" s="6"/>
      <c r="J22" s="6"/>
      <c r="K22" s="6"/>
      <c r="L22" s="13"/>
    </row>
    <row r="23" spans="1:12" ht="12.75" customHeight="1" x14ac:dyDescent="0.15">
      <c r="A23" s="28" t="s">
        <v>21</v>
      </c>
      <c r="B23" s="4">
        <v>1.6</v>
      </c>
      <c r="C23" s="6" t="s">
        <v>28</v>
      </c>
      <c r="D23" s="6" t="s">
        <v>25</v>
      </c>
      <c r="E23" s="6"/>
      <c r="F23" s="6"/>
      <c r="G23" s="6"/>
      <c r="H23" s="6"/>
      <c r="I23" s="6"/>
      <c r="J23" s="6"/>
      <c r="K23" s="6"/>
      <c r="L23" s="13"/>
    </row>
    <row r="24" spans="1:12" ht="12.75" customHeight="1" x14ac:dyDescent="0.15">
      <c r="A24" s="20"/>
      <c r="B24" s="5"/>
      <c r="C24" s="6"/>
      <c r="D24" s="6"/>
      <c r="E24" s="6"/>
      <c r="F24" s="6"/>
      <c r="G24" s="6"/>
      <c r="H24" s="6"/>
      <c r="I24" s="6"/>
      <c r="J24" s="6"/>
      <c r="K24" s="6"/>
      <c r="L24" s="13"/>
    </row>
    <row r="25" spans="1:12" ht="12.75" customHeight="1" x14ac:dyDescent="0.15">
      <c r="A25" s="29"/>
      <c r="B25" s="30" t="s">
        <v>52</v>
      </c>
      <c r="C25" s="30"/>
      <c r="D25" s="30"/>
      <c r="E25" s="30"/>
      <c r="F25" s="30"/>
      <c r="G25" s="30"/>
      <c r="H25" s="30"/>
      <c r="I25" s="30"/>
      <c r="J25" s="30"/>
      <c r="K25" s="30"/>
      <c r="L25" s="31"/>
    </row>
    <row r="26" spans="1:12" ht="12.75" customHeight="1" x14ac:dyDescent="0.15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1"/>
    </row>
    <row r="27" spans="1:12" ht="12.75" customHeight="1" x14ac:dyDescent="0.15">
      <c r="A27" s="29"/>
      <c r="B27" s="211" t="str">
        <f>CONCATENATE("Lw = ", B20, " m")</f>
        <v>Lw = 2 m</v>
      </c>
      <c r="C27" s="211"/>
      <c r="D27" s="211"/>
      <c r="E27" s="30"/>
      <c r="F27" s="30"/>
      <c r="G27" s="30"/>
      <c r="H27" s="30"/>
      <c r="I27" s="30"/>
      <c r="J27" s="30"/>
      <c r="K27" s="30"/>
      <c r="L27" s="32" t="s">
        <v>109</v>
      </c>
    </row>
    <row r="28" spans="1:12" ht="12.75" customHeight="1" x14ac:dyDescent="0.15">
      <c r="A28" s="29"/>
      <c r="B28" s="30"/>
      <c r="C28" s="30"/>
      <c r="D28" s="30"/>
      <c r="E28" s="30"/>
      <c r="F28" s="30"/>
      <c r="G28" s="30"/>
      <c r="H28" s="30"/>
      <c r="I28" s="210" t="str">
        <f>CONCATENATE("riser = ", I21, " m")</f>
        <v>riser = 0.15 m</v>
      </c>
      <c r="J28" s="210"/>
      <c r="K28" s="30"/>
      <c r="L28" s="31"/>
    </row>
    <row r="29" spans="1:12" ht="12.75" customHeight="1" x14ac:dyDescent="0.15">
      <c r="A29" s="29"/>
      <c r="B29" s="30"/>
      <c r="C29" s="30"/>
      <c r="D29" s="30"/>
      <c r="E29" s="30"/>
      <c r="F29" s="30"/>
      <c r="G29" s="30"/>
      <c r="H29" s="30"/>
      <c r="I29" s="210"/>
      <c r="J29" s="210"/>
      <c r="K29" s="30"/>
      <c r="L29" s="242" t="str">
        <f>CONCATENATE("H = ", B23, " m")</f>
        <v>H = 1.6 m</v>
      </c>
    </row>
    <row r="30" spans="1:12" ht="12.75" customHeight="1" x14ac:dyDescent="0.15">
      <c r="A30" s="29"/>
      <c r="B30" s="30"/>
      <c r="C30" s="30"/>
      <c r="D30" s="30"/>
      <c r="E30" s="30"/>
      <c r="F30" s="30"/>
      <c r="G30" s="30"/>
      <c r="H30" s="243" t="str">
        <f>CONCATENATE("tread = ", I20, " m")</f>
        <v>tread = 0.26 m</v>
      </c>
      <c r="I30" s="243"/>
      <c r="J30" s="33"/>
      <c r="K30" s="30"/>
      <c r="L30" s="242"/>
    </row>
    <row r="31" spans="1:12" ht="12.75" customHeight="1" x14ac:dyDescent="0.15">
      <c r="A31" s="29"/>
      <c r="B31" s="30"/>
      <c r="C31" s="30"/>
      <c r="D31" s="30"/>
      <c r="E31" s="211" t="str">
        <f>CONCATENATE("  L1 = ", B21, " m")</f>
        <v xml:space="preserve">  L1 = 1.2 m</v>
      </c>
      <c r="F31" s="211"/>
      <c r="G31" s="30"/>
      <c r="H31" s="243"/>
      <c r="I31" s="243"/>
      <c r="J31" s="30"/>
      <c r="K31" s="30"/>
      <c r="L31" s="242"/>
    </row>
    <row r="32" spans="1:12" ht="12.75" customHeight="1" x14ac:dyDescent="0.15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242"/>
    </row>
    <row r="33" spans="1:13" ht="12.75" customHeight="1" x14ac:dyDescent="0.1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242"/>
    </row>
    <row r="34" spans="1:13" ht="12.75" customHeight="1" x14ac:dyDescent="0.1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242"/>
    </row>
    <row r="35" spans="1:13" ht="12.75" customHeight="1" x14ac:dyDescent="0.1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242"/>
    </row>
    <row r="36" spans="1:13" ht="12.75" customHeight="1" x14ac:dyDescent="0.15">
      <c r="A36" s="14"/>
      <c r="B36" s="6"/>
      <c r="C36" s="6"/>
      <c r="D36" s="6"/>
      <c r="E36" s="211" t="str">
        <f>CONCATENATE("L2 = ", B22, " m")</f>
        <v>L2 = 3 m</v>
      </c>
      <c r="F36" s="211"/>
      <c r="G36" s="34"/>
      <c r="H36" s="6"/>
      <c r="I36" s="6"/>
      <c r="J36" s="6"/>
      <c r="K36" s="6"/>
      <c r="L36" s="242"/>
    </row>
    <row r="37" spans="1:13" ht="12.75" customHeight="1" x14ac:dyDescent="0.1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71"/>
    </row>
    <row r="38" spans="1:13" ht="12.75" customHeight="1" x14ac:dyDescent="0.1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71"/>
    </row>
    <row r="39" spans="1:13" ht="12.75" customHeight="1" x14ac:dyDescent="0.1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13"/>
    </row>
    <row r="40" spans="1:13" ht="12.75" customHeight="1" x14ac:dyDescent="0.15">
      <c r="A40" s="14"/>
      <c r="B40" s="6"/>
      <c r="C40" s="6"/>
      <c r="D40" s="6"/>
      <c r="E40" s="6"/>
      <c r="F40" s="6"/>
      <c r="G40" s="6"/>
      <c r="H40" s="6"/>
      <c r="I40" s="213" t="str">
        <f>CONCATENATE("       L2 =  ", B22, " m   ")</f>
        <v xml:space="preserve">       L2 =  3 m   </v>
      </c>
      <c r="J40" s="213"/>
      <c r="K40" s="6"/>
      <c r="L40" s="13"/>
    </row>
    <row r="41" spans="1:13" ht="12.75" customHeight="1" x14ac:dyDescent="0.15">
      <c r="A41" s="14"/>
      <c r="B41" s="6"/>
      <c r="C41" s="6"/>
      <c r="D41" s="6"/>
      <c r="E41" s="6"/>
      <c r="F41" s="6"/>
      <c r="G41" s="6"/>
      <c r="H41" s="6"/>
      <c r="I41" s="213"/>
      <c r="J41" s="213"/>
      <c r="K41" s="6"/>
      <c r="L41" s="13"/>
    </row>
    <row r="42" spans="1:13" ht="12.75" customHeight="1" x14ac:dyDescent="0.15">
      <c r="A42" s="29"/>
      <c r="B42" s="30"/>
      <c r="C42" s="30"/>
      <c r="D42" s="30"/>
      <c r="E42" s="30"/>
      <c r="F42" s="30"/>
      <c r="G42" s="30"/>
      <c r="H42" s="35" t="s">
        <v>35</v>
      </c>
      <c r="I42" s="81" t="str">
        <f>IF(B12=420,"L2/20","L2/20 [0.4 + (fy/700)]")</f>
        <v>L2/20 [0.4 + (fy/700)]</v>
      </c>
      <c r="J42" s="6"/>
      <c r="K42" s="30"/>
      <c r="L42" s="31"/>
    </row>
    <row r="43" spans="1:13" ht="12.75" customHeight="1" x14ac:dyDescent="0.15">
      <c r="A43" s="29"/>
      <c r="B43" s="30"/>
      <c r="C43" s="30"/>
      <c r="D43" s="30"/>
      <c r="E43" s="30"/>
      <c r="F43" s="30"/>
      <c r="G43" s="30"/>
      <c r="H43" s="35" t="s">
        <v>35</v>
      </c>
      <c r="I43" s="5">
        <v>0.12</v>
      </c>
      <c r="J43" s="6" t="s">
        <v>28</v>
      </c>
      <c r="K43" s="30"/>
      <c r="L43" s="31"/>
    </row>
    <row r="44" spans="1:13" ht="12.75" customHeight="1" x14ac:dyDescent="0.15">
      <c r="A44" s="29"/>
      <c r="B44" s="30"/>
      <c r="C44" s="30"/>
      <c r="D44" s="30"/>
      <c r="E44" s="30"/>
      <c r="F44" s="30"/>
      <c r="G44" s="30"/>
      <c r="H44" s="15" t="s">
        <v>36</v>
      </c>
      <c r="I44" s="12">
        <f>I43*1000</f>
        <v>120</v>
      </c>
      <c r="J44" s="36" t="s">
        <v>29</v>
      </c>
      <c r="K44" s="30"/>
      <c r="L44" s="31"/>
    </row>
    <row r="45" spans="1:13" ht="12.75" customHeight="1" x14ac:dyDescent="0.15">
      <c r="A45" s="29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1"/>
    </row>
    <row r="46" spans="1:13" ht="12.75" customHeight="1" x14ac:dyDescent="0.15">
      <c r="A46" s="29"/>
      <c r="B46" s="30" t="s">
        <v>53</v>
      </c>
      <c r="C46" s="30"/>
      <c r="D46" s="30"/>
      <c r="E46" s="30"/>
      <c r="F46" s="30"/>
      <c r="G46" s="30"/>
      <c r="H46" s="30"/>
      <c r="I46" s="30"/>
      <c r="J46" s="30"/>
      <c r="K46" s="30"/>
      <c r="L46" s="31"/>
    </row>
    <row r="47" spans="1:13" ht="12.75" customHeight="1" x14ac:dyDescent="0.15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1"/>
      <c r="M47" s="3"/>
    </row>
    <row r="48" spans="1:13" ht="12.75" customHeight="1" x14ac:dyDescent="0.15">
      <c r="A48" s="29"/>
      <c r="B48" s="30"/>
      <c r="C48" s="30"/>
      <c r="D48" s="30"/>
      <c r="E48" s="30"/>
      <c r="F48" s="30"/>
      <c r="G48" s="30"/>
      <c r="H48" s="35" t="s">
        <v>71</v>
      </c>
      <c r="I48" s="4">
        <v>1000</v>
      </c>
      <c r="J48" s="34" t="s">
        <v>29</v>
      </c>
      <c r="K48" s="34" t="s">
        <v>72</v>
      </c>
      <c r="L48" s="31"/>
    </row>
    <row r="49" spans="1:12" ht="12.75" customHeight="1" x14ac:dyDescent="0.15">
      <c r="A49" s="14"/>
      <c r="B49" s="6"/>
      <c r="C49" s="6"/>
      <c r="D49" s="6"/>
      <c r="E49" s="6"/>
      <c r="F49" s="6"/>
      <c r="G49" s="6"/>
      <c r="H49" s="35" t="s">
        <v>51</v>
      </c>
      <c r="I49" s="4">
        <v>20</v>
      </c>
      <c r="J49" s="6" t="s">
        <v>29</v>
      </c>
      <c r="K49" s="6" t="s">
        <v>30</v>
      </c>
      <c r="L49" s="13"/>
    </row>
    <row r="50" spans="1:12" ht="12.75" customHeight="1" x14ac:dyDescent="0.1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13"/>
    </row>
    <row r="51" spans="1:12" ht="12.75" customHeight="1" x14ac:dyDescent="0.15">
      <c r="A51" s="14"/>
      <c r="B51" s="6"/>
      <c r="C51" s="6"/>
      <c r="D51" s="6"/>
      <c r="E51" s="6"/>
      <c r="F51" s="6"/>
      <c r="G51" s="6"/>
      <c r="H51" s="35" t="s">
        <v>50</v>
      </c>
      <c r="I51" s="6" t="s">
        <v>83</v>
      </c>
      <c r="J51" s="6"/>
      <c r="K51" s="6"/>
      <c r="L51" s="13"/>
    </row>
    <row r="52" spans="1:12" ht="12.75" customHeight="1" x14ac:dyDescent="0.15">
      <c r="A52" s="14"/>
      <c r="B52" s="6"/>
      <c r="C52" s="6"/>
      <c r="D52" s="6"/>
      <c r="E52" s="6"/>
      <c r="F52" s="6"/>
      <c r="G52" s="6"/>
      <c r="H52" s="15" t="s">
        <v>50</v>
      </c>
      <c r="I52" s="12">
        <f>I44-I49-(B15/2)</f>
        <v>92</v>
      </c>
      <c r="J52" s="36" t="s">
        <v>29</v>
      </c>
      <c r="K52" s="6"/>
      <c r="L52" s="13"/>
    </row>
    <row r="53" spans="1:12" ht="12.75" customHeight="1" thickBot="1" x14ac:dyDescent="0.2">
      <c r="A53" s="16"/>
      <c r="B53" s="18"/>
      <c r="C53" s="18"/>
      <c r="D53" s="18"/>
      <c r="E53" s="18"/>
      <c r="F53" s="18"/>
      <c r="G53" s="18"/>
      <c r="H53" s="17"/>
      <c r="I53" s="37"/>
      <c r="J53" s="38"/>
      <c r="K53" s="18"/>
      <c r="L53" s="19"/>
    </row>
    <row r="54" spans="1:12" ht="12.75" customHeight="1" thickBot="1" x14ac:dyDescent="0.2">
      <c r="A54" s="6"/>
      <c r="B54" s="6"/>
      <c r="C54" s="6"/>
      <c r="D54" s="6"/>
      <c r="E54" s="6"/>
      <c r="F54" s="6"/>
      <c r="G54" s="6"/>
      <c r="H54" s="15"/>
      <c r="I54" s="36"/>
      <c r="J54" s="36"/>
      <c r="K54" s="6"/>
      <c r="L54" s="6"/>
    </row>
    <row r="55" spans="1:12" s="8" customFormat="1" ht="18" customHeight="1" x14ac:dyDescent="0.15">
      <c r="A55" s="214" t="s">
        <v>49</v>
      </c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6"/>
    </row>
    <row r="56" spans="1:12" ht="12.75" customHeight="1" x14ac:dyDescent="0.15">
      <c r="A56" s="28"/>
      <c r="B56" s="6"/>
      <c r="C56" s="6"/>
      <c r="D56" s="6"/>
      <c r="E56" s="6"/>
      <c r="F56" s="6"/>
      <c r="G56" s="6"/>
      <c r="H56" s="6"/>
      <c r="I56" s="6"/>
      <c r="J56" s="6"/>
      <c r="K56" s="6"/>
      <c r="L56" s="13"/>
    </row>
    <row r="57" spans="1:12" s="2" customFormat="1" ht="12.75" customHeight="1" x14ac:dyDescent="0.15">
      <c r="A57" s="39"/>
      <c r="B57" s="36" t="s">
        <v>103</v>
      </c>
      <c r="C57" s="36"/>
      <c r="D57" s="36"/>
      <c r="E57" s="36"/>
      <c r="F57" s="36" t="s">
        <v>104</v>
      </c>
      <c r="G57" s="36"/>
      <c r="H57" s="36"/>
      <c r="I57" s="36"/>
      <c r="J57" s="36" t="s">
        <v>31</v>
      </c>
      <c r="K57" s="36"/>
      <c r="L57" s="40"/>
    </row>
    <row r="58" spans="1:12" s="2" customFormat="1" ht="12.75" customHeight="1" x14ac:dyDescent="0.15">
      <c r="A58" s="39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40"/>
    </row>
    <row r="59" spans="1:12" ht="12.75" customHeight="1" x14ac:dyDescent="0.15">
      <c r="A59" s="14"/>
      <c r="B59" s="35" t="s">
        <v>32</v>
      </c>
      <c r="C59" s="6" t="s">
        <v>34</v>
      </c>
      <c r="D59" s="6"/>
      <c r="E59" s="6"/>
      <c r="F59" s="35" t="s">
        <v>37</v>
      </c>
      <c r="G59" s="6" t="s">
        <v>44</v>
      </c>
      <c r="H59" s="6"/>
      <c r="I59" s="6"/>
      <c r="J59" s="35" t="s">
        <v>46</v>
      </c>
      <c r="K59" s="6" t="s">
        <v>45</v>
      </c>
      <c r="L59" s="13"/>
    </row>
    <row r="60" spans="1:12" ht="12.75" customHeight="1" x14ac:dyDescent="0.15">
      <c r="A60" s="14"/>
      <c r="B60" s="15" t="s">
        <v>39</v>
      </c>
      <c r="C60" s="41">
        <f>0.5*I21*B13</f>
        <v>1.7625</v>
      </c>
      <c r="D60" s="36" t="s">
        <v>11</v>
      </c>
      <c r="E60" s="6"/>
      <c r="F60" s="15" t="s">
        <v>43</v>
      </c>
      <c r="G60" s="41">
        <f>I11+I12</f>
        <v>1.9</v>
      </c>
      <c r="H60" s="36" t="s">
        <v>11</v>
      </c>
      <c r="I60" s="6"/>
      <c r="J60" s="35" t="s">
        <v>46</v>
      </c>
      <c r="K60" s="42">
        <f>1.2*C66 + 1.6*G60</f>
        <v>9.0617840131550373</v>
      </c>
      <c r="L60" s="13" t="s">
        <v>11</v>
      </c>
    </row>
    <row r="61" spans="1:12" ht="12.75" customHeight="1" x14ac:dyDescent="0.15">
      <c r="A61" s="14"/>
      <c r="B61" s="35"/>
      <c r="C61" s="6"/>
      <c r="D61" s="6"/>
      <c r="E61" s="6"/>
      <c r="F61" s="6"/>
      <c r="G61" s="6"/>
      <c r="H61" s="6"/>
      <c r="I61" s="6"/>
      <c r="J61" s="15" t="s">
        <v>47</v>
      </c>
      <c r="K61" s="41">
        <f>K60</f>
        <v>9.0617840131550373</v>
      </c>
      <c r="L61" s="40" t="s">
        <v>60</v>
      </c>
    </row>
    <row r="62" spans="1:12" ht="12.75" customHeight="1" x14ac:dyDescent="0.15">
      <c r="A62" s="14"/>
      <c r="B62" s="35" t="s">
        <v>33</v>
      </c>
      <c r="C62" s="6" t="s">
        <v>42</v>
      </c>
      <c r="D62" s="6"/>
      <c r="E62" s="6"/>
      <c r="F62" s="6"/>
      <c r="G62" s="6"/>
      <c r="H62" s="6"/>
      <c r="I62" s="6"/>
      <c r="J62" s="6"/>
      <c r="K62" s="6"/>
      <c r="L62" s="13"/>
    </row>
    <row r="63" spans="1:12" ht="12.75" customHeight="1" x14ac:dyDescent="0.15">
      <c r="A63" s="14"/>
      <c r="B63" s="15" t="s">
        <v>40</v>
      </c>
      <c r="C63" s="41">
        <f>((I43/I20)*(SQRT((I21^2)+(I20^2)))*(B13))</f>
        <v>3.2556533442958653</v>
      </c>
      <c r="D63" s="36" t="s">
        <v>11</v>
      </c>
      <c r="E63" s="6"/>
      <c r="F63" s="6"/>
      <c r="G63" s="6"/>
      <c r="H63" s="6"/>
      <c r="I63" s="6"/>
      <c r="J63" s="6"/>
      <c r="K63" s="6"/>
      <c r="L63" s="13"/>
    </row>
    <row r="64" spans="1:12" ht="12.75" customHeight="1" x14ac:dyDescent="0.15">
      <c r="A64" s="14"/>
      <c r="B64" s="35"/>
      <c r="C64" s="6"/>
      <c r="D64" s="6"/>
      <c r="E64" s="6"/>
      <c r="F64" s="6"/>
      <c r="G64" s="6"/>
      <c r="H64" s="6"/>
      <c r="I64" s="6"/>
      <c r="J64" s="6"/>
      <c r="K64" s="6"/>
      <c r="L64" s="13"/>
    </row>
    <row r="65" spans="1:14" ht="12.75" customHeight="1" x14ac:dyDescent="0.15">
      <c r="A65" s="14"/>
      <c r="B65" s="35" t="s">
        <v>38</v>
      </c>
      <c r="C65" s="6" t="s">
        <v>178</v>
      </c>
      <c r="D65" s="6"/>
      <c r="E65" s="6"/>
      <c r="F65" s="6"/>
      <c r="G65" s="6"/>
      <c r="H65" s="6"/>
      <c r="I65" s="6"/>
      <c r="J65" s="6"/>
      <c r="K65" s="6"/>
      <c r="L65" s="13"/>
    </row>
    <row r="66" spans="1:14" ht="12.75" customHeight="1" x14ac:dyDescent="0.15">
      <c r="A66" s="14"/>
      <c r="B66" s="15" t="s">
        <v>41</v>
      </c>
      <c r="C66" s="41">
        <f>I14+C60+C63+I13</f>
        <v>5.0181533442958655</v>
      </c>
      <c r="D66" s="36" t="s">
        <v>11</v>
      </c>
      <c r="E66" s="6"/>
      <c r="F66" s="6"/>
      <c r="G66" s="6"/>
      <c r="H66" s="6"/>
      <c r="I66" s="6"/>
      <c r="J66" s="6"/>
      <c r="K66" s="6"/>
      <c r="L66" s="13"/>
    </row>
    <row r="67" spans="1:14" ht="12.75" customHeight="1" thickBot="1" x14ac:dyDescent="0.2">
      <c r="A67" s="16"/>
      <c r="B67" s="17"/>
      <c r="C67" s="43"/>
      <c r="D67" s="38"/>
      <c r="E67" s="18"/>
      <c r="F67" s="18"/>
      <c r="G67" s="18"/>
      <c r="H67" s="18"/>
      <c r="I67" s="18"/>
      <c r="J67" s="18"/>
      <c r="K67" s="18"/>
      <c r="L67" s="19"/>
    </row>
    <row r="68" spans="1:14" ht="12.75" customHeight="1" x14ac:dyDescent="0.15"/>
    <row r="69" spans="1:14" ht="12.75" customHeight="1" x14ac:dyDescent="0.15"/>
    <row r="70" spans="1:14" ht="12.75" customHeight="1" thickBot="1" x14ac:dyDescent="0.2"/>
    <row r="71" spans="1:14" ht="18" customHeight="1" x14ac:dyDescent="0.15">
      <c r="A71" s="214" t="s">
        <v>54</v>
      </c>
      <c r="B71" s="215"/>
      <c r="C71" s="215"/>
      <c r="D71" s="215"/>
      <c r="E71" s="215"/>
      <c r="F71" s="215"/>
      <c r="G71" s="215"/>
      <c r="H71" s="215"/>
      <c r="I71" s="215"/>
      <c r="J71" s="215"/>
      <c r="K71" s="215"/>
      <c r="L71" s="216"/>
    </row>
    <row r="72" spans="1:14" ht="12.75" customHeight="1" x14ac:dyDescent="0.1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13"/>
    </row>
    <row r="73" spans="1:14" ht="12.75" customHeight="1" x14ac:dyDescent="0.15">
      <c r="A73" s="14"/>
      <c r="B73" s="36" t="s">
        <v>55</v>
      </c>
      <c r="C73" s="6"/>
      <c r="D73" s="6"/>
      <c r="E73" s="6"/>
      <c r="F73" s="36" t="s">
        <v>61</v>
      </c>
      <c r="G73" s="6"/>
      <c r="H73" s="6"/>
      <c r="I73" s="6"/>
      <c r="J73" s="36" t="s">
        <v>62</v>
      </c>
      <c r="K73" s="6"/>
      <c r="L73" s="13"/>
    </row>
    <row r="74" spans="1:14" ht="12.75" customHeight="1" x14ac:dyDescent="0.1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13"/>
    </row>
    <row r="75" spans="1:14" ht="12.75" customHeight="1" x14ac:dyDescent="0.15">
      <c r="A75" s="14"/>
      <c r="B75" s="56" t="s">
        <v>57</v>
      </c>
      <c r="C75" s="6" t="s">
        <v>56</v>
      </c>
      <c r="D75" s="6"/>
      <c r="E75" s="6"/>
      <c r="F75" s="56" t="s">
        <v>57</v>
      </c>
      <c r="G75" s="6" t="s">
        <v>105</v>
      </c>
      <c r="H75" s="6"/>
      <c r="I75" s="36"/>
      <c r="J75" s="56" t="s">
        <v>101</v>
      </c>
      <c r="K75" s="6" t="s">
        <v>65</v>
      </c>
      <c r="L75" s="13"/>
      <c r="M75" s="1" t="s">
        <v>74</v>
      </c>
      <c r="N75" s="1">
        <f>((0.9*B11*I48*I52*I52*G76)*(1-(0.59*G76)))</f>
        <v>9292614.6807987839</v>
      </c>
    </row>
    <row r="76" spans="1:14" ht="12.75" customHeight="1" x14ac:dyDescent="0.15">
      <c r="A76" s="14"/>
      <c r="B76" s="66" t="s">
        <v>58</v>
      </c>
      <c r="C76" s="41">
        <f>(K60*B22*B22)/8</f>
        <v>10.194507014799417</v>
      </c>
      <c r="D76" s="36" t="s">
        <v>59</v>
      </c>
      <c r="E76" s="6"/>
      <c r="F76" s="66" t="s">
        <v>73</v>
      </c>
      <c r="G76" s="53">
        <v>6.0230208889032161E-2</v>
      </c>
      <c r="H76" s="6"/>
      <c r="I76" s="6"/>
      <c r="J76" s="66" t="s">
        <v>102</v>
      </c>
      <c r="K76" s="44">
        <f>1.4/B12</f>
        <v>5.0724637681159417E-3</v>
      </c>
      <c r="L76" s="40"/>
      <c r="M76" s="1" t="s">
        <v>75</v>
      </c>
      <c r="N76" s="1">
        <f>(K60*B22*B22)/8*1000000</f>
        <v>10194507.014799416</v>
      </c>
    </row>
    <row r="77" spans="1:14" ht="12.75" customHeight="1" x14ac:dyDescent="0.15">
      <c r="A77" s="14"/>
      <c r="B77" s="66"/>
      <c r="C77" s="45"/>
      <c r="D77" s="36"/>
      <c r="E77" s="6"/>
      <c r="F77" s="6"/>
      <c r="G77" s="6"/>
      <c r="H77" s="6"/>
      <c r="I77" s="6"/>
      <c r="J77" s="66"/>
      <c r="K77" s="45"/>
      <c r="L77" s="40"/>
    </row>
    <row r="78" spans="1:14" ht="12.75" customHeight="1" x14ac:dyDescent="0.15">
      <c r="A78" s="14"/>
      <c r="B78" s="6"/>
      <c r="C78" s="6"/>
      <c r="D78" s="6"/>
      <c r="E78" s="6"/>
      <c r="F78" s="6" t="s">
        <v>368</v>
      </c>
      <c r="G78" s="6">
        <f>(C76*10^6)/(0.9*I48*I52*I52)</f>
        <v>1.3382833195231327</v>
      </c>
      <c r="H78" s="6"/>
      <c r="I78" s="6"/>
      <c r="J78" s="56" t="s">
        <v>101</v>
      </c>
      <c r="K78" s="6" t="s">
        <v>66</v>
      </c>
      <c r="L78" s="13"/>
    </row>
    <row r="79" spans="1:14" ht="12.75" customHeight="1" x14ac:dyDescent="0.15">
      <c r="A79" s="14"/>
      <c r="B79" s="6"/>
      <c r="C79" s="6"/>
      <c r="D79" s="6"/>
      <c r="E79" s="6"/>
      <c r="F79" s="6"/>
      <c r="G79" s="6"/>
      <c r="H79" s="6"/>
      <c r="I79" s="6"/>
      <c r="J79" s="66" t="s">
        <v>102</v>
      </c>
      <c r="K79" s="44">
        <f>SQRT(B11)/(4*B12)</f>
        <v>4.1508837816628986E-3</v>
      </c>
      <c r="L79" s="40"/>
    </row>
    <row r="80" spans="1:14" ht="12.75" customHeight="1" x14ac:dyDescent="0.15">
      <c r="A80" s="14"/>
      <c r="B80" s="6"/>
      <c r="C80" s="6"/>
      <c r="D80" s="6"/>
      <c r="E80" s="6"/>
      <c r="F80" s="6"/>
      <c r="G80" s="6"/>
      <c r="H80" s="6"/>
      <c r="I80" s="6"/>
      <c r="J80" s="56"/>
      <c r="K80" s="6"/>
      <c r="L80" s="13"/>
    </row>
    <row r="81" spans="1:25" ht="12.75" customHeight="1" x14ac:dyDescent="0.15">
      <c r="A81" s="14"/>
      <c r="B81" s="6"/>
      <c r="C81" s="6"/>
      <c r="D81" s="6"/>
      <c r="E81" s="6"/>
      <c r="F81" s="6"/>
      <c r="G81" s="6"/>
      <c r="H81" s="6"/>
      <c r="I81" s="6"/>
      <c r="J81" s="46" t="s">
        <v>63</v>
      </c>
      <c r="K81" s="47" t="s">
        <v>158</v>
      </c>
      <c r="L81" s="55"/>
    </row>
    <row r="82" spans="1:25" ht="12.75" customHeight="1" x14ac:dyDescent="0.15">
      <c r="A82" s="14"/>
      <c r="B82" s="6"/>
      <c r="C82" s="6"/>
      <c r="D82" s="6"/>
      <c r="E82" s="6"/>
      <c r="F82" s="6"/>
      <c r="G82" s="6"/>
      <c r="H82" s="6"/>
      <c r="I82" s="6"/>
      <c r="J82" s="6"/>
      <c r="K82" s="47" t="s">
        <v>159</v>
      </c>
      <c r="L82" s="48"/>
    </row>
    <row r="83" spans="1:25" ht="12.75" customHeight="1" x14ac:dyDescent="0.15">
      <c r="A83" s="14"/>
      <c r="B83" s="6"/>
      <c r="C83" s="6"/>
      <c r="D83" s="6"/>
      <c r="E83" s="6"/>
      <c r="F83" s="6"/>
      <c r="G83" s="6"/>
      <c r="H83" s="6"/>
      <c r="I83" s="6"/>
      <c r="J83" s="49" t="s">
        <v>64</v>
      </c>
      <c r="K83" s="44">
        <f>(0.85*B11*B14*(3/8))/B12</f>
        <v>2.0614809782608691E-2</v>
      </c>
      <c r="L83" s="40"/>
    </row>
    <row r="84" spans="1:25" ht="12.75" customHeight="1" x14ac:dyDescent="0.15">
      <c r="A84" s="14"/>
      <c r="B84" s="6"/>
      <c r="C84" s="6"/>
      <c r="D84" s="6"/>
      <c r="E84" s="6"/>
      <c r="F84" s="6"/>
      <c r="G84" s="6"/>
      <c r="H84" s="6"/>
      <c r="I84" s="6"/>
      <c r="J84" s="56"/>
      <c r="K84" s="6"/>
      <c r="L84" s="13"/>
    </row>
    <row r="85" spans="1:25" ht="12.75" customHeight="1" x14ac:dyDescent="0.15">
      <c r="A85" s="14"/>
      <c r="B85" s="6"/>
      <c r="C85" s="6"/>
      <c r="D85" s="6"/>
      <c r="E85" s="6"/>
      <c r="F85" s="6"/>
      <c r="G85" s="6"/>
      <c r="H85" s="6"/>
      <c r="I85" s="6"/>
      <c r="J85" s="56" t="s">
        <v>67</v>
      </c>
      <c r="K85" s="6" t="s">
        <v>68</v>
      </c>
      <c r="L85" s="13"/>
    </row>
    <row r="86" spans="1:25" ht="12.75" customHeight="1" x14ac:dyDescent="0.15">
      <c r="A86" s="14"/>
      <c r="B86" s="6"/>
      <c r="C86" s="6"/>
      <c r="D86" s="6"/>
      <c r="E86" s="6"/>
      <c r="F86" s="6"/>
      <c r="G86" s="6"/>
      <c r="H86" s="6"/>
      <c r="I86" s="6"/>
      <c r="J86" s="66" t="s">
        <v>69</v>
      </c>
      <c r="K86" s="44">
        <f>(G76*B11)/B12</f>
        <v>4.5827332850350557E-3</v>
      </c>
      <c r="L86" s="13" t="s">
        <v>363</v>
      </c>
    </row>
    <row r="87" spans="1:25" ht="12.75" customHeight="1" x14ac:dyDescent="0.1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13" t="s">
        <v>76</v>
      </c>
    </row>
    <row r="88" spans="1:25" ht="12.75" customHeight="1" x14ac:dyDescent="0.1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13"/>
    </row>
    <row r="89" spans="1:25" s="140" customFormat="1" ht="12.75" customHeight="1" x14ac:dyDescent="0.2">
      <c r="A89" s="147"/>
      <c r="B89" s="117"/>
      <c r="C89" s="117"/>
      <c r="D89" s="117"/>
      <c r="E89" s="117"/>
      <c r="F89" s="117"/>
      <c r="G89" s="117"/>
      <c r="H89" s="117"/>
      <c r="I89" s="244" t="s">
        <v>148</v>
      </c>
      <c r="J89" s="244"/>
      <c r="K89" s="244"/>
      <c r="L89" s="175">
        <f>IF(K86&lt;K76, K76, IF(K86&gt;K83, K83, K86))</f>
        <v>5.0724637681159417E-3</v>
      </c>
      <c r="M89" s="54"/>
      <c r="X89" s="54"/>
      <c r="Y89" s="54"/>
    </row>
    <row r="90" spans="1:25" ht="12.75" customHeight="1" thickBot="1" x14ac:dyDescent="0.2">
      <c r="A90" s="16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9"/>
    </row>
    <row r="91" spans="1:25" ht="12.75" customHeight="1" thickBot="1" x14ac:dyDescent="0.2">
      <c r="K91" s="2"/>
    </row>
    <row r="92" spans="1:25" ht="18" customHeight="1" x14ac:dyDescent="0.15">
      <c r="A92" s="214" t="s">
        <v>77</v>
      </c>
      <c r="B92" s="215"/>
      <c r="C92" s="215"/>
      <c r="D92" s="215"/>
      <c r="E92" s="215"/>
      <c r="F92" s="215"/>
      <c r="G92" s="215"/>
      <c r="H92" s="215"/>
      <c r="I92" s="215"/>
      <c r="J92" s="215"/>
      <c r="K92" s="215"/>
      <c r="L92" s="216"/>
    </row>
    <row r="93" spans="1:25" ht="12.75" customHeight="1" x14ac:dyDescent="0.1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13"/>
    </row>
    <row r="94" spans="1:25" ht="12.75" customHeight="1" x14ac:dyDescent="0.15">
      <c r="A94" s="14"/>
      <c r="B94" s="36" t="s">
        <v>84</v>
      </c>
      <c r="C94" s="36"/>
      <c r="D94" s="36"/>
      <c r="E94" s="36"/>
      <c r="F94" s="36"/>
      <c r="G94" s="36"/>
      <c r="H94" s="36" t="s">
        <v>85</v>
      </c>
      <c r="I94" s="6"/>
      <c r="J94" s="6"/>
      <c r="K94" s="6"/>
      <c r="L94" s="13"/>
    </row>
    <row r="95" spans="1:25" ht="12.75" customHeight="1" x14ac:dyDescent="0.1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13"/>
    </row>
    <row r="96" spans="1:25" ht="12.75" customHeight="1" x14ac:dyDescent="0.15">
      <c r="A96" s="14"/>
      <c r="B96" s="69" t="s">
        <v>149</v>
      </c>
      <c r="C96" s="6" t="s">
        <v>86</v>
      </c>
      <c r="D96" s="6"/>
      <c r="E96" s="6"/>
      <c r="F96" s="6"/>
      <c r="G96" s="6"/>
      <c r="H96" s="69" t="s">
        <v>149</v>
      </c>
      <c r="I96" s="6" t="s">
        <v>92</v>
      </c>
      <c r="J96" s="6"/>
      <c r="K96" s="6"/>
      <c r="L96" s="13"/>
    </row>
    <row r="97" spans="1:12" ht="12.75" customHeight="1" x14ac:dyDescent="0.15">
      <c r="A97" s="14"/>
      <c r="B97" s="70" t="s">
        <v>150</v>
      </c>
      <c r="C97" s="41">
        <f>L89*I48*I52</f>
        <v>466.66666666666663</v>
      </c>
      <c r="D97" s="36" t="s">
        <v>88</v>
      </c>
      <c r="E97" s="6"/>
      <c r="F97" s="6"/>
      <c r="G97" s="6"/>
      <c r="H97" s="70" t="s">
        <v>150</v>
      </c>
      <c r="I97" s="67">
        <f>0.002*I48*I44</f>
        <v>240</v>
      </c>
      <c r="J97" s="36" t="s">
        <v>88</v>
      </c>
      <c r="K97" s="6"/>
      <c r="L97" s="13"/>
    </row>
    <row r="98" spans="1:12" ht="12.75" customHeight="1" x14ac:dyDescent="0.1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13"/>
    </row>
    <row r="99" spans="1:12" ht="12.75" customHeight="1" x14ac:dyDescent="0.15">
      <c r="A99" s="14"/>
      <c r="B99" s="69" t="s">
        <v>151</v>
      </c>
      <c r="C99" s="6" t="s">
        <v>89</v>
      </c>
      <c r="D99" s="6"/>
      <c r="E99" s="6"/>
      <c r="F99" s="6"/>
      <c r="G99" s="6"/>
      <c r="H99" s="69" t="s">
        <v>151</v>
      </c>
      <c r="I99" s="6" t="s">
        <v>93</v>
      </c>
      <c r="J99" s="6"/>
      <c r="K99" s="6"/>
      <c r="L99" s="13"/>
    </row>
    <row r="100" spans="1:12" ht="12.75" customHeight="1" x14ac:dyDescent="0.15">
      <c r="A100" s="14"/>
      <c r="B100" s="70" t="s">
        <v>152</v>
      </c>
      <c r="C100" s="41">
        <f>(PI()/4)*B15^2</f>
        <v>201.06192982974676</v>
      </c>
      <c r="D100" s="36" t="s">
        <v>88</v>
      </c>
      <c r="E100" s="6"/>
      <c r="F100" s="6"/>
      <c r="G100" s="6"/>
      <c r="H100" s="70" t="s">
        <v>152</v>
      </c>
      <c r="I100" s="41">
        <f>(PI()/4)*I15^2</f>
        <v>78.539816339744831</v>
      </c>
      <c r="J100" s="36" t="s">
        <v>88</v>
      </c>
      <c r="K100" s="6"/>
      <c r="L100" s="13"/>
    </row>
    <row r="101" spans="1:12" ht="12.75" customHeight="1" x14ac:dyDescent="0.1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13"/>
    </row>
    <row r="102" spans="1:12" ht="12.75" customHeight="1" x14ac:dyDescent="0.15">
      <c r="A102" s="14"/>
      <c r="B102" s="69" t="s">
        <v>90</v>
      </c>
      <c r="C102" s="6" t="s">
        <v>91</v>
      </c>
      <c r="D102" s="6"/>
      <c r="E102" s="6"/>
      <c r="F102" s="6"/>
      <c r="G102" s="6"/>
      <c r="H102" s="69" t="s">
        <v>90</v>
      </c>
      <c r="I102" s="6" t="s">
        <v>91</v>
      </c>
      <c r="J102" s="6"/>
      <c r="K102" s="6"/>
      <c r="L102" s="13"/>
    </row>
    <row r="103" spans="1:12" ht="12.75" customHeight="1" x14ac:dyDescent="0.15">
      <c r="A103" s="14"/>
      <c r="B103" s="69" t="s">
        <v>90</v>
      </c>
      <c r="C103" s="68">
        <f>(C100/C97)*1000</f>
        <v>430.84699249231448</v>
      </c>
      <c r="D103" s="6" t="s">
        <v>87</v>
      </c>
      <c r="E103" s="6"/>
      <c r="F103" s="6"/>
      <c r="G103" s="6"/>
      <c r="H103" s="69" t="s">
        <v>90</v>
      </c>
      <c r="I103" s="68">
        <f>(I100/I97)*1000</f>
        <v>327.24923474893683</v>
      </c>
      <c r="J103" s="6" t="s">
        <v>87</v>
      </c>
      <c r="K103" s="6"/>
      <c r="L103" s="13"/>
    </row>
    <row r="104" spans="1:12" ht="12.75" customHeight="1" x14ac:dyDescent="0.15">
      <c r="A104" s="50"/>
      <c r="B104" s="70" t="s">
        <v>96</v>
      </c>
      <c r="C104" s="67">
        <f>FLOOR(C103,10)</f>
        <v>430</v>
      </c>
      <c r="D104" s="36" t="s">
        <v>88</v>
      </c>
      <c r="E104" s="6"/>
      <c r="F104" s="6"/>
      <c r="G104" s="70"/>
      <c r="H104" s="70" t="s">
        <v>96</v>
      </c>
      <c r="I104" s="67">
        <f>FLOOR(I103,10)</f>
        <v>320</v>
      </c>
      <c r="J104" s="36" t="s">
        <v>88</v>
      </c>
      <c r="K104" s="6"/>
      <c r="L104" s="13"/>
    </row>
    <row r="105" spans="1:12" ht="12.75" customHeight="1" x14ac:dyDescent="0.1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13"/>
    </row>
    <row r="106" spans="1:12" ht="12.75" customHeight="1" x14ac:dyDescent="0.15">
      <c r="A106" s="51"/>
      <c r="B106" s="36" t="s">
        <v>206</v>
      </c>
      <c r="C106" s="34"/>
      <c r="D106" s="34"/>
      <c r="E106" s="34"/>
      <c r="F106" s="34"/>
      <c r="G106" s="34"/>
      <c r="H106" s="34"/>
      <c r="I106" s="34"/>
      <c r="J106" s="34"/>
      <c r="K106" s="34"/>
      <c r="L106" s="52"/>
    </row>
    <row r="107" spans="1:12" ht="12.75" customHeight="1" x14ac:dyDescent="0.1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13"/>
    </row>
    <row r="108" spans="1:12" ht="12.75" customHeight="1" x14ac:dyDescent="0.15">
      <c r="A108" s="14"/>
      <c r="B108" s="69" t="s">
        <v>94</v>
      </c>
      <c r="C108" s="68">
        <f>3*I44</f>
        <v>360</v>
      </c>
      <c r="D108" s="6" t="s">
        <v>29</v>
      </c>
      <c r="E108" s="6"/>
      <c r="F108" s="6"/>
      <c r="G108" s="6"/>
      <c r="H108" s="6" t="s">
        <v>106</v>
      </c>
      <c r="I108" s="68">
        <f>5*I44</f>
        <v>600</v>
      </c>
      <c r="J108" s="6" t="s">
        <v>29</v>
      </c>
      <c r="K108" s="6"/>
      <c r="L108" s="13"/>
    </row>
    <row r="109" spans="1:12" ht="12.75" customHeight="1" x14ac:dyDescent="0.15">
      <c r="A109" s="14"/>
      <c r="B109" s="36" t="s">
        <v>78</v>
      </c>
      <c r="C109" s="68">
        <v>450</v>
      </c>
      <c r="D109" s="6" t="s">
        <v>29</v>
      </c>
      <c r="E109" s="6"/>
      <c r="F109" s="6"/>
      <c r="G109" s="6"/>
      <c r="H109" s="36" t="s">
        <v>95</v>
      </c>
      <c r="I109" s="68">
        <v>450</v>
      </c>
      <c r="J109" s="6" t="s">
        <v>29</v>
      </c>
      <c r="K109" s="6"/>
      <c r="L109" s="13"/>
    </row>
    <row r="110" spans="1:12" ht="12.75" customHeight="1" x14ac:dyDescent="0.1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13"/>
    </row>
    <row r="111" spans="1:12" ht="12.75" customHeight="1" x14ac:dyDescent="0.15">
      <c r="A111" s="204" t="str">
        <f>CONCATENATE("Therefore, use ", B15," mm Main Steel Bars spaced at ",  MIN(C108:C109,C104), " mm O.C.")</f>
        <v>Therefore, use 16 mm Main Steel Bars spaced at 360 mm O.C.</v>
      </c>
      <c r="B111" s="205"/>
      <c r="C111" s="205"/>
      <c r="D111" s="205"/>
      <c r="E111" s="205"/>
      <c r="F111" s="205"/>
      <c r="G111" s="36"/>
      <c r="H111" s="205" t="str">
        <f>CONCATENATE("Therefore, use 10 mm Temperature Steel Bars spaced at ",  MIN(I108:I109,I104), " mm O.C.")</f>
        <v>Therefore, use 10 mm Temperature Steel Bars spaced at 320 mm O.C.</v>
      </c>
      <c r="I111" s="205"/>
      <c r="J111" s="205"/>
      <c r="K111" s="205"/>
      <c r="L111" s="206"/>
    </row>
    <row r="112" spans="1:12" ht="12.75" customHeight="1" thickBot="1" x14ac:dyDescent="0.2">
      <c r="A112" s="60"/>
      <c r="B112" s="61"/>
      <c r="C112" s="61"/>
      <c r="D112" s="61"/>
      <c r="E112" s="61"/>
      <c r="F112" s="61"/>
      <c r="G112" s="38"/>
      <c r="H112" s="61"/>
      <c r="I112" s="61"/>
      <c r="J112" s="61"/>
      <c r="K112" s="61"/>
      <c r="L112" s="62"/>
    </row>
    <row r="113" spans="1:12" ht="12" thickBot="1" x14ac:dyDescent="0.2"/>
    <row r="114" spans="1:12" ht="18" customHeight="1" x14ac:dyDescent="0.15">
      <c r="A114" s="239" t="s">
        <v>305</v>
      </c>
      <c r="B114" s="240"/>
      <c r="C114" s="240"/>
      <c r="D114" s="240"/>
      <c r="E114" s="240"/>
      <c r="F114" s="240"/>
      <c r="G114" s="240"/>
      <c r="H114" s="240"/>
      <c r="I114" s="240"/>
      <c r="J114" s="240"/>
      <c r="K114" s="240"/>
      <c r="L114" s="241"/>
    </row>
    <row r="115" spans="1:12" x14ac:dyDescent="0.1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13"/>
    </row>
    <row r="116" spans="1:12" x14ac:dyDescent="0.15">
      <c r="A116" s="14"/>
      <c r="B116" s="203" t="s">
        <v>120</v>
      </c>
      <c r="C116" s="203"/>
      <c r="D116" s="203"/>
      <c r="E116" s="6"/>
      <c r="F116" s="6"/>
      <c r="G116" s="6"/>
      <c r="H116" s="203" t="s">
        <v>121</v>
      </c>
      <c r="I116" s="203"/>
      <c r="J116" s="203"/>
      <c r="K116" s="203"/>
      <c r="L116" s="13"/>
    </row>
    <row r="117" spans="1:12" x14ac:dyDescent="0.1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13"/>
    </row>
    <row r="118" spans="1:12" x14ac:dyDescent="0.1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13"/>
    </row>
    <row r="119" spans="1:12" x14ac:dyDescent="0.1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13"/>
    </row>
    <row r="120" spans="1:12" x14ac:dyDescent="0.1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13"/>
    </row>
    <row r="121" spans="1:12" x14ac:dyDescent="0.15">
      <c r="A121" s="29"/>
      <c r="B121" s="211" t="str">
        <f>CONCATENATE("Lw = ", B20, " m")</f>
        <v>Lw = 2 m</v>
      </c>
      <c r="C121" s="211"/>
      <c r="D121" s="211"/>
      <c r="E121" s="30"/>
      <c r="F121" s="30"/>
      <c r="G121" s="6"/>
      <c r="H121" s="6"/>
      <c r="I121" s="6"/>
      <c r="J121" s="6"/>
      <c r="K121" s="6"/>
      <c r="L121" s="13"/>
    </row>
    <row r="122" spans="1:12" x14ac:dyDescent="0.15">
      <c r="A122" s="29"/>
      <c r="B122" s="30"/>
      <c r="C122" s="30"/>
      <c r="D122" s="30"/>
      <c r="E122" s="30"/>
      <c r="F122" s="30"/>
      <c r="G122" s="6"/>
      <c r="H122" s="6"/>
      <c r="I122" s="6"/>
      <c r="J122" s="6"/>
      <c r="K122" s="6"/>
      <c r="L122" s="13"/>
    </row>
    <row r="123" spans="1:12" x14ac:dyDescent="0.15">
      <c r="A123" s="29"/>
      <c r="B123" s="30"/>
      <c r="C123" s="30"/>
      <c r="D123" s="30"/>
      <c r="E123" s="30"/>
      <c r="F123" s="30"/>
      <c r="G123" s="6"/>
      <c r="H123" s="6"/>
      <c r="I123" s="6"/>
      <c r="J123" s="6"/>
      <c r="K123" s="6"/>
      <c r="L123" s="13"/>
    </row>
    <row r="124" spans="1:12" ht="16" customHeight="1" x14ac:dyDescent="0.15">
      <c r="A124" s="29"/>
      <c r="B124" s="30"/>
      <c r="C124" s="30"/>
      <c r="D124" s="30"/>
      <c r="E124" s="30"/>
      <c r="F124" s="30"/>
      <c r="G124" s="6"/>
      <c r="H124" s="6"/>
      <c r="I124" s="6"/>
      <c r="J124" s="6"/>
      <c r="K124" s="54" t="s">
        <v>116</v>
      </c>
      <c r="L124" s="55"/>
    </row>
    <row r="125" spans="1:12" x14ac:dyDescent="0.15">
      <c r="A125" s="29"/>
      <c r="B125" s="30"/>
      <c r="C125" s="30"/>
      <c r="D125" s="30"/>
      <c r="E125" s="211" t="str">
        <f>CONCATENATE("  L₁ = ", B21, " m")</f>
        <v xml:space="preserve">  L₁ = 1.2 m</v>
      </c>
      <c r="F125" s="211"/>
      <c r="G125" s="6"/>
      <c r="H125" s="6"/>
      <c r="I125" s="6"/>
      <c r="J125" s="6"/>
      <c r="K125" s="54"/>
      <c r="L125" s="55"/>
    </row>
    <row r="126" spans="1:12" x14ac:dyDescent="0.15">
      <c r="A126" s="29"/>
      <c r="B126" s="30"/>
      <c r="C126" s="30"/>
      <c r="D126" s="30"/>
      <c r="E126" s="30"/>
      <c r="F126" s="30"/>
      <c r="G126" s="6"/>
      <c r="H126" s="6"/>
      <c r="I126" s="6"/>
      <c r="J126" s="6"/>
      <c r="K126" s="6"/>
      <c r="L126" s="13"/>
    </row>
    <row r="127" spans="1:12" x14ac:dyDescent="0.15">
      <c r="A127" s="14"/>
      <c r="B127" s="6"/>
      <c r="C127" s="6"/>
      <c r="D127" s="6"/>
      <c r="E127" s="6"/>
      <c r="F127" s="6"/>
      <c r="G127" s="30"/>
      <c r="H127" s="211" t="str">
        <f>CONCATENATE("     riser = ", I21*1000, " mm")</f>
        <v xml:space="preserve">     riser = 150 mm</v>
      </c>
      <c r="I127" s="211"/>
      <c r="J127" s="6"/>
      <c r="K127" s="6"/>
      <c r="L127" s="13"/>
    </row>
    <row r="128" spans="1:12" x14ac:dyDescent="0.15">
      <c r="A128" s="14"/>
      <c r="B128" s="6"/>
      <c r="C128" s="6"/>
      <c r="D128" s="6"/>
      <c r="E128" s="6"/>
      <c r="F128" s="6"/>
      <c r="G128" s="30"/>
      <c r="H128" s="236"/>
      <c r="I128" s="236"/>
      <c r="J128" s="6"/>
      <c r="K128" s="6"/>
      <c r="L128" s="13"/>
    </row>
    <row r="129" spans="1:12" x14ac:dyDescent="0.15">
      <c r="A129" s="14"/>
      <c r="B129" s="6"/>
      <c r="C129" s="6"/>
      <c r="D129" s="6"/>
      <c r="E129" s="6"/>
      <c r="F129" s="6"/>
      <c r="G129" s="237"/>
      <c r="H129" s="237"/>
      <c r="I129" s="30"/>
      <c r="J129" s="6"/>
      <c r="K129" s="6"/>
      <c r="L129" s="13"/>
    </row>
    <row r="130" spans="1:12" x14ac:dyDescent="0.15">
      <c r="A130" s="14"/>
      <c r="B130" s="6"/>
      <c r="C130" s="6"/>
      <c r="D130" s="6"/>
      <c r="E130" s="211" t="str">
        <f>CONCATENATE("L₂ = ", B22, " m")</f>
        <v>L₂ = 3 m</v>
      </c>
      <c r="F130" s="211"/>
      <c r="G130" s="27" t="str">
        <f>CONCATENATE("tread = ", I20*1000, " mm")</f>
        <v>tread = 260 mm</v>
      </c>
      <c r="H130" s="6"/>
      <c r="I130" s="6"/>
      <c r="J130" s="6"/>
      <c r="K130" s="6"/>
      <c r="L130" s="13"/>
    </row>
    <row r="131" spans="1:12" x14ac:dyDescent="0.1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13"/>
    </row>
    <row r="132" spans="1:12" x14ac:dyDescent="0.15">
      <c r="A132" s="14"/>
      <c r="B132" s="6"/>
      <c r="C132" s="6"/>
      <c r="D132" s="6"/>
      <c r="E132" s="6"/>
      <c r="F132" s="6"/>
      <c r="G132" s="6"/>
      <c r="H132" s="6"/>
      <c r="I132" s="6"/>
      <c r="J132" s="57" t="str">
        <f>CONCATENATE(I15, " mm temperature")</f>
        <v>10 mm temperature</v>
      </c>
      <c r="K132" s="57"/>
      <c r="L132" s="13"/>
    </row>
    <row r="133" spans="1:12" x14ac:dyDescent="0.15">
      <c r="A133" s="14"/>
      <c r="B133" s="6"/>
      <c r="C133" s="6"/>
      <c r="D133" s="6"/>
      <c r="E133" s="6"/>
      <c r="F133" s="6"/>
      <c r="G133" s="6"/>
      <c r="H133" s="6"/>
      <c r="I133" s="6"/>
      <c r="J133" s="57" t="s">
        <v>118</v>
      </c>
      <c r="K133" s="57"/>
      <c r="L133" s="13"/>
    </row>
    <row r="134" spans="1:12" x14ac:dyDescent="0.15">
      <c r="A134" s="14"/>
      <c r="B134" s="6"/>
      <c r="C134" s="6"/>
      <c r="D134" s="6"/>
      <c r="E134" s="6"/>
      <c r="F134" s="6"/>
      <c r="G134" s="6"/>
      <c r="H134" s="6"/>
      <c r="I134" s="6"/>
      <c r="J134" s="57" t="str">
        <f>CONCATENATE(C104, " mm O.C.")</f>
        <v>430 mm O.C.</v>
      </c>
      <c r="K134" s="57"/>
      <c r="L134" s="13"/>
    </row>
    <row r="135" spans="1:12" x14ac:dyDescent="0.1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58" t="s">
        <v>117</v>
      </c>
    </row>
    <row r="136" spans="1:12" x14ac:dyDescent="0.15">
      <c r="A136" s="14"/>
      <c r="B136" s="6"/>
      <c r="C136" s="6"/>
      <c r="D136" s="6"/>
      <c r="E136" s="6"/>
      <c r="F136" s="6"/>
      <c r="G136" s="6"/>
      <c r="H136" s="6"/>
      <c r="I136" s="57" t="str">
        <f>CONCATENATE(B15," mm main bars")</f>
        <v>16 mm main bars</v>
      </c>
      <c r="J136" s="6"/>
      <c r="K136" s="6"/>
      <c r="L136" s="13"/>
    </row>
    <row r="137" spans="1:12" x14ac:dyDescent="0.15">
      <c r="A137" s="14"/>
      <c r="B137" s="6"/>
      <c r="C137" s="6"/>
      <c r="D137" s="6"/>
      <c r="E137" s="6"/>
      <c r="F137" s="6"/>
      <c r="G137" s="6"/>
      <c r="H137" s="6"/>
      <c r="I137" s="57" t="s">
        <v>119</v>
      </c>
      <c r="J137" s="6"/>
      <c r="K137" s="6"/>
      <c r="L137" s="13"/>
    </row>
    <row r="138" spans="1:12" x14ac:dyDescent="0.15">
      <c r="A138" s="14"/>
      <c r="B138" s="6"/>
      <c r="C138" s="6"/>
      <c r="D138" s="6"/>
      <c r="E138" s="6"/>
      <c r="F138" s="6"/>
      <c r="G138" s="6"/>
      <c r="H138" s="6"/>
      <c r="I138" s="57" t="str">
        <f>CONCATENATE(I104, " mm O.C.")</f>
        <v>320 mm O.C.</v>
      </c>
      <c r="J138" s="6"/>
      <c r="K138" s="6"/>
      <c r="L138" s="13"/>
    </row>
    <row r="139" spans="1:12" x14ac:dyDescent="0.1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13"/>
    </row>
    <row r="140" spans="1:12" x14ac:dyDescent="0.15">
      <c r="A140" s="29"/>
      <c r="B140" s="30"/>
      <c r="C140" s="30"/>
      <c r="D140" s="30"/>
      <c r="E140" s="30"/>
      <c r="F140" s="30"/>
      <c r="G140" s="6"/>
      <c r="H140" s="6"/>
      <c r="I140" s="6"/>
      <c r="J140" s="6"/>
      <c r="K140" s="6"/>
      <c r="L140" s="13"/>
    </row>
    <row r="141" spans="1:12" x14ac:dyDescent="0.1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13"/>
    </row>
    <row r="142" spans="1:12" x14ac:dyDescent="0.1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13"/>
    </row>
    <row r="143" spans="1:12" x14ac:dyDescent="0.15">
      <c r="A143" s="14"/>
      <c r="B143" s="6"/>
      <c r="C143" s="6"/>
      <c r="D143" s="6"/>
      <c r="E143" s="6"/>
      <c r="F143" s="6"/>
      <c r="G143" s="6"/>
      <c r="H143" s="34"/>
      <c r="I143" s="6"/>
      <c r="J143" s="6"/>
      <c r="K143" s="6"/>
      <c r="L143" s="13"/>
    </row>
    <row r="144" spans="1:12" ht="16" customHeight="1" x14ac:dyDescent="0.15">
      <c r="A144" s="14"/>
      <c r="B144" s="6"/>
      <c r="C144" s="6"/>
      <c r="D144" s="6"/>
      <c r="E144" s="6"/>
      <c r="F144" s="6"/>
      <c r="G144" s="211"/>
      <c r="H144" s="211"/>
      <c r="I144" s="211"/>
      <c r="J144" s="6"/>
      <c r="K144" s="6"/>
      <c r="L144" s="13"/>
    </row>
    <row r="145" spans="1:12" x14ac:dyDescent="0.15">
      <c r="A145" s="14"/>
      <c r="B145" s="6"/>
      <c r="C145" s="6"/>
      <c r="D145" s="6"/>
      <c r="E145" s="6"/>
      <c r="F145" s="6"/>
      <c r="G145" s="211" t="str">
        <f>CONCATENATE("L₂ =  ", B22, " m   ")</f>
        <v xml:space="preserve">L₂ =  3 m   </v>
      </c>
      <c r="H145" s="211"/>
      <c r="I145" s="211"/>
      <c r="J145" s="6"/>
      <c r="K145" s="6" t="str">
        <f>CONCATENATE("L₁ =  ", B21, " m   ")</f>
        <v xml:space="preserve">L₁ =  1.2 m   </v>
      </c>
      <c r="L145" s="13"/>
    </row>
    <row r="146" spans="1:12" ht="12" thickBot="1" x14ac:dyDescent="0.2">
      <c r="A146" s="16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9"/>
    </row>
    <row r="153" spans="1:12" x14ac:dyDescent="0.15">
      <c r="I153" s="9"/>
      <c r="J153" s="232"/>
      <c r="K153" s="232"/>
    </row>
    <row r="154" spans="1:12" x14ac:dyDescent="0.15">
      <c r="I154" s="9"/>
      <c r="J154" s="238"/>
      <c r="K154" s="238"/>
    </row>
    <row r="155" spans="1:12" x14ac:dyDescent="0.15">
      <c r="I155" s="232"/>
      <c r="J155" s="232"/>
      <c r="K155" s="9"/>
    </row>
  </sheetData>
  <mergeCells count="30">
    <mergeCell ref="A1:L1"/>
    <mergeCell ref="A9:L9"/>
    <mergeCell ref="A18:L18"/>
    <mergeCell ref="A111:F111"/>
    <mergeCell ref="H111:L111"/>
    <mergeCell ref="A55:L55"/>
    <mergeCell ref="A71:L71"/>
    <mergeCell ref="A92:L92"/>
    <mergeCell ref="H30:I31"/>
    <mergeCell ref="I89:K89"/>
    <mergeCell ref="A114:L114"/>
    <mergeCell ref="B27:D27"/>
    <mergeCell ref="E36:F36"/>
    <mergeCell ref="E31:F31"/>
    <mergeCell ref="I40:J41"/>
    <mergeCell ref="I28:J29"/>
    <mergeCell ref="L29:L36"/>
    <mergeCell ref="B116:D116"/>
    <mergeCell ref="H116:K116"/>
    <mergeCell ref="G144:I144"/>
    <mergeCell ref="G145:I145"/>
    <mergeCell ref="I155:J155"/>
    <mergeCell ref="H127:I127"/>
    <mergeCell ref="H128:I128"/>
    <mergeCell ref="G129:H129"/>
    <mergeCell ref="B121:D121"/>
    <mergeCell ref="E125:F125"/>
    <mergeCell ref="E130:F130"/>
    <mergeCell ref="J153:K153"/>
    <mergeCell ref="J154:K154"/>
  </mergeCells>
  <printOptions horizontalCentered="1"/>
  <pageMargins left="0.25" right="0.25" top="0.25" bottom="0.25" header="0.05" footer="0.05"/>
  <pageSetup paperSize="9" scale="91" fitToHeight="2" orientation="portrait" horizontalDpi="0" verticalDpi="0"/>
  <rowBreaks count="1" manualBreakCount="1">
    <brk id="70" max="1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D420-C883-3647-A09D-3FFAEFF58504}">
  <sheetPr codeName="Sheet9">
    <tabColor theme="5"/>
    <pageSetUpPr fitToPage="1"/>
  </sheetPr>
  <dimension ref="A1:Y185"/>
  <sheetViews>
    <sheetView showGridLines="0" view="pageLayout" zoomScale="158" zoomScaleNormal="130" zoomScaleSheetLayoutView="160" zoomScalePageLayoutView="158" workbookViewId="0">
      <selection activeCell="M100" sqref="M100"/>
    </sheetView>
  </sheetViews>
  <sheetFormatPr baseColWidth="10" defaultColWidth="10.6640625" defaultRowHeight="11" x14ac:dyDescent="0.2"/>
  <cols>
    <col min="1" max="6" width="7.1640625" style="86" customWidth="1"/>
    <col min="7" max="7" width="6.83203125" style="86" customWidth="1"/>
    <col min="8" max="8" width="6.33203125" style="86" customWidth="1"/>
    <col min="9" max="9" width="7.1640625" style="86" customWidth="1"/>
    <col min="10" max="10" width="6.6640625" style="86" customWidth="1"/>
    <col min="11" max="11" width="7.1640625" style="86" customWidth="1"/>
    <col min="12" max="12" width="21.1640625" style="86" customWidth="1"/>
    <col min="13" max="13" width="10.6640625" style="86" customWidth="1"/>
    <col min="14" max="16384" width="10.6640625" style="86"/>
  </cols>
  <sheetData>
    <row r="1" spans="1:14" ht="18" customHeight="1" x14ac:dyDescent="0.2">
      <c r="A1" s="239" t="str">
        <f>CONCATENATE("BEAM DESIGN (", N1, ")")</f>
        <v>BEAM DESIGN (12101)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1"/>
      <c r="M1" s="86" t="s">
        <v>167</v>
      </c>
      <c r="N1" s="132">
        <v>12101</v>
      </c>
    </row>
    <row r="2" spans="1:14" ht="12.75" customHeight="1" x14ac:dyDescent="0.2">
      <c r="A2" s="76"/>
      <c r="B2" s="198"/>
      <c r="C2" s="198"/>
      <c r="D2" s="198"/>
      <c r="E2" s="198"/>
      <c r="F2" s="198"/>
      <c r="G2" s="198"/>
      <c r="H2" s="198"/>
      <c r="I2" s="54"/>
      <c r="J2" s="54"/>
      <c r="K2" s="54"/>
      <c r="L2" s="55"/>
      <c r="M2" s="86" t="s">
        <v>185</v>
      </c>
      <c r="N2" s="86">
        <v>16.45</v>
      </c>
    </row>
    <row r="3" spans="1:14" ht="12.75" customHeight="1" x14ac:dyDescent="0.2">
      <c r="A3" s="120"/>
      <c r="B3" s="197" t="s">
        <v>112</v>
      </c>
      <c r="C3" s="54" t="s">
        <v>110</v>
      </c>
      <c r="D3" s="54"/>
      <c r="E3" s="54"/>
      <c r="F3" s="54"/>
      <c r="G3" s="54"/>
      <c r="H3" s="54"/>
      <c r="I3" s="197" t="s">
        <v>1</v>
      </c>
      <c r="J3" s="54" t="s">
        <v>97</v>
      </c>
      <c r="K3" s="54"/>
      <c r="L3" s="55"/>
      <c r="M3" s="86" t="s">
        <v>186</v>
      </c>
      <c r="N3" s="86">
        <v>29.01</v>
      </c>
    </row>
    <row r="4" spans="1:14" ht="12.75" customHeight="1" x14ac:dyDescent="0.2">
      <c r="A4" s="120"/>
      <c r="B4" s="197" t="s">
        <v>113</v>
      </c>
      <c r="C4" s="54" t="s">
        <v>111</v>
      </c>
      <c r="D4" s="54"/>
      <c r="E4" s="54"/>
      <c r="F4" s="54"/>
      <c r="G4" s="54"/>
      <c r="H4" s="54"/>
      <c r="I4" s="197" t="s">
        <v>2</v>
      </c>
      <c r="J4" s="54" t="s">
        <v>98</v>
      </c>
      <c r="K4" s="54"/>
      <c r="L4" s="55"/>
      <c r="M4" s="86" t="s">
        <v>188</v>
      </c>
      <c r="N4" s="86">
        <v>250</v>
      </c>
    </row>
    <row r="5" spans="1:14" ht="12.75" customHeight="1" x14ac:dyDescent="0.2">
      <c r="A5" s="120"/>
      <c r="B5" s="197" t="s">
        <v>3</v>
      </c>
      <c r="C5" s="54" t="s">
        <v>99</v>
      </c>
      <c r="D5" s="54"/>
      <c r="E5" s="54"/>
      <c r="F5" s="54"/>
      <c r="G5" s="54"/>
      <c r="H5" s="54"/>
      <c r="I5" s="197" t="s">
        <v>114</v>
      </c>
      <c r="J5" s="54" t="s">
        <v>168</v>
      </c>
      <c r="K5" s="54"/>
      <c r="L5" s="55"/>
      <c r="M5" s="86" t="s">
        <v>187</v>
      </c>
      <c r="N5" s="86">
        <v>350</v>
      </c>
    </row>
    <row r="6" spans="1:14" ht="12.75" customHeight="1" x14ac:dyDescent="0.2">
      <c r="A6" s="120"/>
      <c r="B6" s="197" t="s">
        <v>4</v>
      </c>
      <c r="C6" s="54" t="s">
        <v>100</v>
      </c>
      <c r="D6" s="54"/>
      <c r="E6" s="54"/>
      <c r="F6" s="54"/>
      <c r="G6" s="54"/>
      <c r="H6" s="54"/>
      <c r="I6" s="197" t="s">
        <v>169</v>
      </c>
      <c r="J6" s="195">
        <f>N1</f>
        <v>12101</v>
      </c>
      <c r="K6" s="54"/>
      <c r="L6" s="55"/>
    </row>
    <row r="7" spans="1:14" ht="12.75" customHeight="1" thickBot="1" x14ac:dyDescent="0.25">
      <c r="A7" s="126"/>
      <c r="B7" s="128"/>
      <c r="C7" s="127"/>
      <c r="D7" s="127"/>
      <c r="E7" s="127"/>
      <c r="F7" s="127"/>
      <c r="G7" s="127"/>
      <c r="H7" s="127"/>
      <c r="I7" s="128"/>
      <c r="J7" s="127"/>
      <c r="K7" s="127"/>
      <c r="L7" s="133"/>
    </row>
    <row r="8" spans="1:14" ht="12.75" customHeight="1" thickBot="1" x14ac:dyDescent="0.25"/>
    <row r="9" spans="1:14" ht="18" customHeight="1" x14ac:dyDescent="0.2">
      <c r="A9" s="239" t="s">
        <v>48</v>
      </c>
      <c r="B9" s="240"/>
      <c r="C9" s="240"/>
      <c r="D9" s="240"/>
      <c r="E9" s="240"/>
      <c r="F9" s="240"/>
      <c r="G9" s="240"/>
      <c r="H9" s="240"/>
      <c r="I9" s="240"/>
      <c r="J9" s="240"/>
      <c r="K9" s="240"/>
      <c r="L9" s="241"/>
    </row>
    <row r="10" spans="1:14" ht="12.75" customHeight="1" x14ac:dyDescent="0.2">
      <c r="A10" s="76"/>
      <c r="B10" s="198"/>
      <c r="C10" s="198"/>
      <c r="D10" s="198"/>
      <c r="E10" s="198"/>
      <c r="F10" s="198"/>
      <c r="G10" s="198"/>
      <c r="H10" s="198"/>
      <c r="I10" s="54"/>
      <c r="J10" s="54"/>
      <c r="K10" s="54"/>
      <c r="L10" s="55"/>
    </row>
    <row r="11" spans="1:14" ht="12.75" customHeight="1" x14ac:dyDescent="0.2">
      <c r="A11" s="28" t="s">
        <v>16</v>
      </c>
      <c r="B11" s="134">
        <v>20.7</v>
      </c>
      <c r="C11" s="54" t="s">
        <v>5</v>
      </c>
      <c r="D11" s="54" t="s">
        <v>6</v>
      </c>
      <c r="E11" s="54"/>
      <c r="F11" s="54"/>
      <c r="G11" s="54"/>
      <c r="H11" s="194" t="s">
        <v>181</v>
      </c>
      <c r="I11" s="135">
        <f>N2</f>
        <v>16.45</v>
      </c>
      <c r="J11" s="54" t="s">
        <v>59</v>
      </c>
      <c r="K11" s="54" t="s">
        <v>191</v>
      </c>
      <c r="L11" s="55"/>
    </row>
    <row r="12" spans="1:14" ht="12.75" customHeight="1" x14ac:dyDescent="0.2">
      <c r="A12" s="28" t="s">
        <v>17</v>
      </c>
      <c r="B12" s="134">
        <v>276</v>
      </c>
      <c r="C12" s="54" t="s">
        <v>5</v>
      </c>
      <c r="D12" s="54" t="s">
        <v>7</v>
      </c>
      <c r="E12" s="54"/>
      <c r="F12" s="54"/>
      <c r="G12" s="54"/>
      <c r="H12" s="194" t="s">
        <v>183</v>
      </c>
      <c r="I12" s="148">
        <f>N3</f>
        <v>29.01</v>
      </c>
      <c r="J12" s="54" t="s">
        <v>59</v>
      </c>
      <c r="K12" s="54" t="s">
        <v>190</v>
      </c>
      <c r="L12" s="55"/>
    </row>
    <row r="13" spans="1:14" ht="12.75" customHeight="1" x14ac:dyDescent="0.2">
      <c r="A13" s="28" t="s">
        <v>70</v>
      </c>
      <c r="B13" s="134" t="str">
        <f>IF(B11&lt;29,"0.85",0.85-((0.05/7)*(B11-28)))</f>
        <v>0.85</v>
      </c>
      <c r="C13" s="54"/>
      <c r="D13" s="54" t="s">
        <v>9</v>
      </c>
      <c r="E13" s="54"/>
      <c r="F13" s="54"/>
      <c r="G13" s="54"/>
      <c r="H13" s="54"/>
      <c r="I13" s="54"/>
      <c r="J13" s="54"/>
      <c r="K13" s="54"/>
      <c r="L13" s="55"/>
    </row>
    <row r="14" spans="1:14" ht="12.75" customHeight="1" thickBot="1" x14ac:dyDescent="0.25">
      <c r="A14" s="136"/>
      <c r="B14" s="137"/>
      <c r="C14" s="127"/>
      <c r="D14" s="127"/>
      <c r="E14" s="127"/>
      <c r="F14" s="127"/>
      <c r="G14" s="127"/>
      <c r="H14" s="127"/>
      <c r="I14" s="127"/>
      <c r="J14" s="127"/>
      <c r="K14" s="127"/>
      <c r="L14" s="133"/>
    </row>
    <row r="15" spans="1:14" ht="12.75" customHeight="1" thickBot="1" x14ac:dyDescent="0.25"/>
    <row r="16" spans="1:14" ht="18" customHeight="1" x14ac:dyDescent="0.2">
      <c r="A16" s="239" t="s">
        <v>189</v>
      </c>
      <c r="B16" s="240"/>
      <c r="C16" s="240"/>
      <c r="D16" s="240"/>
      <c r="E16" s="240"/>
      <c r="F16" s="240"/>
      <c r="G16" s="240"/>
      <c r="H16" s="240"/>
      <c r="I16" s="240"/>
      <c r="J16" s="240"/>
      <c r="K16" s="240"/>
      <c r="L16" s="241"/>
    </row>
    <row r="17" spans="1:13" ht="12.75" customHeight="1" x14ac:dyDescent="0.2">
      <c r="A17" s="28"/>
      <c r="B17" s="116"/>
      <c r="C17" s="54"/>
      <c r="D17" s="54"/>
      <c r="E17" s="54"/>
      <c r="F17" s="54"/>
      <c r="G17" s="54"/>
      <c r="H17" s="54"/>
      <c r="I17" s="54"/>
      <c r="J17" s="54"/>
      <c r="K17" s="54"/>
      <c r="L17" s="55"/>
    </row>
    <row r="18" spans="1:13" ht="12.75" customHeight="1" x14ac:dyDescent="0.2">
      <c r="A18" s="28"/>
      <c r="B18" s="116"/>
      <c r="C18" s="54"/>
      <c r="D18" s="54"/>
      <c r="E18" s="54"/>
      <c r="F18" s="54"/>
      <c r="G18" s="54"/>
      <c r="H18" s="117" t="s">
        <v>309</v>
      </c>
      <c r="I18" s="54"/>
      <c r="J18" s="54"/>
      <c r="K18" s="54"/>
      <c r="L18" s="55"/>
    </row>
    <row r="19" spans="1:13" ht="12.75" customHeight="1" x14ac:dyDescent="0.2">
      <c r="A19" s="28"/>
      <c r="B19" s="116"/>
      <c r="C19" s="54"/>
      <c r="D19" s="54"/>
      <c r="E19" s="54"/>
      <c r="F19" s="54"/>
      <c r="G19" s="54"/>
      <c r="H19" s="54"/>
      <c r="I19" s="54"/>
      <c r="J19" s="54"/>
      <c r="K19" s="54"/>
      <c r="L19" s="55"/>
    </row>
    <row r="20" spans="1:13" ht="12.75" customHeight="1" x14ac:dyDescent="0.2">
      <c r="A20" s="28"/>
      <c r="B20" s="116"/>
      <c r="C20" s="54"/>
      <c r="D20" s="54"/>
      <c r="E20" s="54"/>
      <c r="F20" s="54"/>
      <c r="G20" s="54"/>
      <c r="H20" s="194" t="s">
        <v>71</v>
      </c>
      <c r="I20" s="134">
        <f>N4</f>
        <v>250</v>
      </c>
      <c r="J20" s="54" t="s">
        <v>29</v>
      </c>
      <c r="K20" s="54" t="s">
        <v>192</v>
      </c>
      <c r="L20" s="55"/>
    </row>
    <row r="21" spans="1:13" ht="12.75" customHeight="1" x14ac:dyDescent="0.2">
      <c r="A21" s="28"/>
      <c r="B21" s="196"/>
      <c r="C21" s="54"/>
      <c r="D21" s="54"/>
      <c r="E21" s="54"/>
      <c r="F21" s="54"/>
      <c r="G21" s="54"/>
      <c r="H21" s="194" t="s">
        <v>184</v>
      </c>
      <c r="I21" s="134">
        <v>350</v>
      </c>
      <c r="J21" s="54" t="s">
        <v>29</v>
      </c>
      <c r="K21" s="54" t="s">
        <v>196</v>
      </c>
      <c r="L21" s="55"/>
    </row>
    <row r="22" spans="1:13" ht="12.75" customHeight="1" x14ac:dyDescent="0.2">
      <c r="A22" s="28"/>
      <c r="B22" s="196"/>
      <c r="C22" s="54"/>
      <c r="D22" s="54"/>
      <c r="E22" s="54"/>
      <c r="F22" s="54"/>
      <c r="G22" s="54"/>
      <c r="H22" s="194" t="s">
        <v>51</v>
      </c>
      <c r="I22" s="134">
        <v>40</v>
      </c>
      <c r="J22" s="54" t="s">
        <v>29</v>
      </c>
      <c r="K22" s="54" t="s">
        <v>30</v>
      </c>
      <c r="L22" s="55"/>
    </row>
    <row r="23" spans="1:13" ht="12.75" customHeight="1" x14ac:dyDescent="0.2">
      <c r="A23" s="28"/>
      <c r="B23" s="196"/>
      <c r="C23" s="54"/>
      <c r="D23" s="54"/>
      <c r="E23" s="54"/>
      <c r="F23" s="54"/>
      <c r="G23" s="54"/>
      <c r="H23" s="194" t="s">
        <v>182</v>
      </c>
      <c r="I23" s="134">
        <v>16</v>
      </c>
      <c r="J23" s="54" t="s">
        <v>29</v>
      </c>
      <c r="K23" s="54" t="s">
        <v>80</v>
      </c>
      <c r="L23" s="55"/>
    </row>
    <row r="24" spans="1:13" ht="12.75" customHeight="1" x14ac:dyDescent="0.2">
      <c r="A24" s="28"/>
      <c r="B24" s="196"/>
      <c r="C24" s="54"/>
      <c r="D24" s="54"/>
      <c r="E24" s="54"/>
      <c r="F24" s="54"/>
      <c r="G24" s="54"/>
      <c r="H24" s="194" t="s">
        <v>193</v>
      </c>
      <c r="I24" s="134">
        <v>10</v>
      </c>
      <c r="J24" s="54" t="s">
        <v>29</v>
      </c>
      <c r="K24" s="54" t="s">
        <v>194</v>
      </c>
      <c r="L24" s="55"/>
      <c r="M24" s="54"/>
    </row>
    <row r="25" spans="1:13" ht="12.75" customHeight="1" x14ac:dyDescent="0.2">
      <c r="A25" s="28"/>
      <c r="B25" s="196"/>
      <c r="C25" s="54"/>
      <c r="D25" s="54"/>
      <c r="E25" s="54"/>
      <c r="F25" s="54"/>
      <c r="G25" s="54"/>
      <c r="H25" s="194"/>
      <c r="I25" s="196"/>
      <c r="J25" s="54"/>
      <c r="K25" s="54"/>
      <c r="L25" s="55"/>
      <c r="M25" s="54"/>
    </row>
    <row r="26" spans="1:13" ht="12.75" customHeight="1" x14ac:dyDescent="0.2">
      <c r="A26" s="28"/>
      <c r="B26" s="196"/>
      <c r="C26" s="54"/>
      <c r="D26" s="54"/>
      <c r="E26" s="54"/>
      <c r="F26" s="54"/>
      <c r="G26" s="54"/>
      <c r="H26" s="116" t="s">
        <v>199</v>
      </c>
      <c r="I26" s="196"/>
      <c r="J26" s="54"/>
      <c r="K26" s="54"/>
      <c r="L26" s="55"/>
      <c r="M26" s="54"/>
    </row>
    <row r="27" spans="1:13" ht="12.75" customHeight="1" x14ac:dyDescent="0.2">
      <c r="A27" s="28"/>
      <c r="B27" s="196"/>
      <c r="C27" s="54"/>
      <c r="D27" s="54"/>
      <c r="E27" s="54"/>
      <c r="F27" s="54"/>
      <c r="G27" s="54"/>
      <c r="H27" s="194"/>
      <c r="I27" s="196"/>
      <c r="J27" s="54"/>
      <c r="K27" s="54"/>
      <c r="L27" s="55"/>
      <c r="M27" s="54"/>
    </row>
    <row r="28" spans="1:13" ht="12.75" customHeight="1" x14ac:dyDescent="0.2">
      <c r="A28" s="28"/>
      <c r="B28" s="196"/>
      <c r="C28" s="54"/>
      <c r="D28" s="54"/>
      <c r="E28" s="54"/>
      <c r="F28" s="54"/>
      <c r="G28" s="54"/>
      <c r="H28" s="194" t="s">
        <v>50</v>
      </c>
      <c r="I28" s="54" t="s">
        <v>195</v>
      </c>
      <c r="J28" s="54"/>
      <c r="K28" s="54"/>
      <c r="L28" s="55"/>
    </row>
    <row r="29" spans="1:13" ht="12.75" customHeight="1" x14ac:dyDescent="0.2">
      <c r="A29" s="147"/>
      <c r="B29" s="117"/>
      <c r="C29" s="117"/>
      <c r="D29" s="117"/>
      <c r="E29" s="117"/>
      <c r="F29" s="117"/>
      <c r="G29" s="117"/>
      <c r="H29" s="197" t="s">
        <v>50</v>
      </c>
      <c r="I29" s="198">
        <f>I21-I22-I24-(I23/2)</f>
        <v>292</v>
      </c>
      <c r="J29" s="117" t="s">
        <v>29</v>
      </c>
      <c r="K29" s="54"/>
      <c r="L29" s="121"/>
    </row>
    <row r="30" spans="1:13" ht="12.75" customHeight="1" thickBot="1" x14ac:dyDescent="0.25">
      <c r="A30" s="126"/>
      <c r="B30" s="127"/>
      <c r="C30" s="127"/>
      <c r="D30" s="127"/>
      <c r="E30" s="127"/>
      <c r="F30" s="127"/>
      <c r="G30" s="127"/>
      <c r="H30" s="128"/>
      <c r="I30" s="61"/>
      <c r="J30" s="125"/>
      <c r="K30" s="127"/>
      <c r="L30" s="133"/>
    </row>
    <row r="31" spans="1:13" ht="12.75" customHeight="1" thickBot="1" x14ac:dyDescent="0.25">
      <c r="H31" s="139"/>
      <c r="I31" s="140"/>
      <c r="J31" s="140"/>
    </row>
    <row r="32" spans="1:13" ht="18" customHeight="1" x14ac:dyDescent="0.2">
      <c r="A32" s="239" t="s">
        <v>200</v>
      </c>
      <c r="B32" s="240"/>
      <c r="C32" s="240"/>
      <c r="D32" s="240"/>
      <c r="E32" s="240"/>
      <c r="F32" s="240"/>
      <c r="G32" s="240"/>
      <c r="H32" s="240"/>
      <c r="I32" s="240"/>
      <c r="J32" s="240"/>
      <c r="K32" s="240"/>
      <c r="L32" s="241"/>
    </row>
    <row r="33" spans="1:25" ht="12.75" customHeight="1" x14ac:dyDescent="0.2">
      <c r="A33" s="120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5"/>
    </row>
    <row r="34" spans="1:25" ht="12.75" customHeight="1" x14ac:dyDescent="0.2">
      <c r="A34" s="120"/>
      <c r="B34" s="117" t="s">
        <v>198</v>
      </c>
      <c r="C34" s="54"/>
      <c r="D34" s="54"/>
      <c r="E34" s="54"/>
      <c r="F34" s="117" t="s">
        <v>197</v>
      </c>
      <c r="G34" s="54"/>
      <c r="H34" s="54"/>
      <c r="I34" s="54"/>
      <c r="J34" s="117" t="s">
        <v>62</v>
      </c>
      <c r="K34" s="54"/>
      <c r="L34" s="55"/>
      <c r="M34" s="54"/>
    </row>
    <row r="35" spans="1:25" ht="12.75" customHeight="1" x14ac:dyDescent="0.2">
      <c r="A35" s="120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5"/>
      <c r="M35" s="54"/>
    </row>
    <row r="36" spans="1:25" ht="12.75" customHeight="1" x14ac:dyDescent="0.2">
      <c r="A36" s="120"/>
      <c r="B36" s="194" t="s">
        <v>181</v>
      </c>
      <c r="C36" s="134">
        <f>I11</f>
        <v>16.45</v>
      </c>
      <c r="D36" s="54" t="s">
        <v>59</v>
      </c>
      <c r="E36" s="54"/>
      <c r="F36" s="194" t="s">
        <v>57</v>
      </c>
      <c r="G36" s="54" t="s">
        <v>137</v>
      </c>
      <c r="H36" s="54"/>
      <c r="I36" s="117"/>
      <c r="J36" s="194" t="s">
        <v>101</v>
      </c>
      <c r="K36" s="54" t="s">
        <v>65</v>
      </c>
      <c r="L36" s="55"/>
      <c r="M36" s="54"/>
    </row>
    <row r="37" spans="1:25" ht="12.75" customHeight="1" x14ac:dyDescent="0.2">
      <c r="A37" s="120"/>
      <c r="B37" s="54"/>
      <c r="C37" s="54"/>
      <c r="D37" s="54"/>
      <c r="E37" s="245" t="s">
        <v>138</v>
      </c>
      <c r="F37" s="245"/>
      <c r="G37" s="198">
        <f>(C36*10^6)/(0.9*I20*I29*I29)</f>
        <v>0.85746752569796292</v>
      </c>
      <c r="H37" s="54"/>
      <c r="I37" s="54"/>
      <c r="J37" s="197" t="s">
        <v>102</v>
      </c>
      <c r="K37" s="199">
        <f>1.4/B12</f>
        <v>5.0724637681159417E-3</v>
      </c>
      <c r="L37" s="121"/>
      <c r="M37" s="54"/>
    </row>
    <row r="38" spans="1:25" ht="12.75" customHeight="1" x14ac:dyDescent="0.2">
      <c r="A38" s="120"/>
      <c r="B38" s="54"/>
      <c r="C38" s="54"/>
      <c r="D38" s="54"/>
      <c r="E38" s="54"/>
      <c r="F38" s="54"/>
      <c r="G38" s="54"/>
      <c r="H38" s="54"/>
      <c r="I38" s="54"/>
      <c r="J38" s="197"/>
      <c r="K38" s="143"/>
      <c r="L38" s="121"/>
      <c r="M38" s="54"/>
    </row>
    <row r="39" spans="1:25" ht="12.75" customHeight="1" x14ac:dyDescent="0.2">
      <c r="A39" s="120"/>
      <c r="B39" s="54"/>
      <c r="C39" s="54"/>
      <c r="D39" s="54"/>
      <c r="E39" s="54"/>
      <c r="F39" s="54"/>
      <c r="G39" s="54"/>
      <c r="H39" s="54"/>
      <c r="I39" s="54"/>
      <c r="J39" s="194" t="s">
        <v>101</v>
      </c>
      <c r="K39" s="54" t="s">
        <v>66</v>
      </c>
      <c r="L39" s="55"/>
      <c r="M39" s="54"/>
    </row>
    <row r="40" spans="1:25" ht="12.75" customHeight="1" x14ac:dyDescent="0.2">
      <c r="A40" s="120"/>
      <c r="B40" s="54"/>
      <c r="C40" s="54"/>
      <c r="D40" s="54"/>
      <c r="E40" s="54"/>
      <c r="F40" s="54"/>
      <c r="G40" s="54"/>
      <c r="H40" s="54"/>
      <c r="I40" s="54"/>
      <c r="J40" s="197" t="s">
        <v>102</v>
      </c>
      <c r="K40" s="199">
        <f>SQRT(B11)/(4*B12)</f>
        <v>4.1211279587236686E-3</v>
      </c>
      <c r="L40" s="121"/>
      <c r="M40" s="54"/>
    </row>
    <row r="41" spans="1:25" ht="12.75" customHeight="1" x14ac:dyDescent="0.2">
      <c r="A41" s="120"/>
      <c r="B41" s="54"/>
      <c r="C41" s="54"/>
      <c r="D41" s="54"/>
      <c r="E41" s="54"/>
      <c r="F41" s="54"/>
      <c r="G41" s="54"/>
      <c r="H41" s="54"/>
      <c r="I41" s="54"/>
      <c r="J41" s="194"/>
      <c r="K41" s="54"/>
      <c r="L41" s="55"/>
      <c r="M41" s="54"/>
    </row>
    <row r="42" spans="1:25" ht="12.75" customHeight="1" x14ac:dyDescent="0.2">
      <c r="A42" s="120"/>
      <c r="B42" s="54"/>
      <c r="C42" s="54"/>
      <c r="D42" s="54"/>
      <c r="E42" s="54"/>
      <c r="F42" s="54"/>
      <c r="G42" s="54"/>
      <c r="H42" s="54"/>
      <c r="I42" s="54"/>
      <c r="J42" s="172" t="s">
        <v>63</v>
      </c>
      <c r="K42" s="47" t="s">
        <v>232</v>
      </c>
      <c r="L42" s="55"/>
      <c r="M42" s="54"/>
      <c r="X42" s="54"/>
      <c r="Y42" s="54"/>
    </row>
    <row r="43" spans="1:25" ht="12.75" customHeight="1" x14ac:dyDescent="0.2">
      <c r="A43" s="120"/>
      <c r="B43" s="54"/>
      <c r="C43" s="54"/>
      <c r="D43" s="54"/>
      <c r="E43" s="54"/>
      <c r="F43" s="54"/>
      <c r="G43" s="54"/>
      <c r="H43" s="54"/>
      <c r="I43" s="54"/>
      <c r="J43" s="54"/>
      <c r="K43" s="47" t="s">
        <v>176</v>
      </c>
      <c r="L43" s="48"/>
      <c r="M43" s="54"/>
      <c r="X43" s="54"/>
      <c r="Y43" s="54"/>
    </row>
    <row r="44" spans="1:25" ht="12.75" customHeight="1" x14ac:dyDescent="0.2">
      <c r="A44" s="120"/>
      <c r="B44" s="54"/>
      <c r="C44" s="54"/>
      <c r="D44" s="54"/>
      <c r="E44" s="54"/>
      <c r="F44" s="54"/>
      <c r="G44" s="54"/>
      <c r="H44" s="54"/>
      <c r="I44" s="54"/>
      <c r="J44" s="173" t="s">
        <v>64</v>
      </c>
      <c r="K44" s="199">
        <f>(0.85*B11*B13*(3/8))/B12</f>
        <v>2.03203125E-2</v>
      </c>
      <c r="L44" s="121"/>
      <c r="M44" s="54"/>
      <c r="X44" s="54"/>
      <c r="Y44" s="54"/>
    </row>
    <row r="45" spans="1:25" ht="12.75" customHeight="1" x14ac:dyDescent="0.2">
      <c r="A45" s="120"/>
      <c r="B45" s="54"/>
      <c r="C45" s="54"/>
      <c r="D45" s="54"/>
      <c r="E45" s="54"/>
      <c r="F45" s="54"/>
      <c r="G45" s="54"/>
      <c r="H45" s="54"/>
      <c r="I45" s="54"/>
      <c r="J45" s="194"/>
      <c r="K45" s="54"/>
      <c r="L45" s="55"/>
      <c r="M45" s="54"/>
      <c r="X45" s="54"/>
      <c r="Y45" s="54"/>
    </row>
    <row r="46" spans="1:25" ht="12.75" customHeight="1" x14ac:dyDescent="0.2">
      <c r="A46" s="120"/>
      <c r="B46" s="54"/>
      <c r="C46" s="54"/>
      <c r="D46" s="54"/>
      <c r="E46" s="54"/>
      <c r="F46" s="54"/>
      <c r="G46" s="54"/>
      <c r="H46" s="54"/>
      <c r="I46" s="54"/>
      <c r="J46" s="194" t="s">
        <v>67</v>
      </c>
      <c r="K46" s="54" t="s">
        <v>140</v>
      </c>
      <c r="L46" s="55"/>
      <c r="M46" s="54"/>
      <c r="X46" s="54"/>
      <c r="Y46" s="54"/>
    </row>
    <row r="47" spans="1:25" ht="12.75" customHeight="1" x14ac:dyDescent="0.2">
      <c r="A47" s="120"/>
      <c r="B47" s="54"/>
      <c r="C47" s="54"/>
      <c r="D47" s="54"/>
      <c r="E47" s="54"/>
      <c r="F47" s="54"/>
      <c r="G47" s="54"/>
      <c r="H47" s="54"/>
      <c r="I47" s="54"/>
      <c r="J47" s="194"/>
      <c r="K47" s="54" t="s">
        <v>145</v>
      </c>
      <c r="L47" s="55"/>
      <c r="M47" s="54"/>
      <c r="X47" s="54"/>
      <c r="Y47" s="54"/>
    </row>
    <row r="48" spans="1:25" ht="12.75" customHeight="1" x14ac:dyDescent="0.2">
      <c r="A48" s="120"/>
      <c r="B48" s="54"/>
      <c r="C48" s="54"/>
      <c r="D48" s="54"/>
      <c r="E48" s="54"/>
      <c r="F48" s="54"/>
      <c r="G48" s="54"/>
      <c r="H48" s="54"/>
      <c r="I48" s="54"/>
      <c r="J48" s="197" t="s">
        <v>69</v>
      </c>
      <c r="K48" s="199">
        <f>((0.85*B11)/B12)*(1-SQRT(1-(2*G37)/(0.85*B11)))</f>
        <v>3.1863988494383677E-3</v>
      </c>
      <c r="L48" s="55" t="s">
        <v>256</v>
      </c>
      <c r="M48" s="54"/>
      <c r="X48" s="54"/>
      <c r="Y48" s="54"/>
    </row>
    <row r="49" spans="1:25" ht="12.75" customHeight="1" x14ac:dyDescent="0.2">
      <c r="A49" s="120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5" t="s">
        <v>76</v>
      </c>
      <c r="M49" s="117"/>
      <c r="X49" s="54"/>
      <c r="Y49" s="54"/>
    </row>
    <row r="50" spans="1:25" ht="12.75" customHeight="1" x14ac:dyDescent="0.2">
      <c r="A50" s="120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5"/>
      <c r="M50" s="54"/>
      <c r="X50" s="54"/>
      <c r="Y50" s="54"/>
    </row>
    <row r="51" spans="1:25" s="140" customFormat="1" ht="12.75" customHeight="1" x14ac:dyDescent="0.2">
      <c r="A51" s="147"/>
      <c r="B51" s="117"/>
      <c r="C51" s="117"/>
      <c r="D51" s="117"/>
      <c r="E51" s="117"/>
      <c r="F51" s="117"/>
      <c r="G51" s="117"/>
      <c r="H51" s="117"/>
      <c r="I51" s="244" t="s">
        <v>148</v>
      </c>
      <c r="J51" s="244"/>
      <c r="K51" s="244"/>
      <c r="L51" s="175">
        <f>IF(K48&lt;K37, K37, IF(K48&gt;K44, K44, K48))</f>
        <v>5.0724637681159417E-3</v>
      </c>
      <c r="M51" s="54"/>
      <c r="X51" s="54"/>
      <c r="Y51" s="54"/>
    </row>
    <row r="52" spans="1:25" ht="12.75" customHeight="1" thickBot="1" x14ac:dyDescent="0.25">
      <c r="A52" s="170"/>
      <c r="B52" s="125"/>
      <c r="C52" s="125"/>
      <c r="D52" s="125"/>
      <c r="E52" s="128"/>
      <c r="F52" s="128"/>
      <c r="G52" s="128"/>
      <c r="H52" s="171"/>
      <c r="I52" s="127"/>
      <c r="J52" s="125"/>
      <c r="K52" s="127"/>
      <c r="L52" s="133"/>
      <c r="X52" s="54"/>
      <c r="Y52" s="54"/>
    </row>
    <row r="53" spans="1:25" ht="12.75" customHeight="1" thickBot="1" x14ac:dyDescent="0.25">
      <c r="A53" s="120"/>
      <c r="B53" s="117"/>
      <c r="C53" s="117"/>
      <c r="D53" s="117"/>
      <c r="E53" s="117"/>
      <c r="F53" s="197"/>
      <c r="G53" s="197"/>
      <c r="H53" s="197"/>
      <c r="I53" s="176"/>
      <c r="J53" s="54"/>
      <c r="K53" s="117"/>
      <c r="L53" s="55"/>
      <c r="X53" s="54"/>
      <c r="Y53" s="54"/>
    </row>
    <row r="54" spans="1:25" ht="18" customHeight="1" x14ac:dyDescent="0.2">
      <c r="A54" s="239" t="s">
        <v>77</v>
      </c>
      <c r="B54" s="240"/>
      <c r="C54" s="240"/>
      <c r="D54" s="240"/>
      <c r="E54" s="240"/>
      <c r="F54" s="240"/>
      <c r="G54" s="240"/>
      <c r="H54" s="240"/>
      <c r="I54" s="240"/>
      <c r="J54" s="240"/>
      <c r="K54" s="240"/>
      <c r="L54" s="241"/>
      <c r="X54" s="54"/>
      <c r="Y54" s="54"/>
    </row>
    <row r="55" spans="1:25" ht="12.75" customHeight="1" x14ac:dyDescent="0.2">
      <c r="A55" s="120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5"/>
      <c r="X55" s="117"/>
      <c r="Y55" s="117"/>
    </row>
    <row r="56" spans="1:25" ht="12.75" customHeight="1" x14ac:dyDescent="0.2">
      <c r="A56" s="120"/>
      <c r="B56" s="117" t="s">
        <v>208</v>
      </c>
      <c r="C56" s="117"/>
      <c r="D56" s="117"/>
      <c r="E56" s="117"/>
      <c r="F56" s="117" t="s">
        <v>203</v>
      </c>
      <c r="G56" s="117"/>
      <c r="H56" s="117"/>
      <c r="I56" s="54"/>
      <c r="J56" s="117" t="str">
        <f>CONCATENATE("C. Spacing of ", I23," mm Diameter Steel Bars")</f>
        <v>C. Spacing of 16 mm Diameter Steel Bars</v>
      </c>
      <c r="K56" s="54"/>
      <c r="L56" s="55"/>
      <c r="X56" s="54"/>
      <c r="Y56" s="54"/>
    </row>
    <row r="57" spans="1:25" ht="12.75" customHeight="1" x14ac:dyDescent="0.2">
      <c r="A57" s="120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5"/>
      <c r="X57" s="117"/>
      <c r="Y57" s="54"/>
    </row>
    <row r="58" spans="1:25" ht="12.75" customHeight="1" x14ac:dyDescent="0.2">
      <c r="A58" s="120"/>
      <c r="B58" s="194" t="s">
        <v>149</v>
      </c>
      <c r="C58" s="54" t="s">
        <v>143</v>
      </c>
      <c r="D58" s="54"/>
      <c r="E58" s="54"/>
      <c r="F58" s="194" t="s">
        <v>202</v>
      </c>
      <c r="G58" s="54" t="s">
        <v>207</v>
      </c>
      <c r="H58" s="54"/>
      <c r="I58" s="54"/>
      <c r="J58" s="194" t="s">
        <v>71</v>
      </c>
      <c r="K58" s="54" t="str">
        <f>CONCATENATE("N(",I23,") + 2(ds) + 2(cc) + ", G60-1, "(S)")</f>
        <v>N(16) + 2(ds) + 2(cc) + 1(S)</v>
      </c>
      <c r="L58" s="55"/>
    </row>
    <row r="59" spans="1:25" ht="12.75" customHeight="1" x14ac:dyDescent="0.2">
      <c r="A59" s="120"/>
      <c r="B59" s="197" t="s">
        <v>150</v>
      </c>
      <c r="C59" s="119">
        <f>L51*I20*I29</f>
        <v>370.28985507246375</v>
      </c>
      <c r="D59" s="117" t="s">
        <v>88</v>
      </c>
      <c r="E59" s="54"/>
      <c r="F59" s="194" t="s">
        <v>202</v>
      </c>
      <c r="G59" s="196">
        <f>C59/C62</f>
        <v>1.8416706503613793</v>
      </c>
      <c r="H59" s="54" t="s">
        <v>204</v>
      </c>
      <c r="I59" s="54"/>
      <c r="J59" s="194" t="str">
        <f>CONCATENATE(I20, " =")</f>
        <v>250 =</v>
      </c>
      <c r="K59" s="54" t="str">
        <f>CONCATENATE(G60, "(", I23, ") + 2(",I24, ") + 2(", I22, ") + ", G60-1,"(S)")</f>
        <v>2(16) + 2(10) + 2(40) + 1(S)</v>
      </c>
      <c r="L59" s="55"/>
    </row>
    <row r="60" spans="1:25" ht="12.75" customHeight="1" x14ac:dyDescent="0.2">
      <c r="A60" s="120"/>
      <c r="B60" s="54"/>
      <c r="C60" s="54"/>
      <c r="D60" s="54"/>
      <c r="E60" s="54"/>
      <c r="F60" s="197" t="s">
        <v>205</v>
      </c>
      <c r="G60" s="198">
        <f>ROUNDUP(G59,0)</f>
        <v>2</v>
      </c>
      <c r="H60" s="117" t="s">
        <v>204</v>
      </c>
      <c r="I60" s="54"/>
      <c r="J60" s="194" t="s">
        <v>90</v>
      </c>
      <c r="K60" s="122">
        <f>(I20-(2*I24)-(2*I22)-(G60*I23))/(G60-1)</f>
        <v>118</v>
      </c>
      <c r="L60" s="55" t="s">
        <v>29</v>
      </c>
      <c r="M60" s="140"/>
    </row>
    <row r="61" spans="1:25" ht="12.75" customHeight="1" x14ac:dyDescent="0.2">
      <c r="A61" s="120"/>
      <c r="B61" s="194" t="s">
        <v>151</v>
      </c>
      <c r="C61" s="54" t="s">
        <v>201</v>
      </c>
      <c r="D61" s="54"/>
      <c r="E61" s="54"/>
      <c r="F61" s="54"/>
      <c r="G61" s="54"/>
      <c r="H61" s="194"/>
      <c r="I61" s="54"/>
      <c r="J61" s="197" t="s">
        <v>96</v>
      </c>
      <c r="K61" s="198">
        <f>FLOOR(K60,5)</f>
        <v>115</v>
      </c>
      <c r="L61" s="121" t="s">
        <v>29</v>
      </c>
    </row>
    <row r="62" spans="1:25" ht="12.75" customHeight="1" x14ac:dyDescent="0.2">
      <c r="A62" s="120"/>
      <c r="B62" s="197" t="s">
        <v>152</v>
      </c>
      <c r="C62" s="119">
        <f>(PI()/4)*I23^2</f>
        <v>201.06192982974676</v>
      </c>
      <c r="D62" s="117" t="s">
        <v>88</v>
      </c>
      <c r="E62" s="54"/>
      <c r="F62" s="54"/>
      <c r="G62" s="54"/>
      <c r="H62" s="197"/>
      <c r="I62" s="119"/>
      <c r="J62" s="117"/>
      <c r="K62" s="54"/>
      <c r="L62" s="177" t="str">
        <f>IF(K61&lt;25.4, "REDESIGN", "")</f>
        <v/>
      </c>
    </row>
    <row r="63" spans="1:25" ht="12.75" customHeight="1" x14ac:dyDescent="0.2">
      <c r="A63" s="120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5"/>
    </row>
    <row r="64" spans="1:25" ht="12.75" customHeight="1" x14ac:dyDescent="0.2">
      <c r="A64" s="246" t="str">
        <f>CONCATENATE("Therefore, use ", G60, " pieces of ", I23, " mm Diameter Steel Bars spaced at ",  K61, " mm O.C.")</f>
        <v>Therefore, use 2 pieces of 16 mm Diameter Steel Bars spaced at 115 mm O.C.</v>
      </c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8"/>
    </row>
    <row r="65" spans="1:25" ht="12.75" customHeight="1" thickBot="1" x14ac:dyDescent="0.25">
      <c r="A65" s="60"/>
      <c r="B65" s="61"/>
      <c r="C65" s="61"/>
      <c r="D65" s="61"/>
      <c r="E65" s="61"/>
      <c r="F65" s="61"/>
      <c r="G65" s="125"/>
      <c r="H65" s="61"/>
      <c r="I65" s="61"/>
      <c r="J65" s="61"/>
      <c r="K65" s="61"/>
      <c r="L65" s="62"/>
    </row>
    <row r="66" spans="1:25" ht="12" thickBot="1" x14ac:dyDescent="0.25">
      <c r="A66" s="120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5"/>
    </row>
    <row r="67" spans="1:25" ht="18" customHeight="1" thickBot="1" x14ac:dyDescent="0.25">
      <c r="A67" s="249" t="s">
        <v>209</v>
      </c>
      <c r="B67" s="250"/>
      <c r="C67" s="250"/>
      <c r="D67" s="250"/>
      <c r="E67" s="250"/>
      <c r="F67" s="250"/>
      <c r="G67" s="250"/>
      <c r="H67" s="250"/>
      <c r="I67" s="250"/>
      <c r="J67" s="250"/>
      <c r="K67" s="250"/>
      <c r="L67" s="251"/>
      <c r="X67" s="117"/>
      <c r="Y67" s="54"/>
    </row>
    <row r="68" spans="1:25" ht="12.75" customHeight="1" x14ac:dyDescent="0.2">
      <c r="A68" s="120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5"/>
      <c r="X68" s="117"/>
      <c r="Y68" s="54"/>
    </row>
    <row r="69" spans="1:25" ht="12.75" customHeight="1" x14ac:dyDescent="0.2">
      <c r="A69" s="120"/>
      <c r="B69" s="117" t="s">
        <v>216</v>
      </c>
      <c r="C69" s="117"/>
      <c r="D69" s="117"/>
      <c r="E69" s="117"/>
      <c r="F69" s="117" t="s">
        <v>220</v>
      </c>
      <c r="G69" s="117"/>
      <c r="H69" s="117"/>
      <c r="I69" s="54"/>
      <c r="J69" s="117" t="s">
        <v>224</v>
      </c>
      <c r="K69" s="54"/>
      <c r="L69" s="55"/>
      <c r="X69" s="117"/>
      <c r="Y69" s="54"/>
    </row>
    <row r="70" spans="1:25" ht="12.75" customHeight="1" x14ac:dyDescent="0.2">
      <c r="A70" s="120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5"/>
      <c r="X70" s="117"/>
      <c r="Y70" s="54"/>
    </row>
    <row r="71" spans="1:25" ht="12.75" customHeight="1" x14ac:dyDescent="0.2">
      <c r="A71" s="120"/>
      <c r="B71" s="194" t="s">
        <v>226</v>
      </c>
      <c r="C71" s="54" t="s">
        <v>225</v>
      </c>
      <c r="D71" s="54"/>
      <c r="E71" s="54"/>
      <c r="F71" s="196" t="s">
        <v>234</v>
      </c>
      <c r="G71" s="54" t="s">
        <v>222</v>
      </c>
      <c r="H71" s="54"/>
      <c r="I71" s="54"/>
      <c r="J71" s="194" t="s">
        <v>230</v>
      </c>
      <c r="K71" s="54" t="s">
        <v>229</v>
      </c>
      <c r="L71" s="55"/>
    </row>
    <row r="72" spans="1:25" ht="12.75" customHeight="1" x14ac:dyDescent="0.2">
      <c r="A72" s="120"/>
      <c r="B72" s="197" t="s">
        <v>227</v>
      </c>
      <c r="C72" s="198">
        <f>G60*PI()*0.25*I23*I23</f>
        <v>402.12385965949352</v>
      </c>
      <c r="D72" s="117" t="s">
        <v>88</v>
      </c>
      <c r="E72" s="54"/>
      <c r="F72" s="194" t="s">
        <v>233</v>
      </c>
      <c r="G72" s="195" t="s">
        <v>221</v>
      </c>
      <c r="H72" s="54"/>
      <c r="I72" s="54"/>
      <c r="J72" s="197" t="s">
        <v>231</v>
      </c>
      <c r="K72" s="119">
        <f>(H75*C72*B12*(I29-(C77/2))/10^6)</f>
        <v>27.907022856717951</v>
      </c>
      <c r="L72" s="121" t="str">
        <f>IF(K72&gt;C36,(CONCATENATE("KN-m         &gt; Mᵤ = ",C36," KN-m")), (CONCATENATE("KN-m         &lt; Mᵤ = ",C36," KN-m")))</f>
        <v>KN-m         &gt; Mᵤ = 16.45 KN-m</v>
      </c>
    </row>
    <row r="73" spans="1:25" ht="12.75" customHeight="1" x14ac:dyDescent="0.2">
      <c r="A73" s="120"/>
      <c r="B73" s="194"/>
      <c r="C73" s="54"/>
      <c r="D73" s="54"/>
      <c r="E73" s="54"/>
      <c r="F73" s="197" t="s">
        <v>223</v>
      </c>
      <c r="G73" s="198">
        <f>(0.003*(I29-C80))/C80</f>
        <v>2.6510963388366646E-2</v>
      </c>
      <c r="H73" s="195" t="str">
        <f>IF(G73&gt; 0.005, "&gt; 0.005", "&lt; 0.005")</f>
        <v>&gt; 0.005</v>
      </c>
      <c r="I73" s="54"/>
      <c r="J73" s="197"/>
      <c r="K73" s="198"/>
      <c r="L73" s="121"/>
      <c r="M73" s="140"/>
    </row>
    <row r="74" spans="1:25" ht="12.75" customHeight="1" x14ac:dyDescent="0.2">
      <c r="A74" s="120"/>
      <c r="B74" s="194"/>
      <c r="C74" s="54"/>
      <c r="D74" s="54"/>
      <c r="E74" s="54"/>
      <c r="F74" s="54"/>
      <c r="G74" s="54"/>
      <c r="H74" s="54"/>
      <c r="I74" s="54"/>
      <c r="J74" s="124" t="str">
        <f>IF(K72&gt;C36, "Safe!", "")</f>
        <v>Safe!</v>
      </c>
      <c r="K74" s="54"/>
      <c r="L74" s="55"/>
    </row>
    <row r="75" spans="1:25" ht="12.75" customHeight="1" x14ac:dyDescent="0.2">
      <c r="A75" s="120"/>
      <c r="B75" s="194" t="s">
        <v>210</v>
      </c>
      <c r="C75" s="54" t="s">
        <v>211</v>
      </c>
      <c r="D75" s="54"/>
      <c r="E75" s="54"/>
      <c r="F75" s="197"/>
      <c r="G75" s="194" t="str">
        <f>IF(G73&gt; 0.005, "Therefore, use 𝞍 =", "Recomputing, 𝞍 =")</f>
        <v>Therefore, use 𝞍 =</v>
      </c>
      <c r="H75" s="116" t="str">
        <f>IF(G73&gt;0.005,"0.9",0.65+(G73-0.002)*(250/3))</f>
        <v>0.9</v>
      </c>
      <c r="I75" s="119"/>
      <c r="J75" s="117"/>
      <c r="K75" s="54"/>
      <c r="L75" s="178"/>
    </row>
    <row r="76" spans="1:25" ht="12.75" customHeight="1" x14ac:dyDescent="0.2">
      <c r="A76" s="120"/>
      <c r="B76" s="194" t="s">
        <v>212</v>
      </c>
      <c r="C76" s="141" t="s">
        <v>228</v>
      </c>
      <c r="D76" s="117"/>
      <c r="E76" s="54"/>
      <c r="F76" s="197"/>
      <c r="G76" s="198"/>
      <c r="H76" s="54"/>
      <c r="I76" s="54"/>
      <c r="J76" s="54"/>
      <c r="K76" s="54"/>
      <c r="L76" s="55"/>
    </row>
    <row r="77" spans="1:25" ht="12.75" customHeight="1" x14ac:dyDescent="0.2">
      <c r="A77" s="120"/>
      <c r="B77" s="197" t="s">
        <v>213</v>
      </c>
      <c r="C77" s="119">
        <f>(C72*B12)/(0.85*B11*I20)</f>
        <v>25.23130099824273</v>
      </c>
      <c r="D77" s="117" t="s">
        <v>29</v>
      </c>
      <c r="E77" s="54"/>
      <c r="H77" s="54"/>
      <c r="I77" s="54"/>
      <c r="J77" s="54"/>
      <c r="K77" s="54"/>
      <c r="L77" s="55"/>
    </row>
    <row r="78" spans="1:25" ht="12.75" customHeight="1" x14ac:dyDescent="0.2">
      <c r="A78" s="120"/>
      <c r="B78" s="194"/>
      <c r="C78" s="54"/>
      <c r="D78" s="54"/>
      <c r="E78" s="54"/>
      <c r="F78" s="54"/>
      <c r="G78" s="54"/>
      <c r="H78" s="54"/>
      <c r="I78" s="54"/>
      <c r="J78" s="54"/>
      <c r="K78" s="54"/>
      <c r="L78" s="55"/>
    </row>
    <row r="79" spans="1:25" ht="12.75" customHeight="1" x14ac:dyDescent="0.2">
      <c r="A79" s="120"/>
      <c r="B79" s="194" t="s">
        <v>213</v>
      </c>
      <c r="C79" s="141" t="s">
        <v>214</v>
      </c>
      <c r="D79" s="117"/>
      <c r="E79" s="54"/>
      <c r="F79" s="54"/>
      <c r="G79" s="54"/>
      <c r="H79" s="54"/>
      <c r="I79" s="54"/>
      <c r="J79" s="54"/>
      <c r="K79" s="54"/>
      <c r="L79" s="55"/>
    </row>
    <row r="80" spans="1:25" ht="12.75" customHeight="1" x14ac:dyDescent="0.2">
      <c r="A80" s="120"/>
      <c r="B80" s="197" t="s">
        <v>215</v>
      </c>
      <c r="C80" s="119">
        <f>C77/B13</f>
        <v>29.683883527344388</v>
      </c>
      <c r="D80" s="117" t="s">
        <v>29</v>
      </c>
      <c r="E80" s="54"/>
      <c r="F80" s="54"/>
      <c r="G80" s="179"/>
      <c r="H80" s="161"/>
      <c r="I80" s="119"/>
      <c r="J80" s="117"/>
      <c r="K80" s="54"/>
      <c r="L80" s="178"/>
    </row>
    <row r="81" spans="1:13" ht="12.75" customHeight="1" x14ac:dyDescent="0.2">
      <c r="A81" s="120"/>
      <c r="B81" s="194"/>
      <c r="C81" s="122"/>
      <c r="D81" s="54"/>
      <c r="E81" s="54"/>
      <c r="F81" s="54"/>
      <c r="G81" s="54"/>
      <c r="H81" s="197"/>
      <c r="I81" s="119"/>
      <c r="J81" s="117"/>
      <c r="K81" s="54"/>
      <c r="L81" s="178"/>
    </row>
    <row r="82" spans="1:13" ht="12.75" customHeight="1" x14ac:dyDescent="0.2">
      <c r="A82" s="120"/>
      <c r="B82" s="194" t="s">
        <v>217</v>
      </c>
      <c r="C82" s="141" t="s">
        <v>218</v>
      </c>
      <c r="D82" s="54"/>
      <c r="E82" s="54"/>
      <c r="F82" s="54"/>
      <c r="G82" s="54"/>
      <c r="H82" s="197"/>
      <c r="I82" s="119"/>
      <c r="J82" s="117"/>
      <c r="K82" s="54"/>
      <c r="L82" s="178"/>
    </row>
    <row r="83" spans="1:13" ht="12.75" customHeight="1" x14ac:dyDescent="0.2">
      <c r="A83" s="120"/>
      <c r="B83" s="194"/>
      <c r="C83" s="141" t="s">
        <v>219</v>
      </c>
      <c r="D83" s="54"/>
      <c r="E83" s="54"/>
      <c r="F83" s="54"/>
      <c r="G83" s="54"/>
      <c r="H83" s="197"/>
      <c r="I83" s="119"/>
      <c r="J83" s="117"/>
      <c r="K83" s="54"/>
      <c r="L83" s="178"/>
    </row>
    <row r="84" spans="1:13" x14ac:dyDescent="0.2">
      <c r="A84" s="120"/>
      <c r="B84" s="197" t="s">
        <v>217</v>
      </c>
      <c r="C84" s="119">
        <f>600*((I29-C80)/C80)</f>
        <v>5302.1926776733299</v>
      </c>
      <c r="D84" s="117" t="s">
        <v>5</v>
      </c>
      <c r="E84" s="54" t="str">
        <f>IF(C84&gt;B12, CONCATENATE("&gt; fy = ", B12, " MPa"), "")</f>
        <v>&gt; fy = 276 MPa</v>
      </c>
      <c r="F84" s="54"/>
      <c r="G84" s="54"/>
      <c r="H84" s="197"/>
      <c r="I84" s="119"/>
      <c r="J84" s="117"/>
      <c r="K84" s="54"/>
      <c r="L84" s="178"/>
    </row>
    <row r="85" spans="1:13" x14ac:dyDescent="0.2">
      <c r="A85" s="76"/>
      <c r="B85" s="198"/>
      <c r="C85" s="198"/>
      <c r="D85" s="198"/>
      <c r="E85" s="195" t="str">
        <f>IF(C84&gt;1000, "&gt; 1000 MPa", "")</f>
        <v>&gt; 1000 MPa</v>
      </c>
      <c r="F85" s="198"/>
      <c r="G85" s="117"/>
      <c r="H85" s="198"/>
      <c r="I85" s="198"/>
      <c r="J85" s="198"/>
      <c r="K85" s="198"/>
      <c r="L85" s="77"/>
    </row>
    <row r="86" spans="1:13" ht="12" thickBot="1" x14ac:dyDescent="0.25">
      <c r="A86" s="60"/>
      <c r="B86" s="61"/>
      <c r="C86" s="61"/>
      <c r="D86" s="61"/>
      <c r="E86" s="75"/>
      <c r="F86" s="61"/>
      <c r="G86" s="125"/>
      <c r="H86" s="61"/>
      <c r="I86" s="61"/>
      <c r="J86" s="61"/>
      <c r="K86" s="61"/>
      <c r="L86" s="62"/>
    </row>
    <row r="87" spans="1:13" ht="12" thickBot="1" x14ac:dyDescent="0.25">
      <c r="A87" s="198"/>
      <c r="B87" s="198"/>
      <c r="C87" s="198"/>
      <c r="D87" s="198"/>
      <c r="E87" s="198"/>
      <c r="F87" s="198"/>
      <c r="G87" s="117"/>
      <c r="H87" s="198"/>
      <c r="I87" s="198"/>
      <c r="J87" s="198"/>
      <c r="K87" s="198"/>
      <c r="L87" s="198"/>
    </row>
    <row r="88" spans="1:13" ht="18" customHeight="1" x14ac:dyDescent="0.2">
      <c r="A88" s="239" t="s">
        <v>238</v>
      </c>
      <c r="B88" s="240"/>
      <c r="C88" s="240"/>
      <c r="D88" s="240"/>
      <c r="E88" s="240"/>
      <c r="F88" s="240"/>
      <c r="G88" s="240"/>
      <c r="H88" s="240"/>
      <c r="I88" s="240"/>
      <c r="J88" s="240"/>
      <c r="K88" s="240"/>
      <c r="L88" s="241"/>
    </row>
    <row r="89" spans="1:13" ht="12.75" customHeight="1" x14ac:dyDescent="0.2">
      <c r="A89" s="120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5"/>
    </row>
    <row r="90" spans="1:13" ht="12.75" customHeight="1" x14ac:dyDescent="0.2">
      <c r="A90" s="120"/>
      <c r="B90" s="117" t="s">
        <v>240</v>
      </c>
      <c r="C90" s="54"/>
      <c r="D90" s="54"/>
      <c r="E90" s="54"/>
      <c r="F90" s="117" t="s">
        <v>197</v>
      </c>
      <c r="G90" s="54"/>
      <c r="H90" s="54"/>
      <c r="I90" s="54"/>
      <c r="J90" s="117" t="s">
        <v>62</v>
      </c>
      <c r="K90" s="54"/>
      <c r="L90" s="55"/>
      <c r="M90" s="54"/>
    </row>
    <row r="91" spans="1:13" ht="12.75" customHeight="1" x14ac:dyDescent="0.2">
      <c r="A91" s="120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5"/>
      <c r="M91" s="54"/>
    </row>
    <row r="92" spans="1:13" ht="12.75" customHeight="1" x14ac:dyDescent="0.2">
      <c r="A92" s="120"/>
      <c r="B92" s="194" t="s">
        <v>183</v>
      </c>
      <c r="C92" s="134">
        <f>I12</f>
        <v>29.01</v>
      </c>
      <c r="D92" s="54" t="s">
        <v>59</v>
      </c>
      <c r="E92" s="54"/>
      <c r="F92" s="194" t="s">
        <v>57</v>
      </c>
      <c r="G92" s="54" t="s">
        <v>137</v>
      </c>
      <c r="H92" s="54"/>
      <c r="I92" s="117"/>
      <c r="J92" s="194" t="s">
        <v>101</v>
      </c>
      <c r="K92" s="54" t="s">
        <v>65</v>
      </c>
      <c r="L92" s="55"/>
      <c r="M92" s="54"/>
    </row>
    <row r="93" spans="1:13" ht="12.75" customHeight="1" x14ac:dyDescent="0.2">
      <c r="A93" s="120"/>
      <c r="B93" s="54"/>
      <c r="C93" s="54"/>
      <c r="D93" s="54"/>
      <c r="E93" s="245" t="s">
        <v>138</v>
      </c>
      <c r="F93" s="245"/>
      <c r="G93" s="198">
        <f>(C92*10^6)/(0.9*I20*I29*I29)</f>
        <v>1.5121661349846751</v>
      </c>
      <c r="H93" s="54"/>
      <c r="I93" s="54"/>
      <c r="J93" s="197" t="s">
        <v>242</v>
      </c>
      <c r="K93" s="199">
        <f>1.4/B12</f>
        <v>5.0724637681159417E-3</v>
      </c>
      <c r="L93" s="121"/>
      <c r="M93" s="54"/>
    </row>
    <row r="94" spans="1:13" ht="12.75" customHeight="1" x14ac:dyDescent="0.2">
      <c r="A94" s="120"/>
      <c r="B94" s="54"/>
      <c r="C94" s="54"/>
      <c r="D94" s="54"/>
      <c r="E94" s="54"/>
      <c r="F94" s="54"/>
      <c r="G94" s="54"/>
      <c r="H94" s="54"/>
      <c r="I94" s="54"/>
      <c r="J94" s="197"/>
      <c r="K94" s="143"/>
      <c r="L94" s="121"/>
      <c r="M94" s="54"/>
    </row>
    <row r="95" spans="1:13" ht="12.75" customHeight="1" x14ac:dyDescent="0.2">
      <c r="A95" s="120"/>
      <c r="B95" s="54"/>
      <c r="C95" s="54"/>
      <c r="D95" s="54"/>
      <c r="E95" s="54"/>
      <c r="F95" s="54"/>
      <c r="G95" s="54"/>
      <c r="H95" s="54"/>
      <c r="I95" s="54"/>
      <c r="J95" s="194" t="s">
        <v>101</v>
      </c>
      <c r="K95" s="54" t="s">
        <v>66</v>
      </c>
      <c r="L95" s="55"/>
      <c r="M95" s="54"/>
    </row>
    <row r="96" spans="1:13" ht="12.75" customHeight="1" x14ac:dyDescent="0.2">
      <c r="A96" s="120"/>
      <c r="B96" s="54"/>
      <c r="C96" s="54"/>
      <c r="D96" s="54"/>
      <c r="E96" s="54"/>
      <c r="F96" s="54"/>
      <c r="G96" s="54"/>
      <c r="H96" s="54"/>
      <c r="I96" s="54"/>
      <c r="J96" s="197" t="s">
        <v>102</v>
      </c>
      <c r="K96" s="199">
        <f>SQRT(B11)/(4*B12)</f>
        <v>4.1211279587236686E-3</v>
      </c>
      <c r="L96" s="121"/>
      <c r="M96" s="54"/>
    </row>
    <row r="97" spans="1:25" ht="12.75" customHeight="1" x14ac:dyDescent="0.2">
      <c r="A97" s="120"/>
      <c r="B97" s="54"/>
      <c r="C97" s="54"/>
      <c r="D97" s="54"/>
      <c r="E97" s="54"/>
      <c r="F97" s="54"/>
      <c r="G97" s="54"/>
      <c r="H97" s="54"/>
      <c r="I97" s="54"/>
      <c r="J97" s="194"/>
      <c r="K97" s="54"/>
      <c r="L97" s="55"/>
      <c r="M97" s="54"/>
    </row>
    <row r="98" spans="1:25" ht="12.75" customHeight="1" x14ac:dyDescent="0.2">
      <c r="A98" s="120"/>
      <c r="B98" s="54"/>
      <c r="C98" s="54"/>
      <c r="D98" s="54"/>
      <c r="E98" s="54"/>
      <c r="F98" s="54"/>
      <c r="G98" s="54"/>
      <c r="H98" s="54"/>
      <c r="I98" s="54"/>
      <c r="J98" s="172" t="s">
        <v>63</v>
      </c>
      <c r="K98" s="47" t="s">
        <v>232</v>
      </c>
      <c r="L98" s="55"/>
      <c r="M98" s="54"/>
      <c r="X98" s="54"/>
      <c r="Y98" s="54"/>
    </row>
    <row r="99" spans="1:25" ht="12.75" customHeight="1" x14ac:dyDescent="0.2">
      <c r="A99" s="120"/>
      <c r="B99" s="54"/>
      <c r="C99" s="54"/>
      <c r="D99" s="54"/>
      <c r="E99" s="54"/>
      <c r="F99" s="54"/>
      <c r="G99" s="54"/>
      <c r="H99" s="54"/>
      <c r="I99" s="54"/>
      <c r="J99" s="54"/>
      <c r="K99" s="47" t="s">
        <v>176</v>
      </c>
      <c r="L99" s="48"/>
      <c r="M99" s="54"/>
      <c r="X99" s="54"/>
      <c r="Y99" s="54"/>
    </row>
    <row r="100" spans="1:25" ht="12.75" customHeight="1" x14ac:dyDescent="0.2">
      <c r="A100" s="120"/>
      <c r="B100" s="54"/>
      <c r="C100" s="54"/>
      <c r="D100" s="54"/>
      <c r="E100" s="54"/>
      <c r="F100" s="54"/>
      <c r="G100" s="54"/>
      <c r="H100" s="54"/>
      <c r="I100" s="54"/>
      <c r="J100" s="173" t="s">
        <v>64</v>
      </c>
      <c r="K100" s="199">
        <f>(0.85*B11*B13*(3/8))/B12</f>
        <v>2.03203125E-2</v>
      </c>
      <c r="L100" s="121"/>
      <c r="M100" s="54"/>
      <c r="X100" s="54"/>
      <c r="Y100" s="54"/>
    </row>
    <row r="101" spans="1:25" ht="12.75" customHeight="1" x14ac:dyDescent="0.2">
      <c r="A101" s="120"/>
      <c r="B101" s="54"/>
      <c r="C101" s="54"/>
      <c r="D101" s="54"/>
      <c r="E101" s="54"/>
      <c r="F101" s="54"/>
      <c r="G101" s="54"/>
      <c r="H101" s="54"/>
      <c r="I101" s="54"/>
      <c r="J101" s="194"/>
      <c r="K101" s="54"/>
      <c r="L101" s="55"/>
      <c r="M101" s="54"/>
      <c r="X101" s="54"/>
      <c r="Y101" s="54"/>
    </row>
    <row r="102" spans="1:25" ht="12.75" customHeight="1" x14ac:dyDescent="0.2">
      <c r="A102" s="120"/>
      <c r="B102" s="54"/>
      <c r="C102" s="54"/>
      <c r="D102" s="54"/>
      <c r="E102" s="54"/>
      <c r="F102" s="54"/>
      <c r="G102" s="54"/>
      <c r="H102" s="54"/>
      <c r="I102" s="54"/>
      <c r="J102" s="194" t="s">
        <v>67</v>
      </c>
      <c r="K102" s="54" t="s">
        <v>140</v>
      </c>
      <c r="L102" s="55"/>
      <c r="M102" s="54"/>
      <c r="X102" s="54"/>
      <c r="Y102" s="54"/>
    </row>
    <row r="103" spans="1:25" ht="12.75" customHeight="1" x14ac:dyDescent="0.2">
      <c r="A103" s="120"/>
      <c r="B103" s="54"/>
      <c r="C103" s="54"/>
      <c r="D103" s="54"/>
      <c r="E103" s="54"/>
      <c r="F103" s="54"/>
      <c r="G103" s="54"/>
      <c r="H103" s="54"/>
      <c r="I103" s="54"/>
      <c r="J103" s="194"/>
      <c r="K103" s="54" t="s">
        <v>145</v>
      </c>
      <c r="L103" s="55"/>
      <c r="M103" s="54"/>
      <c r="X103" s="54"/>
      <c r="Y103" s="54"/>
    </row>
    <row r="104" spans="1:25" ht="12.75" customHeight="1" x14ac:dyDescent="0.2">
      <c r="A104" s="120"/>
      <c r="B104" s="54"/>
      <c r="C104" s="54"/>
      <c r="D104" s="54"/>
      <c r="E104" s="54"/>
      <c r="F104" s="54"/>
      <c r="G104" s="54"/>
      <c r="H104" s="54"/>
      <c r="I104" s="54"/>
      <c r="J104" s="197" t="s">
        <v>69</v>
      </c>
      <c r="K104" s="199">
        <f>((0.85*B11)/B12)*(1-SQRT(1-(2*G93)/(0.85*B11)))</f>
        <v>5.7370058349788767E-3</v>
      </c>
      <c r="L104" s="55" t="s">
        <v>256</v>
      </c>
      <c r="M104" s="54"/>
      <c r="X104" s="54"/>
      <c r="Y104" s="54"/>
    </row>
    <row r="105" spans="1:25" ht="12.75" customHeight="1" x14ac:dyDescent="0.2">
      <c r="A105" s="120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5" t="s">
        <v>76</v>
      </c>
      <c r="M105" s="117"/>
      <c r="X105" s="54"/>
      <c r="Y105" s="54"/>
    </row>
    <row r="106" spans="1:25" ht="12.75" customHeight="1" x14ac:dyDescent="0.2">
      <c r="A106" s="120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5"/>
      <c r="M106" s="54"/>
      <c r="X106" s="54"/>
      <c r="Y106" s="54"/>
    </row>
    <row r="107" spans="1:25" s="140" customFormat="1" ht="12.75" customHeight="1" x14ac:dyDescent="0.2">
      <c r="A107" s="147"/>
      <c r="B107" s="117"/>
      <c r="C107" s="117"/>
      <c r="D107" s="117"/>
      <c r="E107" s="117"/>
      <c r="F107" s="117"/>
      <c r="G107" s="117"/>
      <c r="H107" s="117"/>
      <c r="I107" s="244" t="s">
        <v>148</v>
      </c>
      <c r="J107" s="244"/>
      <c r="K107" s="244"/>
      <c r="L107" s="175">
        <f>IF(K104&lt;K93, K93, IF(K104&gt;K100, K100, K104))</f>
        <v>5.7370058349788767E-3</v>
      </c>
      <c r="M107" s="54"/>
      <c r="X107" s="54"/>
      <c r="Y107" s="54"/>
    </row>
    <row r="108" spans="1:25" ht="12.75" customHeight="1" thickBot="1" x14ac:dyDescent="0.25">
      <c r="A108" s="170"/>
      <c r="B108" s="125"/>
      <c r="C108" s="125"/>
      <c r="D108" s="125"/>
      <c r="E108" s="128"/>
      <c r="F108" s="128"/>
      <c r="G108" s="128"/>
      <c r="H108" s="171"/>
      <c r="I108" s="127"/>
      <c r="J108" s="125"/>
      <c r="K108" s="127"/>
      <c r="L108" s="133"/>
      <c r="X108" s="54"/>
      <c r="Y108" s="54"/>
    </row>
    <row r="109" spans="1:25" ht="12.75" customHeight="1" thickBot="1" x14ac:dyDescent="0.25">
      <c r="A109" s="120"/>
      <c r="B109" s="117"/>
      <c r="C109" s="117"/>
      <c r="D109" s="117"/>
      <c r="E109" s="117"/>
      <c r="F109" s="197"/>
      <c r="G109" s="197"/>
      <c r="H109" s="197"/>
      <c r="I109" s="176"/>
      <c r="J109" s="54"/>
      <c r="K109" s="117"/>
      <c r="L109" s="55"/>
      <c r="X109" s="54"/>
      <c r="Y109" s="54"/>
    </row>
    <row r="110" spans="1:25" ht="18" customHeight="1" x14ac:dyDescent="0.2">
      <c r="A110" s="239" t="s">
        <v>77</v>
      </c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1"/>
      <c r="X110" s="54"/>
      <c r="Y110" s="54"/>
    </row>
    <row r="111" spans="1:25" ht="12.75" customHeight="1" x14ac:dyDescent="0.2">
      <c r="A111" s="120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5"/>
      <c r="X111" s="117"/>
      <c r="Y111" s="117"/>
    </row>
    <row r="112" spans="1:25" ht="12.75" customHeight="1" x14ac:dyDescent="0.2">
      <c r="A112" s="120"/>
      <c r="B112" s="117" t="s">
        <v>208</v>
      </c>
      <c r="C112" s="117"/>
      <c r="D112" s="117"/>
      <c r="E112" s="117"/>
      <c r="F112" s="117" t="s">
        <v>203</v>
      </c>
      <c r="G112" s="117"/>
      <c r="H112" s="117"/>
      <c r="I112" s="54"/>
      <c r="J112" s="117" t="str">
        <f>CONCATENATE("C. Spacing of ", I23," mm Diameter Steel Bars")</f>
        <v>C. Spacing of 16 mm Diameter Steel Bars</v>
      </c>
      <c r="K112" s="54"/>
      <c r="L112" s="55"/>
      <c r="X112" s="54"/>
      <c r="Y112" s="54"/>
    </row>
    <row r="113" spans="1:25" ht="12.75" customHeight="1" x14ac:dyDescent="0.2">
      <c r="A113" s="120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5"/>
      <c r="X113" s="117"/>
      <c r="Y113" s="54"/>
    </row>
    <row r="114" spans="1:25" ht="12.75" customHeight="1" x14ac:dyDescent="0.2">
      <c r="A114" s="120"/>
      <c r="B114" s="194" t="s">
        <v>149</v>
      </c>
      <c r="C114" s="54" t="s">
        <v>143</v>
      </c>
      <c r="D114" s="54"/>
      <c r="E114" s="54"/>
      <c r="F114" s="194" t="s">
        <v>202</v>
      </c>
      <c r="G114" s="54" t="s">
        <v>207</v>
      </c>
      <c r="H114" s="54"/>
      <c r="I114" s="54"/>
      <c r="J114" s="194" t="s">
        <v>71</v>
      </c>
      <c r="K114" s="54" t="str">
        <f>CONCATENATE("N(",G116,") + 2(ds) + 2(cc) + ", G116-1, "(S)")</f>
        <v>N(3) + 2(ds) + 2(cc) + 2(S)</v>
      </c>
      <c r="L114" s="55"/>
    </row>
    <row r="115" spans="1:25" ht="12.75" customHeight="1" x14ac:dyDescent="0.2">
      <c r="A115" s="120"/>
      <c r="B115" s="197" t="s">
        <v>150</v>
      </c>
      <c r="C115" s="119">
        <f>L107*I20*I29</f>
        <v>418.80142595345802</v>
      </c>
      <c r="D115" s="117" t="s">
        <v>88</v>
      </c>
      <c r="E115" s="54"/>
      <c r="F115" s="194" t="s">
        <v>202</v>
      </c>
      <c r="G115" s="196">
        <f>C115/C118</f>
        <v>2.0829474098258509</v>
      </c>
      <c r="H115" s="54" t="s">
        <v>204</v>
      </c>
      <c r="I115" s="54"/>
      <c r="J115" s="194" t="str">
        <f>CONCATENATE(I20, " =")</f>
        <v>250 =</v>
      </c>
      <c r="K115" s="54" t="str">
        <f>CONCATENATE(G116, "(", I23, ") + 2(",I24, ") + 2(", I22, ") + ", G116-1,"(S)")</f>
        <v>3(16) + 2(10) + 2(40) + 2(S)</v>
      </c>
      <c r="L115" s="55"/>
    </row>
    <row r="116" spans="1:25" ht="12.75" customHeight="1" x14ac:dyDescent="0.2">
      <c r="A116" s="120"/>
      <c r="B116" s="54"/>
      <c r="C116" s="54"/>
      <c r="D116" s="54"/>
      <c r="E116" s="54"/>
      <c r="F116" s="197" t="s">
        <v>205</v>
      </c>
      <c r="G116" s="198">
        <f>ROUNDUP(G115,0)</f>
        <v>3</v>
      </c>
      <c r="H116" s="117" t="s">
        <v>204</v>
      </c>
      <c r="I116" s="54"/>
      <c r="J116" s="194" t="s">
        <v>90</v>
      </c>
      <c r="K116" s="122">
        <f>(I20-(2*I24)-(2*I22)-(G116*I23))/(G116-1)</f>
        <v>51</v>
      </c>
      <c r="L116" s="55" t="s">
        <v>29</v>
      </c>
      <c r="M116" s="140"/>
    </row>
    <row r="117" spans="1:25" ht="12.75" customHeight="1" x14ac:dyDescent="0.2">
      <c r="A117" s="120"/>
      <c r="B117" s="194" t="s">
        <v>151</v>
      </c>
      <c r="C117" s="54" t="s">
        <v>201</v>
      </c>
      <c r="D117" s="54"/>
      <c r="E117" s="54"/>
      <c r="F117" s="54"/>
      <c r="G117" s="54"/>
      <c r="H117" s="194"/>
      <c r="I117" s="54"/>
      <c r="J117" s="197" t="s">
        <v>300</v>
      </c>
      <c r="K117" s="198">
        <f>FLOOR(K116,5)</f>
        <v>50</v>
      </c>
      <c r="L117" s="121" t="s">
        <v>29</v>
      </c>
    </row>
    <row r="118" spans="1:25" ht="12.75" customHeight="1" x14ac:dyDescent="0.2">
      <c r="A118" s="120"/>
      <c r="B118" s="197" t="s">
        <v>152</v>
      </c>
      <c r="C118" s="119">
        <f>(PI()/4)*I23^2</f>
        <v>201.06192982974676</v>
      </c>
      <c r="D118" s="117" t="s">
        <v>88</v>
      </c>
      <c r="E118" s="54"/>
      <c r="F118" s="54"/>
      <c r="G118" s="54"/>
      <c r="H118" s="197"/>
      <c r="I118" s="119"/>
      <c r="J118" s="117"/>
      <c r="K118" s="54"/>
      <c r="L118" s="177" t="str">
        <f>IF(K117&lt;25.4, "REDESIGN", "")</f>
        <v/>
      </c>
    </row>
    <row r="119" spans="1:25" ht="12.75" customHeight="1" x14ac:dyDescent="0.2">
      <c r="A119" s="120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5"/>
    </row>
    <row r="120" spans="1:25" ht="12.75" customHeight="1" x14ac:dyDescent="0.2">
      <c r="A120" s="246" t="str">
        <f>CONCATENATE("Therefore, use ", G116, " pieces of ", I23, " mm Diameter Steel Bars spaced at ",  K117, " mm O.C.")</f>
        <v>Therefore, use 3 pieces of 16 mm Diameter Steel Bars spaced at 50 mm O.C.</v>
      </c>
      <c r="B120" s="247"/>
      <c r="C120" s="247"/>
      <c r="D120" s="247"/>
      <c r="E120" s="247"/>
      <c r="F120" s="247"/>
      <c r="G120" s="247"/>
      <c r="H120" s="247"/>
      <c r="I120" s="247"/>
      <c r="J120" s="247"/>
      <c r="K120" s="247"/>
      <c r="L120" s="248"/>
    </row>
    <row r="121" spans="1:25" ht="12.75" customHeight="1" thickBot="1" x14ac:dyDescent="0.25">
      <c r="A121" s="60"/>
      <c r="B121" s="61"/>
      <c r="C121" s="61"/>
      <c r="D121" s="61"/>
      <c r="E121" s="61"/>
      <c r="F121" s="61"/>
      <c r="G121" s="125"/>
      <c r="H121" s="61"/>
      <c r="I121" s="61"/>
      <c r="J121" s="61"/>
      <c r="K121" s="61"/>
      <c r="L121" s="62"/>
    </row>
    <row r="122" spans="1:25" ht="12" thickBot="1" x14ac:dyDescent="0.25">
      <c r="A122" s="120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5"/>
    </row>
    <row r="123" spans="1:25" ht="18" customHeight="1" thickBot="1" x14ac:dyDescent="0.25">
      <c r="A123" s="249" t="s">
        <v>241</v>
      </c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1"/>
      <c r="X123" s="117"/>
      <c r="Y123" s="54"/>
    </row>
    <row r="124" spans="1:25" ht="12.75" customHeight="1" x14ac:dyDescent="0.2">
      <c r="A124" s="120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5"/>
      <c r="X124" s="117"/>
      <c r="Y124" s="54"/>
    </row>
    <row r="125" spans="1:25" ht="12.75" customHeight="1" x14ac:dyDescent="0.2">
      <c r="A125" s="120"/>
      <c r="B125" s="117" t="s">
        <v>216</v>
      </c>
      <c r="C125" s="117"/>
      <c r="D125" s="117"/>
      <c r="E125" s="117"/>
      <c r="F125" s="117" t="s">
        <v>220</v>
      </c>
      <c r="G125" s="117"/>
      <c r="H125" s="117"/>
      <c r="I125" s="54"/>
      <c r="J125" s="117" t="s">
        <v>224</v>
      </c>
      <c r="K125" s="54"/>
      <c r="L125" s="55"/>
      <c r="X125" s="117"/>
      <c r="Y125" s="54"/>
    </row>
    <row r="126" spans="1:25" ht="12.75" customHeight="1" x14ac:dyDescent="0.2">
      <c r="A126" s="120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5"/>
      <c r="X126" s="117"/>
      <c r="Y126" s="54"/>
    </row>
    <row r="127" spans="1:25" ht="12.75" customHeight="1" x14ac:dyDescent="0.2">
      <c r="A127" s="120"/>
      <c r="B127" s="194" t="s">
        <v>226</v>
      </c>
      <c r="C127" s="54" t="s">
        <v>225</v>
      </c>
      <c r="D127" s="54"/>
      <c r="E127" s="54"/>
      <c r="F127" s="196" t="s">
        <v>234</v>
      </c>
      <c r="G127" s="54" t="s">
        <v>222</v>
      </c>
      <c r="H127" s="54"/>
      <c r="I127" s="54"/>
      <c r="J127" s="194" t="s">
        <v>230</v>
      </c>
      <c r="K127" s="54" t="s">
        <v>229</v>
      </c>
      <c r="L127" s="55"/>
    </row>
    <row r="128" spans="1:25" ht="12.75" customHeight="1" x14ac:dyDescent="0.2">
      <c r="A128" s="120"/>
      <c r="B128" s="197" t="s">
        <v>227</v>
      </c>
      <c r="C128" s="198">
        <f>G116*PI()*0.25*I23*I23</f>
        <v>603.18578948924028</v>
      </c>
      <c r="D128" s="117" t="s">
        <v>88</v>
      </c>
      <c r="E128" s="54"/>
      <c r="F128" s="194" t="s">
        <v>233</v>
      </c>
      <c r="G128" s="195" t="s">
        <v>221</v>
      </c>
      <c r="H128" s="54"/>
      <c r="I128" s="54"/>
      <c r="J128" s="197" t="s">
        <v>231</v>
      </c>
      <c r="K128" s="119">
        <f>(H131*C128*B12*(I29-(C133/2))/10^6)</f>
        <v>40.915424311682806</v>
      </c>
      <c r="L128" s="121" t="str">
        <f>IF(K128&gt;C92,(CONCATENATE("KN-m         &gt; Mᵤ = ",C92," KN-m")), (CONCATENATE("KN-m         &lt; Mᵤ = ",C92," KN-m")))</f>
        <v>KN-m         &gt; Mᵤ = 29.01 KN-m</v>
      </c>
    </row>
    <row r="129" spans="1:13" ht="12.75" customHeight="1" x14ac:dyDescent="0.2">
      <c r="A129" s="120"/>
      <c r="B129" s="194"/>
      <c r="C129" s="54"/>
      <c r="D129" s="54"/>
      <c r="E129" s="54"/>
      <c r="F129" s="197" t="s">
        <v>239</v>
      </c>
      <c r="G129" s="198">
        <f>(0.003*(I29-C136))/C136</f>
        <v>1.6673975592244431E-2</v>
      </c>
      <c r="H129" s="195" t="str">
        <f>IF(G129&gt; 0.005, "&gt; 0.005", "&lt; 0.005")</f>
        <v>&gt; 0.005</v>
      </c>
      <c r="I129" s="54"/>
      <c r="J129" s="197"/>
      <c r="K129" s="198"/>
      <c r="L129" s="121"/>
      <c r="M129" s="140"/>
    </row>
    <row r="130" spans="1:13" ht="12.75" customHeight="1" x14ac:dyDescent="0.2">
      <c r="A130" s="120"/>
      <c r="B130" s="194"/>
      <c r="C130" s="54"/>
      <c r="D130" s="54"/>
      <c r="E130" s="54"/>
      <c r="F130" s="54"/>
      <c r="G130" s="54"/>
      <c r="H130" s="54"/>
      <c r="I130" s="54"/>
      <c r="J130" s="124" t="str">
        <f>IF(K128&gt;C92, "Safe!", "")</f>
        <v>Safe!</v>
      </c>
      <c r="K130" s="54"/>
      <c r="L130" s="55"/>
    </row>
    <row r="131" spans="1:13" ht="12.75" customHeight="1" x14ac:dyDescent="0.2">
      <c r="A131" s="120"/>
      <c r="B131" s="194" t="s">
        <v>210</v>
      </c>
      <c r="C131" s="54" t="s">
        <v>211</v>
      </c>
      <c r="D131" s="54"/>
      <c r="E131" s="54"/>
      <c r="F131" s="197"/>
      <c r="G131" s="194" t="str">
        <f>IF(G129&gt; 0.005, "Therefore, use 𝞍 =", "Recomputing, 𝞍 =")</f>
        <v>Therefore, use 𝞍 =</v>
      </c>
      <c r="H131" s="116" t="str">
        <f>IF(G129&gt;0.005,"0.9",(0.65+(G129-0.002)*(250/3)))</f>
        <v>0.9</v>
      </c>
      <c r="I131" s="119"/>
      <c r="J131" s="117"/>
      <c r="K131" s="54"/>
      <c r="L131" s="178"/>
    </row>
    <row r="132" spans="1:13" ht="12.75" customHeight="1" x14ac:dyDescent="0.2">
      <c r="A132" s="120"/>
      <c r="B132" s="194" t="s">
        <v>212</v>
      </c>
      <c r="C132" s="141" t="s">
        <v>228</v>
      </c>
      <c r="D132" s="117"/>
      <c r="E132" s="54"/>
      <c r="F132" s="197"/>
      <c r="G132" s="198"/>
      <c r="H132" s="54"/>
      <c r="I132" s="54"/>
      <c r="J132" s="54"/>
      <c r="K132" s="54"/>
      <c r="L132" s="55"/>
    </row>
    <row r="133" spans="1:13" ht="12.75" customHeight="1" x14ac:dyDescent="0.2">
      <c r="A133" s="120"/>
      <c r="B133" s="197" t="s">
        <v>213</v>
      </c>
      <c r="C133" s="119">
        <f>(C128*B12)/(0.85*B11*I20)</f>
        <v>37.846951497364095</v>
      </c>
      <c r="D133" s="117" t="s">
        <v>29</v>
      </c>
      <c r="E133" s="54"/>
      <c r="H133" s="54"/>
      <c r="I133" s="54"/>
      <c r="J133" s="54"/>
      <c r="K133" s="54"/>
      <c r="L133" s="55"/>
    </row>
    <row r="134" spans="1:13" ht="12.75" customHeight="1" x14ac:dyDescent="0.2">
      <c r="A134" s="120"/>
      <c r="B134" s="194"/>
      <c r="C134" s="54"/>
      <c r="D134" s="54"/>
      <c r="E134" s="54"/>
      <c r="F134" s="54"/>
      <c r="G134" s="54"/>
      <c r="H134" s="54"/>
      <c r="I134" s="54"/>
      <c r="J134" s="54"/>
      <c r="K134" s="54"/>
      <c r="L134" s="55"/>
    </row>
    <row r="135" spans="1:13" ht="12.75" customHeight="1" x14ac:dyDescent="0.2">
      <c r="A135" s="120"/>
      <c r="B135" s="194" t="s">
        <v>213</v>
      </c>
      <c r="C135" s="141" t="s">
        <v>214</v>
      </c>
      <c r="D135" s="117"/>
      <c r="E135" s="54"/>
      <c r="F135" s="54"/>
      <c r="G135" s="54"/>
      <c r="H135" s="54"/>
      <c r="I135" s="54"/>
      <c r="J135" s="54"/>
      <c r="K135" s="54"/>
      <c r="L135" s="55"/>
    </row>
    <row r="136" spans="1:13" ht="12.75" customHeight="1" x14ac:dyDescent="0.2">
      <c r="A136" s="120"/>
      <c r="B136" s="197" t="s">
        <v>215</v>
      </c>
      <c r="C136" s="119">
        <f>C133/B13</f>
        <v>44.525825291016581</v>
      </c>
      <c r="D136" s="117" t="s">
        <v>29</v>
      </c>
      <c r="E136" s="54"/>
      <c r="F136" s="54"/>
      <c r="G136" s="179"/>
      <c r="H136" s="161"/>
      <c r="I136" s="119"/>
      <c r="J136" s="117"/>
      <c r="K136" s="54"/>
      <c r="L136" s="178"/>
    </row>
    <row r="137" spans="1:13" ht="12.75" customHeight="1" x14ac:dyDescent="0.2">
      <c r="A137" s="120"/>
      <c r="B137" s="194"/>
      <c r="C137" s="122"/>
      <c r="D137" s="54"/>
      <c r="E137" s="54"/>
      <c r="F137" s="54"/>
      <c r="G137" s="54"/>
      <c r="H137" s="197"/>
      <c r="I137" s="119"/>
      <c r="J137" s="117"/>
      <c r="K137" s="54"/>
      <c r="L137" s="178"/>
    </row>
    <row r="138" spans="1:13" ht="12.75" customHeight="1" x14ac:dyDescent="0.2">
      <c r="A138" s="120"/>
      <c r="B138" s="194" t="s">
        <v>217</v>
      </c>
      <c r="C138" s="141" t="s">
        <v>218</v>
      </c>
      <c r="D138" s="54"/>
      <c r="E138" s="54"/>
      <c r="F138" s="54"/>
      <c r="G138" s="54"/>
      <c r="H138" s="197"/>
      <c r="I138" s="119"/>
      <c r="J138" s="117"/>
      <c r="K138" s="54"/>
      <c r="L138" s="178"/>
    </row>
    <row r="139" spans="1:13" ht="12.75" customHeight="1" x14ac:dyDescent="0.2">
      <c r="A139" s="120"/>
      <c r="B139" s="194"/>
      <c r="C139" s="141" t="s">
        <v>219</v>
      </c>
      <c r="D139" s="54"/>
      <c r="E139" s="54"/>
      <c r="F139" s="54"/>
      <c r="G139" s="54"/>
      <c r="H139" s="197"/>
      <c r="I139" s="119"/>
      <c r="J139" s="117"/>
      <c r="K139" s="54"/>
      <c r="L139" s="178"/>
    </row>
    <row r="140" spans="1:13" x14ac:dyDescent="0.2">
      <c r="A140" s="120"/>
      <c r="B140" s="197" t="s">
        <v>217</v>
      </c>
      <c r="C140" s="119">
        <f>600*((I29-C136)/C136)</f>
        <v>3334.7951184488861</v>
      </c>
      <c r="D140" s="117" t="s">
        <v>5</v>
      </c>
      <c r="E140" s="54" t="str">
        <f>IF(C140&gt;B12, CONCATENATE("&gt; fy = ", B12, " MPa"), "")</f>
        <v>&gt; fy = 276 MPa</v>
      </c>
      <c r="F140" s="54"/>
      <c r="G140" s="54"/>
      <c r="H140" s="197"/>
      <c r="I140" s="119"/>
      <c r="J140" s="117"/>
      <c r="K140" s="54"/>
      <c r="L140" s="178"/>
    </row>
    <row r="141" spans="1:13" x14ac:dyDescent="0.2">
      <c r="A141" s="76"/>
      <c r="B141" s="198"/>
      <c r="C141" s="198"/>
      <c r="D141" s="198"/>
      <c r="E141" s="195" t="str">
        <f>IF(C140&gt;1000, "&gt; 1000 MPa", "")</f>
        <v>&gt; 1000 MPa</v>
      </c>
      <c r="F141" s="198"/>
      <c r="G141" s="117"/>
      <c r="H141" s="198"/>
      <c r="I141" s="198"/>
      <c r="J141" s="198"/>
      <c r="K141" s="198"/>
      <c r="L141" s="77"/>
    </row>
    <row r="142" spans="1:13" x14ac:dyDescent="0.2">
      <c r="A142" s="76"/>
      <c r="B142" s="198"/>
      <c r="C142" s="198"/>
      <c r="D142" s="198"/>
      <c r="E142" s="195"/>
      <c r="F142" s="198"/>
      <c r="G142" s="117"/>
      <c r="H142" s="198"/>
      <c r="I142" s="198"/>
      <c r="J142" s="198"/>
      <c r="K142" s="198"/>
      <c r="L142" s="77"/>
    </row>
    <row r="143" spans="1:13" x14ac:dyDescent="0.2">
      <c r="A143" s="246" t="str">
        <f>IF(K128&gt;C92, CONCATENATE("Therefore, use ", I20, " x ", I21, " mm beam dimensions."), "Revise beam dimensions.")</f>
        <v>Therefore, use 250 x 350 mm beam dimensions.</v>
      </c>
      <c r="B143" s="247"/>
      <c r="C143" s="247"/>
      <c r="D143" s="247"/>
      <c r="E143" s="247"/>
      <c r="F143" s="247"/>
      <c r="G143" s="247"/>
      <c r="H143" s="247"/>
      <c r="I143" s="247"/>
      <c r="J143" s="247"/>
      <c r="K143" s="247"/>
      <c r="L143" s="248"/>
    </row>
    <row r="144" spans="1:13" ht="12" thickBot="1" x14ac:dyDescent="0.25">
      <c r="A144" s="60"/>
      <c r="B144" s="61"/>
      <c r="C144" s="61"/>
      <c r="D144" s="61"/>
      <c r="E144" s="75"/>
      <c r="F144" s="61"/>
      <c r="G144" s="125"/>
      <c r="H144" s="61"/>
      <c r="I144" s="61"/>
      <c r="J144" s="61"/>
      <c r="K144" s="61"/>
      <c r="L144" s="62"/>
    </row>
    <row r="146" spans="1:12" ht="12" thickBot="1" x14ac:dyDescent="0.25"/>
    <row r="147" spans="1:12" ht="18" customHeight="1" thickBot="1" x14ac:dyDescent="0.25">
      <c r="A147" s="249" t="s">
        <v>306</v>
      </c>
      <c r="B147" s="250"/>
      <c r="C147" s="250"/>
      <c r="D147" s="250"/>
      <c r="E147" s="250"/>
      <c r="F147" s="250"/>
      <c r="G147" s="250"/>
      <c r="H147" s="250"/>
      <c r="I147" s="250"/>
      <c r="J147" s="250"/>
      <c r="K147" s="250"/>
      <c r="L147" s="251"/>
    </row>
    <row r="148" spans="1:12" x14ac:dyDescent="0.2">
      <c r="A148" s="120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5"/>
    </row>
    <row r="149" spans="1:12" x14ac:dyDescent="0.2">
      <c r="A149" s="120"/>
      <c r="B149" s="117"/>
      <c r="C149" s="117"/>
      <c r="D149" s="117"/>
      <c r="E149" s="117"/>
      <c r="F149" s="117"/>
      <c r="G149" s="117"/>
      <c r="H149" s="117"/>
      <c r="I149" s="54"/>
      <c r="J149" s="117"/>
      <c r="K149" s="54"/>
      <c r="L149" s="55"/>
    </row>
    <row r="150" spans="1:12" x14ac:dyDescent="0.2">
      <c r="A150" s="120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5"/>
    </row>
    <row r="151" spans="1:12" x14ac:dyDescent="0.2">
      <c r="A151" s="120"/>
      <c r="B151" s="194"/>
      <c r="C151" s="54"/>
      <c r="D151" s="54"/>
      <c r="E151" s="54"/>
      <c r="F151" s="196"/>
      <c r="G151" s="54"/>
      <c r="H151" s="54"/>
      <c r="I151" s="54"/>
      <c r="J151" s="194"/>
      <c r="K151" s="54"/>
      <c r="L151" s="55"/>
    </row>
    <row r="152" spans="1:12" x14ac:dyDescent="0.2">
      <c r="A152" s="120"/>
      <c r="B152" s="197"/>
      <c r="C152" s="198"/>
      <c r="D152" s="117"/>
      <c r="E152" s="54"/>
      <c r="F152" s="194"/>
      <c r="G152" s="195"/>
      <c r="H152" s="54"/>
      <c r="I152" s="54"/>
      <c r="J152" s="197"/>
      <c r="K152" s="119"/>
      <c r="L152" s="121"/>
    </row>
    <row r="153" spans="1:12" x14ac:dyDescent="0.2">
      <c r="A153" s="120"/>
      <c r="B153" s="194"/>
      <c r="C153" s="54"/>
      <c r="D153" s="54"/>
      <c r="E153" s="54"/>
      <c r="F153" s="197"/>
      <c r="G153" s="198"/>
      <c r="H153" s="195"/>
      <c r="I153" s="54"/>
      <c r="J153" s="197"/>
      <c r="K153" s="198"/>
      <c r="L153" s="121"/>
    </row>
    <row r="154" spans="1:12" x14ac:dyDescent="0.2">
      <c r="A154" s="120"/>
      <c r="B154" s="194"/>
      <c r="C154" s="54"/>
      <c r="D154" s="54"/>
      <c r="E154" s="54"/>
      <c r="F154" s="54"/>
      <c r="G154" s="54"/>
      <c r="H154" s="54"/>
      <c r="I154" s="54"/>
      <c r="J154" s="124"/>
      <c r="K154" s="54"/>
      <c r="L154" s="55"/>
    </row>
    <row r="155" spans="1:12" x14ac:dyDescent="0.2">
      <c r="A155" s="120"/>
      <c r="B155" s="194"/>
      <c r="C155" s="54"/>
      <c r="D155" s="54"/>
      <c r="E155" s="54"/>
      <c r="F155" s="197"/>
      <c r="G155" s="194"/>
      <c r="H155" s="116"/>
      <c r="I155" s="119"/>
      <c r="J155" s="117"/>
      <c r="K155" s="54"/>
      <c r="L155" s="178"/>
    </row>
    <row r="156" spans="1:12" x14ac:dyDescent="0.2">
      <c r="A156" s="120"/>
      <c r="B156" s="194"/>
      <c r="C156" s="141"/>
      <c r="D156" s="117"/>
      <c r="E156" s="54"/>
      <c r="F156" s="197"/>
      <c r="G156" s="198"/>
      <c r="H156" s="54"/>
      <c r="I156" s="54"/>
      <c r="J156" s="54"/>
      <c r="K156" s="54"/>
      <c r="L156" s="55"/>
    </row>
    <row r="157" spans="1:12" x14ac:dyDescent="0.2">
      <c r="A157" s="120"/>
      <c r="B157" s="194"/>
      <c r="C157" s="141"/>
      <c r="D157" s="117"/>
      <c r="E157" s="54"/>
      <c r="F157" s="197"/>
      <c r="G157" s="198"/>
      <c r="H157" s="54"/>
      <c r="I157" s="54"/>
      <c r="J157" s="54"/>
      <c r="K157" s="54"/>
      <c r="L157" s="55"/>
    </row>
    <row r="158" spans="1:12" x14ac:dyDescent="0.2">
      <c r="A158" s="120"/>
      <c r="B158" s="194"/>
      <c r="C158" s="141"/>
      <c r="D158" s="117"/>
      <c r="E158" s="54"/>
      <c r="F158" s="197"/>
      <c r="G158" s="198"/>
      <c r="H158" s="54"/>
      <c r="I158" s="54"/>
      <c r="J158" s="54"/>
      <c r="K158" s="54"/>
      <c r="L158" s="55"/>
    </row>
    <row r="159" spans="1:12" x14ac:dyDescent="0.2">
      <c r="A159" s="120"/>
      <c r="B159" s="194"/>
      <c r="C159" s="141"/>
      <c r="D159" s="117"/>
      <c r="E159" s="54"/>
      <c r="F159" s="197"/>
      <c r="G159" s="198"/>
      <c r="H159" s="54"/>
      <c r="I159" s="54"/>
      <c r="J159" s="54"/>
      <c r="K159" s="54"/>
      <c r="L159" s="55"/>
    </row>
    <row r="160" spans="1:12" x14ac:dyDescent="0.2">
      <c r="A160" s="120"/>
      <c r="B160" s="194"/>
      <c r="C160" s="141"/>
      <c r="D160" s="117"/>
      <c r="E160" s="54"/>
      <c r="F160" s="197"/>
      <c r="G160" s="198"/>
      <c r="H160" s="54"/>
      <c r="I160" s="54"/>
      <c r="J160" s="54"/>
      <c r="K160" s="54"/>
      <c r="L160" s="55"/>
    </row>
    <row r="161" spans="1:12" x14ac:dyDescent="0.2">
      <c r="A161" s="120"/>
      <c r="B161" s="194"/>
      <c r="C161" s="141"/>
      <c r="D161" s="117"/>
      <c r="E161" s="54"/>
      <c r="F161" s="197"/>
      <c r="G161" s="198"/>
      <c r="H161" s="54"/>
      <c r="I161" s="54"/>
      <c r="J161" s="54"/>
      <c r="K161" s="54"/>
      <c r="L161" s="55"/>
    </row>
    <row r="162" spans="1:12" x14ac:dyDescent="0.2">
      <c r="A162" s="120"/>
      <c r="B162" s="194"/>
      <c r="C162" s="141"/>
      <c r="D162" s="117"/>
      <c r="E162" s="54"/>
      <c r="F162" s="197"/>
      <c r="G162" s="198"/>
      <c r="H162" s="54"/>
      <c r="I162" s="54"/>
      <c r="J162" s="54"/>
      <c r="K162" s="54"/>
      <c r="L162" s="55"/>
    </row>
    <row r="163" spans="1:12" x14ac:dyDescent="0.2">
      <c r="A163" s="120"/>
      <c r="B163" s="194"/>
      <c r="C163" s="141"/>
      <c r="D163" s="117"/>
      <c r="E163" s="54"/>
      <c r="F163" s="197"/>
      <c r="G163" s="198"/>
      <c r="H163" s="54"/>
      <c r="I163" s="54"/>
      <c r="J163" s="54"/>
      <c r="K163" s="54"/>
      <c r="L163" s="55"/>
    </row>
    <row r="164" spans="1:12" x14ac:dyDescent="0.2">
      <c r="A164" s="120"/>
      <c r="B164" s="194"/>
      <c r="C164" s="141"/>
      <c r="D164" s="117"/>
      <c r="E164" s="54"/>
      <c r="F164" s="197"/>
      <c r="G164" s="198"/>
      <c r="H164" s="54"/>
      <c r="I164" s="54"/>
      <c r="J164" s="54"/>
      <c r="K164" s="54"/>
      <c r="L164" s="55"/>
    </row>
    <row r="165" spans="1:12" x14ac:dyDescent="0.2">
      <c r="A165" s="120"/>
      <c r="B165" s="194"/>
      <c r="C165" s="141"/>
      <c r="D165" s="117"/>
      <c r="E165" s="54"/>
      <c r="F165" s="197"/>
      <c r="G165" s="198"/>
      <c r="H165" s="54"/>
      <c r="I165" s="54"/>
      <c r="J165" s="54"/>
      <c r="K165" s="54"/>
      <c r="L165" s="55"/>
    </row>
    <row r="166" spans="1:12" x14ac:dyDescent="0.2">
      <c r="A166" s="120"/>
      <c r="B166" s="194"/>
      <c r="C166" s="141"/>
      <c r="D166" s="117"/>
      <c r="E166" s="54"/>
      <c r="F166" s="197"/>
      <c r="G166" s="198"/>
      <c r="H166" s="54"/>
      <c r="I166" s="54"/>
      <c r="J166" s="54"/>
      <c r="K166" s="54"/>
      <c r="L166" s="55"/>
    </row>
    <row r="167" spans="1:12" x14ac:dyDescent="0.2">
      <c r="A167" s="120"/>
      <c r="B167" s="194"/>
      <c r="C167" s="141"/>
      <c r="D167" s="117"/>
      <c r="E167" s="54"/>
      <c r="F167" s="197"/>
      <c r="G167" s="198"/>
      <c r="H167" s="54"/>
      <c r="I167" s="54"/>
      <c r="J167" s="54"/>
      <c r="K167" s="54"/>
      <c r="L167" s="55"/>
    </row>
    <row r="168" spans="1:12" x14ac:dyDescent="0.2">
      <c r="A168" s="120"/>
      <c r="B168" s="194"/>
      <c r="C168" s="141"/>
      <c r="D168" s="117"/>
      <c r="E168" s="54"/>
      <c r="F168" s="197"/>
      <c r="G168" s="198"/>
      <c r="H168" s="54"/>
      <c r="I168" s="54"/>
      <c r="J168" s="54"/>
      <c r="K168" s="54"/>
      <c r="L168" s="55"/>
    </row>
    <row r="169" spans="1:12" x14ac:dyDescent="0.2">
      <c r="A169" s="120"/>
      <c r="B169" s="194"/>
      <c r="C169" s="141"/>
      <c r="D169" s="117"/>
      <c r="E169" s="54"/>
      <c r="F169" s="197"/>
      <c r="G169" s="198"/>
      <c r="H169" s="54"/>
      <c r="I169" s="54"/>
      <c r="J169" s="54"/>
      <c r="K169" s="54"/>
      <c r="L169" s="55"/>
    </row>
    <row r="170" spans="1:12" x14ac:dyDescent="0.2">
      <c r="A170" s="120"/>
      <c r="B170" s="194"/>
      <c r="C170" s="141"/>
      <c r="D170" s="117"/>
      <c r="E170" s="54"/>
      <c r="F170" s="197"/>
      <c r="G170" s="198"/>
      <c r="H170" s="54"/>
      <c r="I170" s="54"/>
      <c r="J170" s="54"/>
      <c r="K170" s="54"/>
      <c r="L170" s="55"/>
    </row>
    <row r="171" spans="1:12" x14ac:dyDescent="0.2">
      <c r="A171" s="120"/>
      <c r="B171" s="194"/>
      <c r="C171" s="141"/>
      <c r="D171" s="117"/>
      <c r="E171" s="54"/>
      <c r="F171" s="197"/>
      <c r="G171" s="198"/>
      <c r="H171" s="54"/>
      <c r="I171" s="54"/>
      <c r="J171" s="54"/>
      <c r="K171" s="54"/>
      <c r="L171" s="55"/>
    </row>
    <row r="172" spans="1:12" x14ac:dyDescent="0.2">
      <c r="A172" s="120"/>
      <c r="B172" s="197"/>
      <c r="C172" s="119"/>
      <c r="D172" s="117"/>
      <c r="E172" s="54"/>
      <c r="H172" s="54"/>
      <c r="I172" s="54"/>
      <c r="J172" s="54"/>
      <c r="K172" s="54"/>
      <c r="L172" s="55"/>
    </row>
    <row r="173" spans="1:12" x14ac:dyDescent="0.2">
      <c r="A173" s="120"/>
      <c r="B173" s="194"/>
      <c r="C173" s="54"/>
      <c r="D173" s="54"/>
      <c r="E173" s="54"/>
      <c r="F173" s="54"/>
      <c r="G173" s="54"/>
      <c r="H173" s="54"/>
      <c r="I173" s="54"/>
      <c r="J173" s="54"/>
      <c r="K173" s="54"/>
      <c r="L173" s="55"/>
    </row>
    <row r="174" spans="1:12" x14ac:dyDescent="0.2">
      <c r="A174" s="120"/>
      <c r="B174" s="194"/>
      <c r="C174" s="141"/>
      <c r="D174" s="117"/>
      <c r="E174" s="54"/>
      <c r="F174" s="54"/>
      <c r="G174" s="54"/>
      <c r="H174" s="54"/>
      <c r="I174" s="54"/>
      <c r="J174" s="54"/>
      <c r="K174" s="54"/>
      <c r="L174" s="55"/>
    </row>
    <row r="175" spans="1:12" x14ac:dyDescent="0.2">
      <c r="A175" s="120"/>
      <c r="B175" s="194"/>
      <c r="C175" s="141"/>
      <c r="D175" s="117"/>
      <c r="E175" s="54"/>
      <c r="F175" s="54"/>
      <c r="G175" s="54"/>
      <c r="H175" s="54"/>
      <c r="I175" s="54"/>
      <c r="J175" s="54"/>
      <c r="K175" s="54"/>
      <c r="L175" s="55"/>
    </row>
    <row r="176" spans="1:12" x14ac:dyDescent="0.2">
      <c r="A176" s="120"/>
      <c r="B176" s="194"/>
      <c r="C176" s="141"/>
      <c r="D176" s="117"/>
      <c r="E176" s="54"/>
      <c r="F176" s="54"/>
      <c r="G176" s="54"/>
      <c r="H176" s="54"/>
      <c r="I176" s="54"/>
      <c r="J176" s="54"/>
      <c r="K176" s="54"/>
      <c r="L176" s="55"/>
    </row>
    <row r="177" spans="1:12" x14ac:dyDescent="0.2">
      <c r="A177" s="120"/>
      <c r="B177" s="194"/>
      <c r="C177" s="141"/>
      <c r="D177" s="117"/>
      <c r="E177" s="54"/>
      <c r="F177" s="54"/>
      <c r="G177" s="54"/>
      <c r="H177" s="54"/>
      <c r="I177" s="54"/>
      <c r="J177" s="54"/>
      <c r="K177" s="54"/>
      <c r="L177" s="55"/>
    </row>
    <row r="178" spans="1:12" x14ac:dyDescent="0.2">
      <c r="A178" s="120"/>
      <c r="B178" s="197"/>
      <c r="C178" s="119"/>
      <c r="D178" s="117"/>
      <c r="E178" s="54"/>
      <c r="F178" s="54"/>
      <c r="G178" s="179"/>
      <c r="H178" s="161"/>
      <c r="I178" s="119"/>
      <c r="J178" s="117"/>
      <c r="K178" s="54"/>
      <c r="L178" s="178"/>
    </row>
    <row r="179" spans="1:12" x14ac:dyDescent="0.2">
      <c r="A179" s="120"/>
      <c r="B179" s="194"/>
      <c r="C179" s="122"/>
      <c r="D179" s="54"/>
      <c r="E179" s="54"/>
      <c r="F179" s="54"/>
      <c r="G179" s="54"/>
      <c r="H179" s="197"/>
      <c r="I179" s="119"/>
      <c r="J179" s="117"/>
      <c r="K179" s="54"/>
      <c r="L179" s="178"/>
    </row>
    <row r="180" spans="1:12" x14ac:dyDescent="0.2">
      <c r="A180" s="120"/>
      <c r="B180" s="194"/>
      <c r="C180" s="141"/>
      <c r="D180" s="54"/>
      <c r="E180" s="54"/>
      <c r="F180" s="54"/>
      <c r="G180" s="54"/>
      <c r="H180" s="197"/>
      <c r="I180" s="119"/>
      <c r="J180" s="117"/>
      <c r="K180" s="54"/>
      <c r="L180" s="178"/>
    </row>
    <row r="181" spans="1:12" x14ac:dyDescent="0.2">
      <c r="A181" s="120"/>
      <c r="B181" s="194"/>
      <c r="C181" s="141"/>
      <c r="D181" s="54"/>
      <c r="E181" s="54"/>
      <c r="F181" s="54"/>
      <c r="G181" s="54"/>
      <c r="H181" s="197"/>
      <c r="I181" s="119"/>
      <c r="J181" s="117"/>
      <c r="K181" s="54"/>
      <c r="L181" s="178"/>
    </row>
    <row r="182" spans="1:12" x14ac:dyDescent="0.2">
      <c r="A182" s="120"/>
      <c r="B182" s="197"/>
      <c r="C182" s="119"/>
      <c r="D182" s="117"/>
      <c r="E182" s="54"/>
      <c r="F182" s="54"/>
      <c r="G182" s="54"/>
      <c r="H182" s="197"/>
      <c r="I182" s="119"/>
      <c r="J182" s="117"/>
      <c r="K182" s="54"/>
      <c r="L182" s="178"/>
    </row>
    <row r="183" spans="1:12" x14ac:dyDescent="0.2">
      <c r="A183" s="76"/>
      <c r="B183" s="198"/>
      <c r="C183" s="198"/>
      <c r="D183" s="198"/>
      <c r="E183" s="195"/>
      <c r="F183" s="198"/>
      <c r="G183" s="117"/>
      <c r="H183" s="198"/>
      <c r="I183" s="198"/>
      <c r="J183" s="198"/>
      <c r="K183" s="198"/>
      <c r="L183" s="77"/>
    </row>
    <row r="184" spans="1:12" x14ac:dyDescent="0.2">
      <c r="A184" s="76"/>
      <c r="B184" s="198"/>
      <c r="C184" s="198"/>
      <c r="D184" s="198"/>
      <c r="E184" s="195"/>
      <c r="F184" s="198"/>
      <c r="G184" s="117"/>
      <c r="H184" s="198"/>
      <c r="I184" s="198"/>
      <c r="J184" s="198"/>
      <c r="K184" s="198"/>
      <c r="L184" s="77"/>
    </row>
    <row r="185" spans="1:12" ht="12" thickBot="1" x14ac:dyDescent="0.25">
      <c r="A185" s="60"/>
      <c r="B185" s="61"/>
      <c r="C185" s="61"/>
      <c r="D185" s="61"/>
      <c r="E185" s="75"/>
      <c r="F185" s="61"/>
      <c r="G185" s="125"/>
      <c r="H185" s="61"/>
      <c r="I185" s="61"/>
      <c r="J185" s="61"/>
      <c r="K185" s="61"/>
      <c r="L185" s="62"/>
    </row>
  </sheetData>
  <mergeCells count="17">
    <mergeCell ref="A110:L110"/>
    <mergeCell ref="A120:L120"/>
    <mergeCell ref="A123:L123"/>
    <mergeCell ref="A143:L143"/>
    <mergeCell ref="A147:L147"/>
    <mergeCell ref="I107:K107"/>
    <mergeCell ref="A1:L1"/>
    <mergeCell ref="A9:L9"/>
    <mergeCell ref="A16:L16"/>
    <mergeCell ref="A32:L32"/>
    <mergeCell ref="E37:F37"/>
    <mergeCell ref="I51:K51"/>
    <mergeCell ref="A54:L54"/>
    <mergeCell ref="A64:L64"/>
    <mergeCell ref="A67:L67"/>
    <mergeCell ref="A88:L88"/>
    <mergeCell ref="E93:F93"/>
  </mergeCells>
  <printOptions horizontalCentered="1"/>
  <pageMargins left="0.25" right="0.25" top="0.25" bottom="0.25" header="0.05" footer="0.05"/>
  <pageSetup paperSize="10" scale="94" fitToHeight="4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863F-5EEA-AF4A-8CAC-BAB7E14775D6}">
  <sheetPr codeName="Sheet11">
    <tabColor rgb="FFFF0000"/>
    <pageSetUpPr fitToPage="1"/>
  </sheetPr>
  <dimension ref="A1:Y125"/>
  <sheetViews>
    <sheetView showGridLines="0" zoomScale="150" zoomScaleNormal="150" zoomScaleSheetLayoutView="160" zoomScalePageLayoutView="190" workbookViewId="0">
      <selection activeCell="O25" sqref="O25"/>
    </sheetView>
  </sheetViews>
  <sheetFormatPr baseColWidth="10" defaultColWidth="10.6640625" defaultRowHeight="11" x14ac:dyDescent="0.15"/>
  <cols>
    <col min="1" max="6" width="7.1640625" style="1" customWidth="1"/>
    <col min="7" max="7" width="6.83203125" style="1" customWidth="1"/>
    <col min="8" max="8" width="6.33203125" style="1" customWidth="1"/>
    <col min="9" max="9" width="7.1640625" style="1" customWidth="1"/>
    <col min="10" max="10" width="6.6640625" style="1" customWidth="1"/>
    <col min="11" max="11" width="7.1640625" style="1" customWidth="1"/>
    <col min="12" max="12" width="21.1640625" style="1" customWidth="1"/>
    <col min="13" max="13" width="10.6640625" style="1" customWidth="1"/>
    <col min="14" max="16384" width="10.6640625" style="1"/>
  </cols>
  <sheetData>
    <row r="1" spans="1:15" ht="18" customHeight="1" x14ac:dyDescent="0.15">
      <c r="A1" s="239" t="str">
        <f>CONCATENATE("WEB REINFORCEMENTS DESIGN (BEAM ", O1, ")")</f>
        <v>WEB REINFORCEMENTS DESIGN (BEAM 12103)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1"/>
      <c r="N1" s="1" t="s">
        <v>167</v>
      </c>
      <c r="O1" s="102">
        <v>12103</v>
      </c>
    </row>
    <row r="2" spans="1:15" ht="12.75" customHeight="1" x14ac:dyDescent="0.15">
      <c r="A2" s="76"/>
      <c r="B2" s="74"/>
      <c r="C2" s="74"/>
      <c r="D2" s="74"/>
      <c r="E2" s="74"/>
      <c r="F2" s="74"/>
      <c r="G2" s="74"/>
      <c r="H2" s="74"/>
      <c r="I2" s="54"/>
      <c r="J2" s="54"/>
      <c r="K2" s="54"/>
      <c r="L2" s="55"/>
      <c r="N2" s="1" t="s">
        <v>251</v>
      </c>
      <c r="O2" s="1">
        <v>210</v>
      </c>
    </row>
    <row r="3" spans="1:15" ht="12.75" customHeight="1" x14ac:dyDescent="0.15">
      <c r="A3" s="120"/>
      <c r="B3" s="106" t="s">
        <v>112</v>
      </c>
      <c r="C3" s="54" t="s">
        <v>110</v>
      </c>
      <c r="D3" s="54"/>
      <c r="E3" s="54"/>
      <c r="F3" s="54"/>
      <c r="G3" s="54"/>
      <c r="H3" s="54"/>
      <c r="I3" s="106" t="s">
        <v>1</v>
      </c>
      <c r="J3" s="54" t="s">
        <v>97</v>
      </c>
      <c r="K3" s="54"/>
      <c r="L3" s="55"/>
    </row>
    <row r="4" spans="1:15" ht="12.75" customHeight="1" x14ac:dyDescent="0.15">
      <c r="A4" s="120"/>
      <c r="B4" s="106" t="s">
        <v>113</v>
      </c>
      <c r="C4" s="54" t="s">
        <v>111</v>
      </c>
      <c r="D4" s="54"/>
      <c r="E4" s="54"/>
      <c r="F4" s="54"/>
      <c r="G4" s="54"/>
      <c r="H4" s="54"/>
      <c r="I4" s="106" t="s">
        <v>2</v>
      </c>
      <c r="J4" s="54" t="s">
        <v>98</v>
      </c>
      <c r="K4" s="54"/>
      <c r="L4" s="55"/>
    </row>
    <row r="5" spans="1:15" ht="12.75" customHeight="1" x14ac:dyDescent="0.15">
      <c r="A5" s="120"/>
      <c r="B5" s="106" t="s">
        <v>3</v>
      </c>
      <c r="C5" s="54" t="s">
        <v>99</v>
      </c>
      <c r="D5" s="54"/>
      <c r="E5" s="54"/>
      <c r="F5" s="54"/>
      <c r="G5" s="54"/>
      <c r="H5" s="54"/>
      <c r="I5" s="106" t="s">
        <v>114</v>
      </c>
      <c r="J5" s="54" t="s">
        <v>243</v>
      </c>
      <c r="K5" s="54"/>
      <c r="L5" s="55"/>
    </row>
    <row r="6" spans="1:15" ht="12.75" customHeight="1" x14ac:dyDescent="0.15">
      <c r="A6" s="120"/>
      <c r="B6" s="106" t="s">
        <v>4</v>
      </c>
      <c r="C6" s="54" t="s">
        <v>100</v>
      </c>
      <c r="D6" s="54"/>
      <c r="E6" s="54"/>
      <c r="F6" s="54"/>
      <c r="G6" s="54"/>
      <c r="H6" s="54"/>
      <c r="I6" s="106" t="s">
        <v>169</v>
      </c>
      <c r="J6" s="109">
        <f>O1</f>
        <v>12103</v>
      </c>
      <c r="K6" s="54"/>
      <c r="L6" s="55"/>
      <c r="N6" s="1" t="s">
        <v>188</v>
      </c>
      <c r="O6" s="1">
        <v>250</v>
      </c>
    </row>
    <row r="7" spans="1:15" ht="12.75" customHeight="1" thickBot="1" x14ac:dyDescent="0.2">
      <c r="A7" s="126"/>
      <c r="B7" s="128"/>
      <c r="C7" s="127"/>
      <c r="D7" s="127"/>
      <c r="E7" s="127"/>
      <c r="F7" s="127"/>
      <c r="G7" s="127"/>
      <c r="H7" s="127"/>
      <c r="I7" s="128"/>
      <c r="J7" s="127"/>
      <c r="K7" s="127"/>
      <c r="L7" s="133"/>
      <c r="N7" s="1" t="s">
        <v>187</v>
      </c>
      <c r="O7" s="1">
        <v>350</v>
      </c>
    </row>
    <row r="8" spans="1:15" ht="12.75" customHeight="1" thickBot="1" x14ac:dyDescent="0.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</row>
    <row r="9" spans="1:15" ht="18" customHeight="1" x14ac:dyDescent="0.15">
      <c r="A9" s="239" t="s">
        <v>48</v>
      </c>
      <c r="B9" s="240"/>
      <c r="C9" s="240"/>
      <c r="D9" s="240"/>
      <c r="E9" s="240"/>
      <c r="F9" s="240"/>
      <c r="G9" s="240"/>
      <c r="H9" s="240"/>
      <c r="I9" s="240"/>
      <c r="J9" s="240"/>
      <c r="K9" s="240"/>
      <c r="L9" s="241"/>
      <c r="N9" s="1" t="s">
        <v>275</v>
      </c>
    </row>
    <row r="10" spans="1:15" ht="12.75" customHeight="1" x14ac:dyDescent="0.15">
      <c r="A10" s="76"/>
      <c r="B10" s="74"/>
      <c r="C10" s="74"/>
      <c r="D10" s="74"/>
      <c r="E10" s="74"/>
      <c r="F10" s="74"/>
      <c r="G10" s="74"/>
      <c r="H10" s="74"/>
      <c r="I10" s="54"/>
      <c r="J10" s="54"/>
      <c r="K10" s="54"/>
      <c r="L10" s="55"/>
      <c r="N10" s="1" t="s">
        <v>276</v>
      </c>
      <c r="O10" s="100" t="str">
        <f>IF(K47="Stirrups are needed.", "0", "1")</f>
        <v>0</v>
      </c>
    </row>
    <row r="11" spans="1:15" ht="12.75" customHeight="1" x14ac:dyDescent="0.15">
      <c r="A11" s="28" t="s">
        <v>16</v>
      </c>
      <c r="B11" s="134">
        <v>20.7</v>
      </c>
      <c r="C11" s="54" t="s">
        <v>5</v>
      </c>
      <c r="D11" s="54" t="s">
        <v>6</v>
      </c>
      <c r="E11" s="54"/>
      <c r="F11" s="54"/>
      <c r="G11" s="54"/>
      <c r="H11" s="108" t="s">
        <v>246</v>
      </c>
      <c r="I11" s="135">
        <f>O2</f>
        <v>210</v>
      </c>
      <c r="J11" s="54" t="s">
        <v>237</v>
      </c>
      <c r="K11" s="54" t="s">
        <v>253</v>
      </c>
      <c r="L11" s="55"/>
      <c r="N11" s="1" t="s">
        <v>277</v>
      </c>
      <c r="O11" s="100" t="str">
        <f>IF(K52="Not satisfied!", "0", "1")</f>
        <v>0</v>
      </c>
    </row>
    <row r="12" spans="1:15" ht="12.75" customHeight="1" x14ac:dyDescent="0.15">
      <c r="A12" s="28" t="s">
        <v>254</v>
      </c>
      <c r="B12" s="134">
        <v>276</v>
      </c>
      <c r="C12" s="54" t="s">
        <v>5</v>
      </c>
      <c r="D12" s="54" t="s">
        <v>255</v>
      </c>
      <c r="E12" s="54"/>
      <c r="F12" s="54"/>
      <c r="G12" s="54"/>
      <c r="H12" s="108" t="s">
        <v>249</v>
      </c>
      <c r="I12" s="134">
        <v>0.75</v>
      </c>
      <c r="J12" s="54"/>
      <c r="K12" s="54" t="s">
        <v>250</v>
      </c>
      <c r="L12" s="55"/>
      <c r="N12" s="1" t="s">
        <v>278</v>
      </c>
      <c r="O12" s="100" t="str">
        <f>IF(K65="Not satisfied!", (IF(K68="Not satisfied!", "0", "1")), "1")</f>
        <v>0</v>
      </c>
    </row>
    <row r="13" spans="1:15" ht="12.75" customHeight="1" x14ac:dyDescent="0.15">
      <c r="A13" s="28"/>
      <c r="B13" s="107"/>
      <c r="C13" s="54"/>
      <c r="D13" s="54"/>
      <c r="E13" s="54"/>
      <c r="F13" s="54"/>
      <c r="G13" s="54"/>
      <c r="H13" s="108"/>
      <c r="I13" s="107"/>
      <c r="J13" s="54"/>
      <c r="K13" s="54"/>
      <c r="L13" s="55"/>
      <c r="N13" s="110" t="s">
        <v>279</v>
      </c>
      <c r="O13" s="100" t="str">
        <f>IF(K81="Not satisfied!", (IF(K84="Not satisfied!", "0", "1")), "1")</f>
        <v>1</v>
      </c>
    </row>
    <row r="14" spans="1:15" ht="12.75" customHeight="1" x14ac:dyDescent="0.15">
      <c r="A14" s="28" t="s">
        <v>244</v>
      </c>
      <c r="B14" s="109" t="s">
        <v>301</v>
      </c>
      <c r="C14" s="54"/>
      <c r="D14" s="54"/>
      <c r="E14" s="54"/>
      <c r="F14" s="54"/>
      <c r="G14" s="54"/>
      <c r="H14" s="108" t="s">
        <v>245</v>
      </c>
      <c r="I14" s="109" t="s">
        <v>303</v>
      </c>
      <c r="J14" s="54"/>
      <c r="K14" s="54"/>
      <c r="L14" s="55"/>
      <c r="N14" s="110" t="s">
        <v>280</v>
      </c>
      <c r="O14" s="100" t="str">
        <f>IF(K97="Not satisfied!", (IF(K100="Not satisfied!", "0", "1")), "1")</f>
        <v>1</v>
      </c>
    </row>
    <row r="15" spans="1:15" ht="12.75" customHeight="1" x14ac:dyDescent="0.15">
      <c r="A15" s="144" t="s">
        <v>302</v>
      </c>
      <c r="B15" s="118">
        <f>ROUNDUP((0.17*I20*I29*SQRT(B11)/1000),2)</f>
        <v>56.47</v>
      </c>
      <c r="C15" s="117" t="s">
        <v>237</v>
      </c>
      <c r="D15" s="54" t="s">
        <v>248</v>
      </c>
      <c r="E15" s="54"/>
      <c r="F15" s="54"/>
      <c r="G15" s="54"/>
      <c r="H15" s="106" t="s">
        <v>304</v>
      </c>
      <c r="I15" s="118">
        <f>ROUNDUP(((I11/I12)-B15),2)</f>
        <v>223.53</v>
      </c>
      <c r="J15" s="117" t="s">
        <v>237</v>
      </c>
      <c r="K15" s="54" t="s">
        <v>247</v>
      </c>
      <c r="L15" s="55"/>
      <c r="O15" s="100"/>
    </row>
    <row r="16" spans="1:15" ht="12.75" customHeight="1" thickBot="1" x14ac:dyDescent="0.2">
      <c r="A16" s="145"/>
      <c r="B16" s="146"/>
      <c r="C16" s="125"/>
      <c r="D16" s="127"/>
      <c r="E16" s="127"/>
      <c r="F16" s="127"/>
      <c r="G16" s="127"/>
      <c r="H16" s="128"/>
      <c r="I16" s="146"/>
      <c r="J16" s="125"/>
      <c r="K16" s="127"/>
      <c r="L16" s="133"/>
      <c r="O16" s="100"/>
    </row>
    <row r="17" spans="1:15" ht="12.75" customHeight="1" thickBot="1" x14ac:dyDescent="0.2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</row>
    <row r="18" spans="1:15" ht="18" customHeight="1" x14ac:dyDescent="0.15">
      <c r="A18" s="239" t="s">
        <v>189</v>
      </c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1"/>
    </row>
    <row r="19" spans="1:15" ht="12.75" customHeight="1" x14ac:dyDescent="0.15">
      <c r="A19" s="28"/>
      <c r="B19" s="116"/>
      <c r="C19" s="54"/>
      <c r="D19" s="54"/>
      <c r="E19" s="54"/>
      <c r="F19" s="54"/>
      <c r="G19" s="54"/>
      <c r="H19" s="54"/>
      <c r="I19" s="54"/>
      <c r="J19" s="54"/>
      <c r="K19" s="54"/>
      <c r="L19" s="55"/>
    </row>
    <row r="20" spans="1:15" ht="12.75" customHeight="1" x14ac:dyDescent="0.15">
      <c r="A20" s="28"/>
      <c r="B20" s="116"/>
      <c r="C20" s="54"/>
      <c r="D20" s="54"/>
      <c r="E20" s="54"/>
      <c r="F20" s="54"/>
      <c r="G20" s="54"/>
      <c r="H20" s="108" t="s">
        <v>71</v>
      </c>
      <c r="I20" s="134">
        <f>O6</f>
        <v>250</v>
      </c>
      <c r="J20" s="54" t="s">
        <v>29</v>
      </c>
      <c r="K20" s="54" t="s">
        <v>192</v>
      </c>
      <c r="L20" s="55"/>
    </row>
    <row r="21" spans="1:15" ht="12.75" customHeight="1" x14ac:dyDescent="0.15">
      <c r="A21" s="28"/>
      <c r="B21" s="107"/>
      <c r="C21" s="54"/>
      <c r="D21" s="54"/>
      <c r="E21" s="54"/>
      <c r="F21" s="54"/>
      <c r="G21" s="54"/>
      <c r="H21" s="108" t="s">
        <v>184</v>
      </c>
      <c r="I21" s="134">
        <f>O7</f>
        <v>350</v>
      </c>
      <c r="J21" s="54" t="s">
        <v>29</v>
      </c>
      <c r="K21" s="54" t="s">
        <v>196</v>
      </c>
      <c r="L21" s="55"/>
    </row>
    <row r="22" spans="1:15" ht="12.75" customHeight="1" x14ac:dyDescent="0.15">
      <c r="A22" s="28"/>
      <c r="B22" s="107"/>
      <c r="C22" s="54"/>
      <c r="D22" s="54"/>
      <c r="E22" s="54"/>
      <c r="F22" s="54"/>
      <c r="G22" s="54"/>
      <c r="H22" s="108" t="s">
        <v>51</v>
      </c>
      <c r="I22" s="134">
        <v>40</v>
      </c>
      <c r="J22" s="54" t="s">
        <v>29</v>
      </c>
      <c r="K22" s="54" t="s">
        <v>30</v>
      </c>
      <c r="L22" s="55"/>
    </row>
    <row r="23" spans="1:15" ht="12.75" customHeight="1" x14ac:dyDescent="0.15">
      <c r="A23" s="28"/>
      <c r="B23" s="107"/>
      <c r="C23" s="54"/>
      <c r="D23" s="54"/>
      <c r="E23" s="54"/>
      <c r="F23" s="54"/>
      <c r="G23" s="54"/>
      <c r="H23" s="108" t="s">
        <v>182</v>
      </c>
      <c r="I23" s="134">
        <v>16</v>
      </c>
      <c r="J23" s="54" t="s">
        <v>29</v>
      </c>
      <c r="K23" s="54" t="s">
        <v>80</v>
      </c>
      <c r="L23" s="55"/>
    </row>
    <row r="24" spans="1:15" ht="12.75" customHeight="1" x14ac:dyDescent="0.15">
      <c r="A24" s="28"/>
      <c r="B24" s="107"/>
      <c r="C24" s="54"/>
      <c r="D24" s="54"/>
      <c r="E24" s="54"/>
      <c r="F24" s="54"/>
      <c r="G24" s="54"/>
      <c r="H24" s="108" t="s">
        <v>193</v>
      </c>
      <c r="I24" s="134">
        <v>10</v>
      </c>
      <c r="J24" s="54" t="s">
        <v>29</v>
      </c>
      <c r="K24" s="54" t="s">
        <v>194</v>
      </c>
      <c r="L24" s="55"/>
      <c r="N24" s="6"/>
    </row>
    <row r="25" spans="1:15" ht="12.75" customHeight="1" x14ac:dyDescent="0.15">
      <c r="A25" s="28"/>
      <c r="B25" s="107"/>
      <c r="C25" s="54"/>
      <c r="D25" s="54"/>
      <c r="E25" s="54"/>
      <c r="F25" s="54"/>
      <c r="G25" s="54"/>
      <c r="H25" s="108"/>
      <c r="I25" s="107"/>
      <c r="J25" s="54"/>
      <c r="K25" s="54"/>
      <c r="L25" s="55"/>
      <c r="N25" s="6"/>
      <c r="O25" s="104"/>
    </row>
    <row r="26" spans="1:15" ht="12.75" customHeight="1" x14ac:dyDescent="0.15">
      <c r="A26" s="28"/>
      <c r="B26" s="107"/>
      <c r="C26" s="54"/>
      <c r="D26" s="54"/>
      <c r="E26" s="54"/>
      <c r="F26" s="54"/>
      <c r="G26" s="54"/>
      <c r="H26" s="116" t="s">
        <v>199</v>
      </c>
      <c r="I26" s="107"/>
      <c r="J26" s="54"/>
      <c r="K26" s="54"/>
      <c r="L26" s="55"/>
      <c r="M26" s="6"/>
    </row>
    <row r="27" spans="1:15" ht="12.75" customHeight="1" x14ac:dyDescent="0.15">
      <c r="A27" s="28"/>
      <c r="B27" s="107"/>
      <c r="C27" s="54"/>
      <c r="D27" s="54"/>
      <c r="E27" s="54"/>
      <c r="F27" s="54"/>
      <c r="G27" s="54"/>
      <c r="H27" s="108"/>
      <c r="I27" s="107"/>
      <c r="J27" s="54"/>
      <c r="K27" s="54"/>
      <c r="L27" s="55"/>
      <c r="N27" s="6"/>
    </row>
    <row r="28" spans="1:15" ht="12.75" customHeight="1" x14ac:dyDescent="0.15">
      <c r="A28" s="28"/>
      <c r="B28" s="107"/>
      <c r="C28" s="54"/>
      <c r="D28" s="54"/>
      <c r="E28" s="54"/>
      <c r="F28" s="54"/>
      <c r="G28" s="54"/>
      <c r="H28" s="108" t="s">
        <v>50</v>
      </c>
      <c r="I28" s="54" t="s">
        <v>195</v>
      </c>
      <c r="J28" s="54"/>
      <c r="K28" s="54"/>
      <c r="L28" s="55"/>
    </row>
    <row r="29" spans="1:15" ht="12.75" customHeight="1" x14ac:dyDescent="0.15">
      <c r="A29" s="147"/>
      <c r="B29" s="117"/>
      <c r="C29" s="117"/>
      <c r="D29" s="117"/>
      <c r="E29" s="117"/>
      <c r="F29" s="117"/>
      <c r="G29" s="117"/>
      <c r="H29" s="106" t="s">
        <v>50</v>
      </c>
      <c r="I29" s="74">
        <f>I21-I22-I24-(I23/2)</f>
        <v>292</v>
      </c>
      <c r="J29" s="117" t="s">
        <v>29</v>
      </c>
      <c r="K29" s="54"/>
      <c r="L29" s="121"/>
    </row>
    <row r="30" spans="1:15" ht="12.75" customHeight="1" x14ac:dyDescent="0.15">
      <c r="A30" s="147"/>
      <c r="B30" s="117"/>
      <c r="C30" s="117"/>
      <c r="D30" s="117"/>
      <c r="E30" s="117"/>
      <c r="F30" s="117"/>
      <c r="G30" s="117"/>
      <c r="H30" s="106"/>
      <c r="I30" s="74"/>
      <c r="J30" s="117"/>
      <c r="K30" s="54"/>
      <c r="L30" s="121"/>
    </row>
    <row r="31" spans="1:15" ht="12.75" customHeight="1" x14ac:dyDescent="0.15">
      <c r="A31" s="147"/>
      <c r="B31" s="117"/>
      <c r="C31" s="117"/>
      <c r="D31" s="117"/>
      <c r="E31" s="117"/>
      <c r="F31" s="117"/>
      <c r="G31" s="117"/>
      <c r="H31" s="116" t="s">
        <v>257</v>
      </c>
      <c r="I31" s="74"/>
      <c r="J31" s="117"/>
      <c r="K31" s="54"/>
      <c r="L31" s="121"/>
    </row>
    <row r="32" spans="1:15" ht="12.75" customHeight="1" x14ac:dyDescent="0.15">
      <c r="A32" s="147"/>
      <c r="B32" s="117"/>
      <c r="C32" s="117"/>
      <c r="D32" s="117"/>
      <c r="E32" s="117"/>
      <c r="F32" s="117"/>
      <c r="G32" s="117"/>
      <c r="H32" s="106"/>
      <c r="I32" s="74"/>
      <c r="J32" s="117"/>
      <c r="K32" s="54"/>
      <c r="L32" s="121"/>
    </row>
    <row r="33" spans="1:13" ht="12.75" customHeight="1" x14ac:dyDescent="0.15">
      <c r="A33" s="120"/>
      <c r="B33" s="54"/>
      <c r="C33" s="54"/>
      <c r="D33" s="54"/>
      <c r="E33" s="54"/>
      <c r="F33" s="54"/>
      <c r="G33" s="54"/>
      <c r="H33" s="108" t="s">
        <v>258</v>
      </c>
      <c r="I33" s="109" t="s">
        <v>259</v>
      </c>
      <c r="J33" s="54"/>
      <c r="K33" s="54"/>
      <c r="L33" s="55"/>
    </row>
    <row r="34" spans="1:13" ht="12.75" customHeight="1" x14ac:dyDescent="0.15">
      <c r="A34" s="120"/>
      <c r="B34" s="54"/>
      <c r="C34" s="54"/>
      <c r="D34" s="54"/>
      <c r="E34" s="54"/>
      <c r="F34" s="54"/>
      <c r="G34" s="54"/>
      <c r="H34" s="106" t="s">
        <v>260</v>
      </c>
      <c r="I34" s="119">
        <f>(0.25*PI()*2*I24*I24)</f>
        <v>157.07963267948966</v>
      </c>
      <c r="J34" s="117" t="s">
        <v>88</v>
      </c>
      <c r="K34" s="54"/>
      <c r="L34" s="55"/>
    </row>
    <row r="35" spans="1:13" ht="12.75" customHeight="1" thickBot="1" x14ac:dyDescent="0.2">
      <c r="A35" s="126"/>
      <c r="B35" s="127"/>
      <c r="C35" s="127"/>
      <c r="D35" s="127"/>
      <c r="E35" s="127"/>
      <c r="F35" s="127"/>
      <c r="G35" s="127"/>
      <c r="H35" s="23"/>
      <c r="I35" s="137"/>
      <c r="J35" s="127"/>
      <c r="K35" s="127"/>
      <c r="L35" s="133"/>
    </row>
    <row r="36" spans="1:13" ht="12.75" customHeight="1" thickBot="1" x14ac:dyDescent="0.2">
      <c r="A36" s="86"/>
      <c r="B36" s="86"/>
      <c r="C36" s="86"/>
      <c r="D36" s="86"/>
      <c r="E36" s="86"/>
      <c r="F36" s="86"/>
      <c r="G36" s="86"/>
      <c r="H36" s="139"/>
      <c r="I36" s="140"/>
      <c r="J36" s="140"/>
      <c r="K36" s="86"/>
      <c r="L36" s="86"/>
    </row>
    <row r="37" spans="1:13" ht="18" customHeight="1" x14ac:dyDescent="0.15">
      <c r="A37" s="239" t="s">
        <v>281</v>
      </c>
      <c r="B37" s="240"/>
      <c r="C37" s="240"/>
      <c r="D37" s="240"/>
      <c r="E37" s="240"/>
      <c r="F37" s="240"/>
      <c r="G37" s="240"/>
      <c r="H37" s="240"/>
      <c r="I37" s="240"/>
      <c r="J37" s="240"/>
      <c r="K37" s="240"/>
      <c r="L37" s="241"/>
    </row>
    <row r="38" spans="1:13" ht="12.75" customHeight="1" x14ac:dyDescent="0.15">
      <c r="A38" s="120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5"/>
    </row>
    <row r="39" spans="1:13" ht="12.75" customHeight="1" x14ac:dyDescent="0.15">
      <c r="A39" s="28" t="s">
        <v>246</v>
      </c>
      <c r="B39" s="134">
        <f>I11</f>
        <v>210</v>
      </c>
      <c r="C39" s="54" t="s">
        <v>237</v>
      </c>
      <c r="D39" s="54" t="s">
        <v>253</v>
      </c>
      <c r="E39" s="54"/>
      <c r="F39" s="54"/>
      <c r="G39" s="54"/>
      <c r="H39" s="108" t="s">
        <v>244</v>
      </c>
      <c r="I39" s="148">
        <f>B15</f>
        <v>56.47</v>
      </c>
      <c r="J39" s="54" t="s">
        <v>237</v>
      </c>
      <c r="K39" s="54" t="s">
        <v>248</v>
      </c>
      <c r="L39" s="55"/>
    </row>
    <row r="40" spans="1:13" ht="12.75" customHeight="1" x14ac:dyDescent="0.15">
      <c r="A40" s="28" t="s">
        <v>245</v>
      </c>
      <c r="B40" s="148">
        <f>I15</f>
        <v>223.53</v>
      </c>
      <c r="C40" s="54" t="s">
        <v>237</v>
      </c>
      <c r="D40" s="54" t="s">
        <v>247</v>
      </c>
      <c r="E40" s="54"/>
      <c r="F40" s="54"/>
      <c r="G40" s="54"/>
      <c r="H40" s="108" t="s">
        <v>249</v>
      </c>
      <c r="I40" s="134">
        <v>0.75</v>
      </c>
      <c r="J40" s="54"/>
      <c r="K40" s="54" t="s">
        <v>250</v>
      </c>
      <c r="L40" s="55"/>
    </row>
    <row r="41" spans="1:13" ht="12.75" customHeight="1" x14ac:dyDescent="0.15">
      <c r="A41" s="120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5"/>
    </row>
    <row r="42" spans="1:13" ht="12.75" customHeight="1" x14ac:dyDescent="0.15">
      <c r="A42" s="120"/>
      <c r="B42" s="117" t="s">
        <v>282</v>
      </c>
      <c r="C42" s="117"/>
      <c r="D42" s="54"/>
      <c r="E42" s="54"/>
      <c r="F42" s="54"/>
      <c r="G42" s="54"/>
      <c r="H42" s="54"/>
      <c r="I42" s="54"/>
      <c r="J42" s="54"/>
      <c r="K42" s="54"/>
      <c r="L42" s="55"/>
    </row>
    <row r="43" spans="1:13" ht="12.75" customHeight="1" x14ac:dyDescent="0.15">
      <c r="A43" s="120"/>
      <c r="B43" s="54"/>
      <c r="C43" s="116"/>
      <c r="D43" s="54"/>
      <c r="E43" s="54"/>
      <c r="F43" s="54"/>
      <c r="G43" s="54"/>
      <c r="H43" s="54"/>
      <c r="I43" s="54"/>
      <c r="J43" s="54"/>
      <c r="K43" s="54"/>
      <c r="L43" s="55"/>
    </row>
    <row r="44" spans="1:13" ht="12.75" customHeight="1" x14ac:dyDescent="0.15">
      <c r="A44" s="217" t="s">
        <v>290</v>
      </c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9"/>
      <c r="M44" s="34"/>
    </row>
    <row r="45" spans="1:13" ht="12.75" customHeight="1" x14ac:dyDescent="0.15">
      <c r="A45" s="149"/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1"/>
      <c r="M45" s="34"/>
    </row>
    <row r="46" spans="1:13" ht="12.75" customHeight="1" x14ac:dyDescent="0.15">
      <c r="A46" s="120"/>
      <c r="B46" s="108"/>
      <c r="C46" s="152"/>
      <c r="D46" s="54"/>
      <c r="E46" s="54"/>
      <c r="F46" s="255" t="s">
        <v>261</v>
      </c>
      <c r="G46" s="255"/>
      <c r="H46" s="255"/>
      <c r="I46" s="255"/>
      <c r="J46" s="54"/>
      <c r="K46" s="54"/>
      <c r="L46" s="55"/>
      <c r="M46" s="6"/>
    </row>
    <row r="47" spans="1:13" s="2" customFormat="1" ht="12.75" customHeight="1" x14ac:dyDescent="0.15">
      <c r="A47" s="147"/>
      <c r="B47" s="106"/>
      <c r="C47" s="117"/>
      <c r="D47" s="117"/>
      <c r="E47" s="117"/>
      <c r="F47" s="252" t="str">
        <f>IF(B39&gt;(I40*I39*0.5),(CONCATENATE(B39, " ",C39," &gt; ", ROUNDUP((I40*I39*0.5),2), " ", C39)),(CONCATENATE(B39, " ",C39," &lt; ", ROUNDUP((I40*I39*0.5),2), " ", C39)))</f>
        <v>210 KN &gt; 21.18 KN</v>
      </c>
      <c r="G47" s="252"/>
      <c r="H47" s="252"/>
      <c r="I47" s="252"/>
      <c r="J47" s="117"/>
      <c r="K47" s="153" t="str">
        <f>IF(B39&gt;I40*I39*0.5, "Stirrups are needed.", "No stirrups needed.")</f>
        <v>Stirrups are needed.</v>
      </c>
      <c r="L47" s="121"/>
      <c r="M47" s="36"/>
    </row>
    <row r="48" spans="1:13" ht="12.75" customHeight="1" x14ac:dyDescent="0.15">
      <c r="A48" s="120"/>
      <c r="B48" s="108"/>
      <c r="C48" s="54"/>
      <c r="D48" s="54"/>
      <c r="E48" s="54"/>
      <c r="F48" s="54"/>
      <c r="G48" s="54"/>
      <c r="H48" s="54"/>
      <c r="I48" s="54"/>
      <c r="J48" s="154"/>
      <c r="K48" s="54"/>
      <c r="L48" s="55"/>
      <c r="M48" s="103"/>
    </row>
    <row r="49" spans="1:25" ht="12.75" customHeight="1" x14ac:dyDescent="0.15">
      <c r="A49" s="223" t="s">
        <v>291</v>
      </c>
      <c r="B49" s="224"/>
      <c r="C49" s="224"/>
      <c r="D49" s="224"/>
      <c r="E49" s="224"/>
      <c r="F49" s="224"/>
      <c r="G49" s="224"/>
      <c r="H49" s="224"/>
      <c r="I49" s="224"/>
      <c r="J49" s="224"/>
      <c r="K49" s="224"/>
      <c r="L49" s="225"/>
      <c r="M49" s="6"/>
    </row>
    <row r="50" spans="1:25" ht="12.75" customHeight="1" x14ac:dyDescent="0.15">
      <c r="A50" s="76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7"/>
      <c r="M50" s="6"/>
    </row>
    <row r="51" spans="1:25" ht="12.75" customHeight="1" x14ac:dyDescent="0.15">
      <c r="A51" s="76"/>
      <c r="B51" s="74"/>
      <c r="C51" s="74"/>
      <c r="D51" s="74"/>
      <c r="E51" s="74"/>
      <c r="F51" s="213" t="s">
        <v>262</v>
      </c>
      <c r="G51" s="213"/>
      <c r="H51" s="213"/>
      <c r="I51" s="213"/>
      <c r="J51" s="154"/>
      <c r="K51" s="74"/>
      <c r="L51" s="77"/>
      <c r="M51" s="6"/>
    </row>
    <row r="52" spans="1:25" ht="12.75" customHeight="1" x14ac:dyDescent="0.15">
      <c r="A52" s="120"/>
      <c r="B52" s="108"/>
      <c r="C52" s="54"/>
      <c r="D52" s="54"/>
      <c r="E52" s="54"/>
      <c r="F52" s="252" t="str">
        <f>IF(I40*I39*0.5&lt;B39,(IF(B39&lt;I40*I39,(CONCATENATE(ROUNDUP((I40*I39*0.5),2), " ", C39," &lt; ",B39," ",C39," &lt; ",ROUNDUP((I40*I39),2)," ",C39)), (CONCATENATE(ROUNDUP((I40*I39*0.5),2), " ", C39," &lt; ",B39," ",C39," &gt; ",ROUNDUP((I40*I39),2)," ",C39)))),(CONCATENATE(ROUNDUP((I40*I39*0.5),2), " ", C39," &gt; ",B39," ",C39," &lt; ",ROUNDUP((I40*I39),2)," ",C39)))</f>
        <v>21.18 KN &lt; 210 KN &gt; 42.36 KN</v>
      </c>
      <c r="G52" s="252"/>
      <c r="H52" s="252"/>
      <c r="I52" s="252"/>
      <c r="J52" s="54"/>
      <c r="K52" s="153" t="str">
        <f>IF(K47="Stirrups are needed.", (IF(I40*I39*0.5&lt;B39, (IF(B39&gt;I40*I39, "Not Satisfied!", "Satisfied!")), "Not Satisfied!")), "")</f>
        <v>Not Satisfied!</v>
      </c>
      <c r="L52" s="55"/>
      <c r="M52" s="6"/>
    </row>
    <row r="53" spans="1:25" ht="12.75" customHeight="1" x14ac:dyDescent="0.15">
      <c r="A53" s="120"/>
      <c r="B53" s="106"/>
      <c r="C53" s="54"/>
      <c r="D53" s="74"/>
      <c r="E53" s="74"/>
      <c r="F53" s="106"/>
      <c r="G53" s="153"/>
      <c r="H53" s="54"/>
      <c r="I53" s="54"/>
      <c r="J53" s="54"/>
      <c r="K53" s="54"/>
      <c r="L53" s="55"/>
      <c r="M53" s="6"/>
      <c r="X53" s="6"/>
      <c r="Y53" s="6"/>
    </row>
    <row r="54" spans="1:25" ht="12.75" customHeight="1" x14ac:dyDescent="0.15">
      <c r="A54" s="144"/>
      <c r="B54" s="116" t="s">
        <v>289</v>
      </c>
      <c r="C54" s="74"/>
      <c r="D54" s="74"/>
      <c r="E54" s="106"/>
      <c r="F54" s="153"/>
      <c r="G54" s="54"/>
      <c r="H54" s="54"/>
      <c r="I54" s="54"/>
      <c r="J54" s="54"/>
      <c r="K54" s="54"/>
      <c r="L54" s="55"/>
      <c r="M54" s="6"/>
      <c r="X54" s="6"/>
      <c r="Y54" s="6"/>
    </row>
    <row r="55" spans="1:25" ht="12.75" customHeight="1" x14ac:dyDescent="0.15">
      <c r="A55" s="144"/>
      <c r="B55" s="116"/>
      <c r="C55" s="74"/>
      <c r="D55" s="74"/>
      <c r="E55" s="106"/>
      <c r="F55" s="153"/>
      <c r="G55" s="54"/>
      <c r="H55" s="54"/>
      <c r="I55" s="54"/>
      <c r="J55" s="54"/>
      <c r="K55" s="54"/>
      <c r="L55" s="55"/>
      <c r="M55" s="6"/>
      <c r="X55" s="6"/>
      <c r="Y55" s="6"/>
    </row>
    <row r="56" spans="1:25" s="84" customFormat="1" ht="12.75" customHeight="1" x14ac:dyDescent="0.15">
      <c r="A56" s="155"/>
      <c r="B56" s="116" t="s">
        <v>283</v>
      </c>
      <c r="C56" s="116"/>
      <c r="D56" s="116"/>
      <c r="E56" s="116" t="s">
        <v>78</v>
      </c>
      <c r="F56" s="156"/>
      <c r="G56" s="116"/>
      <c r="H56" s="116" t="s">
        <v>285</v>
      </c>
      <c r="I56" s="116"/>
      <c r="J56" s="116"/>
      <c r="K56" s="116" t="s">
        <v>297</v>
      </c>
      <c r="L56" s="157"/>
      <c r="M56" s="64"/>
      <c r="X56" s="64"/>
      <c r="Y56" s="64"/>
    </row>
    <row r="57" spans="1:25" ht="12.75" customHeight="1" x14ac:dyDescent="0.15">
      <c r="A57" s="144"/>
      <c r="B57" s="210" t="s">
        <v>90</v>
      </c>
      <c r="C57" s="107" t="s">
        <v>284</v>
      </c>
      <c r="D57" s="74"/>
      <c r="E57" s="210" t="s">
        <v>90</v>
      </c>
      <c r="F57" s="107" t="s">
        <v>284</v>
      </c>
      <c r="G57" s="54"/>
      <c r="H57" s="210" t="s">
        <v>90</v>
      </c>
      <c r="I57" s="200" t="s">
        <v>296</v>
      </c>
      <c r="J57" s="54"/>
      <c r="K57" s="210" t="s">
        <v>90</v>
      </c>
      <c r="L57" s="212" t="s">
        <v>298</v>
      </c>
      <c r="M57" s="6"/>
      <c r="X57" s="6"/>
      <c r="Y57" s="6"/>
    </row>
    <row r="58" spans="1:25" ht="12" customHeight="1" x14ac:dyDescent="0.15">
      <c r="A58" s="144"/>
      <c r="B58" s="210"/>
      <c r="C58" s="109" t="s">
        <v>287</v>
      </c>
      <c r="D58" s="74"/>
      <c r="E58" s="210"/>
      <c r="F58" s="107" t="s">
        <v>286</v>
      </c>
      <c r="G58" s="54"/>
      <c r="H58" s="210"/>
      <c r="I58" s="200"/>
      <c r="J58" s="54"/>
      <c r="K58" s="210"/>
      <c r="L58" s="212"/>
      <c r="M58" s="6"/>
      <c r="X58" s="6"/>
      <c r="Y58" s="6"/>
    </row>
    <row r="59" spans="1:25" ht="12.75" customHeight="1" x14ac:dyDescent="0.15">
      <c r="A59" s="28"/>
      <c r="B59" s="108" t="s">
        <v>90</v>
      </c>
      <c r="C59" s="158">
        <f>(I34*B12)/(0.062*I20*(SQRT(B11)))</f>
        <v>614.76918162887205</v>
      </c>
      <c r="D59" s="109" t="s">
        <v>29</v>
      </c>
      <c r="E59" s="108" t="s">
        <v>90</v>
      </c>
      <c r="F59" s="158">
        <f>(I34*B12)/(0.35*I20)</f>
        <v>495.47404136616171</v>
      </c>
      <c r="G59" s="54" t="s">
        <v>29</v>
      </c>
      <c r="H59" s="108" t="s">
        <v>90</v>
      </c>
      <c r="I59" s="158">
        <f>I29/2</f>
        <v>146</v>
      </c>
      <c r="J59" s="54" t="s">
        <v>29</v>
      </c>
      <c r="K59" s="54"/>
      <c r="L59" s="55"/>
      <c r="M59" s="6"/>
      <c r="X59" s="6"/>
      <c r="Y59" s="6"/>
    </row>
    <row r="60" spans="1:25" s="2" customFormat="1" ht="12.75" customHeight="1" x14ac:dyDescent="0.15">
      <c r="A60" s="144"/>
      <c r="B60" s="106" t="s">
        <v>96</v>
      </c>
      <c r="C60" s="138">
        <f>FLOOR(C59,5)</f>
        <v>610</v>
      </c>
      <c r="D60" s="116" t="s">
        <v>29</v>
      </c>
      <c r="E60" s="106" t="s">
        <v>96</v>
      </c>
      <c r="F60" s="138">
        <f>FLOOR(F59,5)</f>
        <v>495</v>
      </c>
      <c r="G60" s="116" t="s">
        <v>29</v>
      </c>
      <c r="H60" s="106" t="s">
        <v>96</v>
      </c>
      <c r="I60" s="138">
        <f>FLOOR(I59,5)</f>
        <v>145</v>
      </c>
      <c r="J60" s="116" t="s">
        <v>29</v>
      </c>
      <c r="K60" s="106" t="s">
        <v>96</v>
      </c>
      <c r="L60" s="121" t="s">
        <v>298</v>
      </c>
      <c r="M60" s="36"/>
      <c r="X60" s="36"/>
      <c r="Y60" s="36"/>
    </row>
    <row r="61" spans="1:25" ht="12.75" customHeight="1" x14ac:dyDescent="0.15">
      <c r="A61" s="120"/>
      <c r="B61" s="108"/>
      <c r="C61" s="123"/>
      <c r="D61" s="159"/>
      <c r="E61" s="54"/>
      <c r="F61" s="160"/>
      <c r="G61" s="153"/>
      <c r="H61" s="54"/>
      <c r="I61" s="123"/>
      <c r="J61" s="161"/>
      <c r="K61" s="159"/>
      <c r="L61" s="121"/>
      <c r="M61" s="6"/>
      <c r="X61" s="6"/>
      <c r="Y61" s="6"/>
    </row>
    <row r="62" spans="1:25" ht="12.75" customHeight="1" x14ac:dyDescent="0.15">
      <c r="A62" s="223" t="s">
        <v>292</v>
      </c>
      <c r="B62" s="224"/>
      <c r="C62" s="224"/>
      <c r="D62" s="224"/>
      <c r="E62" s="224"/>
      <c r="F62" s="224"/>
      <c r="G62" s="224"/>
      <c r="H62" s="224"/>
      <c r="I62" s="224"/>
      <c r="J62" s="224"/>
      <c r="K62" s="224"/>
      <c r="L62" s="225"/>
      <c r="M62" s="6"/>
      <c r="X62" s="6"/>
      <c r="Y62" s="6"/>
    </row>
    <row r="63" spans="1:25" ht="12.75" customHeight="1" x14ac:dyDescent="0.15">
      <c r="A63" s="76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7"/>
      <c r="M63" s="6"/>
      <c r="X63" s="6"/>
      <c r="Y63" s="6"/>
    </row>
    <row r="64" spans="1:25" ht="12.75" customHeight="1" x14ac:dyDescent="0.15">
      <c r="A64" s="76"/>
      <c r="B64" s="54"/>
      <c r="C64" s="54"/>
      <c r="D64" s="54"/>
      <c r="E64" s="109" t="s">
        <v>264</v>
      </c>
      <c r="F64" s="255" t="s">
        <v>265</v>
      </c>
      <c r="G64" s="255"/>
      <c r="H64" s="255"/>
      <c r="I64" s="255"/>
      <c r="J64" s="161"/>
      <c r="K64" s="54"/>
      <c r="L64" s="55"/>
      <c r="X64" s="6"/>
      <c r="Y64" s="6"/>
    </row>
    <row r="65" spans="1:25" ht="12.75" customHeight="1" x14ac:dyDescent="0.15">
      <c r="A65" s="76"/>
      <c r="B65" s="54"/>
      <c r="C65" s="54"/>
      <c r="D65" s="54"/>
      <c r="E65" s="108"/>
      <c r="F65" s="252" t="str">
        <f>IF(B40&lt;(0.33*I20*I29*SQRT(B11)/1000),CONCATENATE(B40," ",C40," &lt; ",ROUNDUP((0.33*I20*I29*SQRT(B11))/1000,2)," ",C40),CONCATENATE(B40," ",C40," &gt; ",ROUNDUP((0.33*I20*I29*SQRT(B11))/1000,2)," ",C40))</f>
        <v>223.53 KN &gt; 109.61 KN</v>
      </c>
      <c r="G65" s="252"/>
      <c r="H65" s="252"/>
      <c r="I65" s="252"/>
      <c r="J65" s="54"/>
      <c r="K65" s="153" t="str">
        <f>IF(K52="Not satisfied!", (IF(B40&gt;(0.33*I20*I29*SQRT(B11))/1000, "Not satisfied!", "Satisfied!")), "")</f>
        <v>Not satisfied!</v>
      </c>
      <c r="L65" s="55"/>
      <c r="X65" s="6"/>
      <c r="Y65" s="6"/>
    </row>
    <row r="66" spans="1:25" ht="12.75" customHeight="1" x14ac:dyDescent="0.15">
      <c r="A66" s="76"/>
      <c r="B66" s="54"/>
      <c r="C66" s="54"/>
      <c r="D66" s="54"/>
      <c r="E66" s="74"/>
      <c r="F66" s="74"/>
      <c r="G66" s="74"/>
      <c r="H66" s="74"/>
      <c r="I66" s="74"/>
      <c r="J66" s="54"/>
      <c r="K66" s="74"/>
      <c r="L66" s="55"/>
      <c r="X66" s="6"/>
      <c r="Y66" s="6"/>
    </row>
    <row r="67" spans="1:25" ht="12.75" customHeight="1" x14ac:dyDescent="0.15">
      <c r="A67" s="76"/>
      <c r="B67" s="54"/>
      <c r="C67" s="54"/>
      <c r="D67" s="54"/>
      <c r="E67" s="109" t="s">
        <v>268</v>
      </c>
      <c r="F67" s="213" t="s">
        <v>263</v>
      </c>
      <c r="G67" s="213"/>
      <c r="H67" s="213"/>
      <c r="I67" s="213"/>
      <c r="J67" s="54"/>
      <c r="K67" s="74"/>
      <c r="L67" s="55"/>
      <c r="X67" s="6"/>
      <c r="Y67" s="6"/>
    </row>
    <row r="68" spans="1:25" ht="12.75" customHeight="1" x14ac:dyDescent="0.15">
      <c r="A68" s="120"/>
      <c r="B68" s="54"/>
      <c r="C68" s="54"/>
      <c r="D68" s="54"/>
      <c r="E68" s="54"/>
      <c r="F68" s="252" t="str">
        <f>IF(B39&gt;(I40*I39*3), CONCATENATE(B39, " ",C39," &gt; ", ROUNDUP((I40*I39*3),2), " ", C39),CONCATENATE(B39, " ",C39," &lt; ", ROUNDUP((I40*I39*3),2), " ", C39))</f>
        <v>210 KN &gt; 127.06 KN</v>
      </c>
      <c r="G68" s="252"/>
      <c r="H68" s="252"/>
      <c r="I68" s="252"/>
      <c r="J68" s="54"/>
      <c r="K68" s="153" t="str">
        <f>IF(K52="Not satisfied!",IF(B39&gt;I39*I40*3,"Not satisfied!","Satisfied!"),"")</f>
        <v>Not satisfied!</v>
      </c>
      <c r="L68" s="55"/>
      <c r="X68" s="6"/>
      <c r="Y68" s="6"/>
    </row>
    <row r="69" spans="1:25" ht="12.75" customHeight="1" x14ac:dyDescent="0.15">
      <c r="A69" s="120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5"/>
      <c r="X69" s="6"/>
      <c r="Y69" s="6"/>
    </row>
    <row r="70" spans="1:25" ht="12.75" customHeight="1" x14ac:dyDescent="0.15">
      <c r="A70" s="120"/>
      <c r="B70" s="116" t="s">
        <v>289</v>
      </c>
      <c r="C70" s="74"/>
      <c r="D70" s="74"/>
      <c r="E70" s="106"/>
      <c r="F70" s="153"/>
      <c r="G70" s="54"/>
      <c r="H70" s="54"/>
      <c r="I70" s="54"/>
      <c r="J70" s="54"/>
      <c r="K70" s="54"/>
      <c r="L70" s="55"/>
      <c r="M70" s="6"/>
      <c r="X70" s="6"/>
      <c r="Y70" s="6"/>
    </row>
    <row r="71" spans="1:25" ht="12.75" customHeight="1" x14ac:dyDescent="0.15">
      <c r="A71" s="120"/>
      <c r="B71" s="116"/>
      <c r="C71" s="74"/>
      <c r="D71" s="74"/>
      <c r="E71" s="106"/>
      <c r="F71" s="153"/>
      <c r="G71" s="54"/>
      <c r="H71" s="54"/>
      <c r="I71" s="54"/>
      <c r="J71" s="54"/>
      <c r="K71" s="54"/>
      <c r="L71" s="55"/>
      <c r="M71" s="6"/>
      <c r="X71" s="6"/>
      <c r="Y71" s="6"/>
    </row>
    <row r="72" spans="1:25" s="2" customFormat="1" ht="12.75" customHeight="1" x14ac:dyDescent="0.15">
      <c r="A72" s="147"/>
      <c r="B72" s="116" t="s">
        <v>283</v>
      </c>
      <c r="C72" s="116"/>
      <c r="D72" s="116"/>
      <c r="E72" s="116" t="s">
        <v>78</v>
      </c>
      <c r="F72" s="156"/>
      <c r="G72" s="116"/>
      <c r="H72" s="116" t="s">
        <v>285</v>
      </c>
      <c r="I72" s="117"/>
      <c r="J72" s="117"/>
      <c r="K72" s="117" t="s">
        <v>288</v>
      </c>
      <c r="L72" s="121"/>
      <c r="M72" s="36"/>
      <c r="X72" s="36"/>
      <c r="Y72" s="36"/>
    </row>
    <row r="73" spans="1:25" ht="12.75" customHeight="1" x14ac:dyDescent="0.15">
      <c r="A73" s="120"/>
      <c r="B73" s="210" t="s">
        <v>90</v>
      </c>
      <c r="C73" s="107" t="s">
        <v>284</v>
      </c>
      <c r="D73" s="74"/>
      <c r="E73" s="210" t="s">
        <v>90</v>
      </c>
      <c r="F73" s="107" t="s">
        <v>284</v>
      </c>
      <c r="G73" s="54"/>
      <c r="H73" s="210" t="s">
        <v>90</v>
      </c>
      <c r="I73" s="200" t="s">
        <v>296</v>
      </c>
      <c r="J73" s="54"/>
      <c r="K73" s="210" t="s">
        <v>90</v>
      </c>
      <c r="L73" s="55" t="s">
        <v>284</v>
      </c>
      <c r="M73" s="6"/>
      <c r="X73" s="6"/>
      <c r="Y73" s="6"/>
    </row>
    <row r="74" spans="1:25" ht="12" customHeight="1" x14ac:dyDescent="0.15">
      <c r="A74" s="120"/>
      <c r="B74" s="210"/>
      <c r="C74" s="109" t="s">
        <v>287</v>
      </c>
      <c r="D74" s="74"/>
      <c r="E74" s="210"/>
      <c r="F74" s="107" t="s">
        <v>286</v>
      </c>
      <c r="G74" s="54"/>
      <c r="H74" s="210"/>
      <c r="I74" s="200"/>
      <c r="J74" s="54"/>
      <c r="K74" s="210"/>
      <c r="L74" s="55" t="s">
        <v>295</v>
      </c>
      <c r="M74" s="6"/>
      <c r="X74" s="6"/>
      <c r="Y74" s="6"/>
    </row>
    <row r="75" spans="1:25" ht="12.75" customHeight="1" x14ac:dyDescent="0.15">
      <c r="A75" s="120"/>
      <c r="B75" s="108" t="s">
        <v>90</v>
      </c>
      <c r="C75" s="158">
        <f>C59</f>
        <v>614.76918162887205</v>
      </c>
      <c r="D75" s="109" t="s">
        <v>29</v>
      </c>
      <c r="E75" s="108" t="s">
        <v>90</v>
      </c>
      <c r="F75" s="158">
        <f>F59</f>
        <v>495.47404136616171</v>
      </c>
      <c r="G75" s="54" t="s">
        <v>29</v>
      </c>
      <c r="H75" s="108" t="s">
        <v>90</v>
      </c>
      <c r="I75" s="158">
        <f>I59</f>
        <v>146</v>
      </c>
      <c r="J75" s="54" t="s">
        <v>29</v>
      </c>
      <c r="K75" s="108" t="str">
        <f>IF(B40=0, "","S =")</f>
        <v>S =</v>
      </c>
      <c r="L75" s="162" t="str">
        <f>IF(B40=0, "",(CONCATENATE("   ",ROUNDUP((I34*B12)/B40,2),"    mm")))</f>
        <v xml:space="preserve">   193.96    mm</v>
      </c>
      <c r="M75" s="6"/>
      <c r="X75" s="6"/>
      <c r="Y75" s="6"/>
    </row>
    <row r="76" spans="1:25" s="2" customFormat="1" ht="12.75" customHeight="1" x14ac:dyDescent="0.15">
      <c r="A76" s="147"/>
      <c r="B76" s="106" t="s">
        <v>96</v>
      </c>
      <c r="C76" s="138">
        <f>C60</f>
        <v>610</v>
      </c>
      <c r="D76" s="116" t="s">
        <v>29</v>
      </c>
      <c r="E76" s="106" t="s">
        <v>96</v>
      </c>
      <c r="F76" s="138">
        <f>F60</f>
        <v>495</v>
      </c>
      <c r="G76" s="116" t="s">
        <v>29</v>
      </c>
      <c r="H76" s="106" t="s">
        <v>96</v>
      </c>
      <c r="I76" s="138">
        <f>I60</f>
        <v>145</v>
      </c>
      <c r="J76" s="116" t="s">
        <v>29</v>
      </c>
      <c r="K76" s="106" t="str">
        <f>IF(B40=0, "","say S =")</f>
        <v>say S =</v>
      </c>
      <c r="L76" s="163" t="str">
        <f>IF(B40=0,"",(CONCATENATE("      ",FLOOR(((I34*B12)/B40),5),"       mm")))</f>
        <v xml:space="preserve">      190       mm</v>
      </c>
      <c r="M76" s="36"/>
      <c r="X76" s="36"/>
      <c r="Y76" s="36"/>
    </row>
    <row r="77" spans="1:25" ht="12.75" customHeight="1" x14ac:dyDescent="0.15">
      <c r="A77" s="120"/>
      <c r="B77" s="108"/>
      <c r="C77" s="123"/>
      <c r="D77" s="159"/>
      <c r="E77" s="54"/>
      <c r="F77" s="160"/>
      <c r="G77" s="153"/>
      <c r="H77" s="54"/>
      <c r="I77" s="123"/>
      <c r="J77" s="123"/>
      <c r="K77" s="159"/>
      <c r="L77" s="164"/>
      <c r="M77" s="6"/>
      <c r="X77" s="6"/>
      <c r="Y77" s="6"/>
    </row>
    <row r="78" spans="1:25" ht="12.75" customHeight="1" x14ac:dyDescent="0.15">
      <c r="A78" s="220" t="s">
        <v>293</v>
      </c>
      <c r="B78" s="221"/>
      <c r="C78" s="221"/>
      <c r="D78" s="221"/>
      <c r="E78" s="221"/>
      <c r="F78" s="221"/>
      <c r="G78" s="221"/>
      <c r="H78" s="221"/>
      <c r="I78" s="221"/>
      <c r="J78" s="221"/>
      <c r="K78" s="221"/>
      <c r="L78" s="222"/>
      <c r="M78" s="6"/>
      <c r="X78" s="6"/>
      <c r="Y78" s="6"/>
    </row>
    <row r="79" spans="1:25" ht="12.75" customHeight="1" x14ac:dyDescent="0.15">
      <c r="A79" s="76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7"/>
      <c r="M79" s="6"/>
      <c r="X79" s="6"/>
      <c r="Y79" s="6"/>
    </row>
    <row r="80" spans="1:25" ht="12.75" customHeight="1" x14ac:dyDescent="0.15">
      <c r="A80" s="120"/>
      <c r="B80" s="54"/>
      <c r="C80" s="54"/>
      <c r="D80" s="54"/>
      <c r="E80" s="109" t="s">
        <v>269</v>
      </c>
      <c r="F80" s="213" t="s">
        <v>266</v>
      </c>
      <c r="G80" s="213"/>
      <c r="H80" s="213"/>
      <c r="I80" s="213"/>
      <c r="J80" s="154"/>
      <c r="K80" s="54"/>
      <c r="L80" s="55"/>
      <c r="X80" s="6"/>
      <c r="Y80" s="6"/>
    </row>
    <row r="81" spans="1:25" ht="12.75" customHeight="1" x14ac:dyDescent="0.15">
      <c r="A81" s="120"/>
      <c r="B81" s="54"/>
      <c r="C81" s="54"/>
      <c r="D81" s="54"/>
      <c r="E81" s="106"/>
      <c r="F81" s="252" t="str">
        <f>IF(0.33*I20*I29*SQRT(B11)/1000&lt;B40,(IF((B40&lt;0.66*I20*I29*SQRT(B11)/1000), CONCATENATE((ROUNDUP((0.33*I20*I29*SQRT(B11))/1000,2)), " ", C39," &lt; ",B40," ",C39," &lt; ",(ROUNDUP((0.66*I20*I29*SQRT(B11))/1000,2))," ",C39), CONCATENATE((ROUNDUP((0.33*I20*I29*SQRT(B11))/1000,2)), " ", C39," &lt; ",B40," ",C39," &gt; ",(ROUNDUP((0.66*I20*I29*SQRT(B11))/1000,2))," ",C39))),CONCATENATE((ROUNDUP((0.33*I20*I29*SQRT(B11))/1000,2))," ",C39," &gt; ",B40," ",C39," &lt; ",(ROUNDUP((0.66*I20*I29*SQRT(B11))/1000,2))," ",C39))</f>
        <v>109.61 KN &lt; 223.53 KN &gt; 219.21 KN</v>
      </c>
      <c r="G81" s="252"/>
      <c r="H81" s="252"/>
      <c r="I81" s="252"/>
      <c r="J81" s="54"/>
      <c r="K81" s="153" t="str">
        <f>IF(K65="Not satisfied!", (IF(K68="Not satisfied!", (IF((0.33*I20*I29*SQRT(B11)/1000)&lt;B40, (IF((0.66*I20*I29*SQRT(B11)/1000)&gt;B40, "Satisfied!", "Not satisfied!")), "Not Satisfied!")), "")), "")</f>
        <v>Not satisfied!</v>
      </c>
      <c r="L81" s="55"/>
      <c r="X81" s="6"/>
      <c r="Y81" s="6"/>
    </row>
    <row r="82" spans="1:25" ht="12.75" customHeight="1" x14ac:dyDescent="0.15">
      <c r="A82" s="120"/>
      <c r="B82" s="54"/>
      <c r="C82" s="54"/>
      <c r="D82" s="54"/>
      <c r="E82" s="106"/>
      <c r="F82" s="54"/>
      <c r="G82" s="74"/>
      <c r="H82" s="117"/>
      <c r="I82" s="54"/>
      <c r="J82" s="153"/>
      <c r="K82" s="54"/>
      <c r="L82" s="55"/>
      <c r="X82" s="6"/>
      <c r="Y82" s="6"/>
    </row>
    <row r="83" spans="1:25" ht="12.75" customHeight="1" x14ac:dyDescent="0.15">
      <c r="A83" s="120"/>
      <c r="B83" s="54"/>
      <c r="C83" s="54"/>
      <c r="D83" s="54"/>
      <c r="E83" s="109" t="s">
        <v>270</v>
      </c>
      <c r="F83" s="213" t="s">
        <v>267</v>
      </c>
      <c r="G83" s="213"/>
      <c r="H83" s="213"/>
      <c r="I83" s="213"/>
      <c r="J83" s="153"/>
      <c r="K83" s="54"/>
      <c r="L83" s="55"/>
      <c r="X83" s="6"/>
      <c r="Y83" s="6"/>
    </row>
    <row r="84" spans="1:25" ht="12.75" customHeight="1" x14ac:dyDescent="0.15">
      <c r="A84" s="120"/>
      <c r="B84" s="54"/>
      <c r="C84" s="54"/>
      <c r="D84" s="54"/>
      <c r="E84" s="54"/>
      <c r="F84" s="252" t="str">
        <f>IF(3*I39*I40&lt;B39,(IF(B39&lt;5*I39*I40,(CONCATENATE( ROUNDUP((I40*I39*3),2), " ", C39," &lt; ", B39, " ",C39," &lt; ", ROUNDUP((I40*I39*5),2), " ", C39)), (CONCATENATE( ROUNDUP((I40*I39*3),2), " ", C39," &lt; ", B39, " ",C39," &gt; ", ROUNDUP((I40*I39*5),2), " ", C39)))), (CONCATENATE( ROUNDUP((I40*I39*3),2), " ", C39," &gt; ", B39, " ",C39," &lt; ", ROUNDUP((I40*I39*5),2), " ", C39)))</f>
        <v>127.06 KN &lt; 210 KN &lt; 211.77 KN</v>
      </c>
      <c r="G84" s="252"/>
      <c r="H84" s="252"/>
      <c r="I84" s="252"/>
      <c r="J84" s="153"/>
      <c r="K84" s="153" t="str">
        <f>IF(K65="Not satisfied!", (IF(K68="Not satisfied!", (IF(((I40*I39*3)&lt;B39), (IF(B39&gt;(I40*I39*5), "Not Satisfied!", "Satisfied!")), "Not Satisfied!")), "")), "")</f>
        <v>Satisfied!</v>
      </c>
      <c r="L84" s="55"/>
      <c r="X84" s="6"/>
      <c r="Y84" s="6"/>
    </row>
    <row r="85" spans="1:25" ht="12.75" customHeight="1" x14ac:dyDescent="0.15">
      <c r="A85" s="120"/>
      <c r="B85" s="106"/>
      <c r="C85" s="54"/>
      <c r="D85" s="74"/>
      <c r="E85" s="74"/>
      <c r="F85" s="106"/>
      <c r="G85" s="153"/>
      <c r="H85" s="54"/>
      <c r="I85" s="54"/>
      <c r="J85" s="54"/>
      <c r="K85" s="54"/>
      <c r="L85" s="55"/>
      <c r="M85" s="6"/>
      <c r="X85" s="6"/>
      <c r="Y85" s="6"/>
    </row>
    <row r="86" spans="1:25" ht="12.75" customHeight="1" x14ac:dyDescent="0.15">
      <c r="A86" s="120"/>
      <c r="B86" s="117" t="s">
        <v>289</v>
      </c>
      <c r="C86" s="54"/>
      <c r="D86" s="74"/>
      <c r="E86" s="74"/>
      <c r="F86" s="106"/>
      <c r="G86" s="153"/>
      <c r="H86" s="54"/>
      <c r="I86" s="54"/>
      <c r="J86" s="54"/>
      <c r="K86" s="54"/>
      <c r="L86" s="165"/>
      <c r="M86" s="6"/>
      <c r="X86" s="6"/>
      <c r="Y86" s="6"/>
    </row>
    <row r="87" spans="1:25" ht="12.75" customHeight="1" x14ac:dyDescent="0.15">
      <c r="A87" s="120"/>
      <c r="B87" s="117"/>
      <c r="C87" s="54"/>
      <c r="D87" s="74"/>
      <c r="E87" s="74"/>
      <c r="F87" s="106"/>
      <c r="G87" s="153"/>
      <c r="H87" s="54"/>
      <c r="I87" s="54"/>
      <c r="J87" s="54"/>
      <c r="K87" s="54"/>
      <c r="L87" s="55"/>
      <c r="M87" s="6"/>
      <c r="X87" s="6"/>
      <c r="Y87" s="6"/>
    </row>
    <row r="88" spans="1:25" s="2" customFormat="1" ht="12.75" customHeight="1" x14ac:dyDescent="0.15">
      <c r="A88" s="147"/>
      <c r="B88" s="116" t="s">
        <v>283</v>
      </c>
      <c r="C88" s="116"/>
      <c r="D88" s="116"/>
      <c r="E88" s="116" t="s">
        <v>78</v>
      </c>
      <c r="F88" s="156"/>
      <c r="G88" s="116"/>
      <c r="H88" s="116" t="s">
        <v>285</v>
      </c>
      <c r="I88" s="117"/>
      <c r="J88" s="116"/>
      <c r="K88" s="117"/>
      <c r="L88" s="121"/>
      <c r="M88" s="36"/>
      <c r="X88" s="36"/>
      <c r="Y88" s="36"/>
    </row>
    <row r="89" spans="1:25" ht="12.75" customHeight="1" x14ac:dyDescent="0.15">
      <c r="A89" s="120"/>
      <c r="B89" s="210" t="s">
        <v>90</v>
      </c>
      <c r="C89" s="107" t="s">
        <v>284</v>
      </c>
      <c r="D89" s="74"/>
      <c r="E89" s="210" t="s">
        <v>90</v>
      </c>
      <c r="F89" s="200" t="s">
        <v>299</v>
      </c>
      <c r="G89" s="54"/>
      <c r="H89" s="210" t="s">
        <v>90</v>
      </c>
      <c r="I89" s="213">
        <v>300</v>
      </c>
      <c r="J89" s="200" t="s">
        <v>29</v>
      </c>
      <c r="K89" s="54"/>
      <c r="L89" s="55"/>
      <c r="M89" s="6"/>
      <c r="X89" s="6"/>
      <c r="Y89" s="6"/>
    </row>
    <row r="90" spans="1:25" ht="12" customHeight="1" x14ac:dyDescent="0.15">
      <c r="A90" s="120"/>
      <c r="B90" s="210"/>
      <c r="C90" s="107" t="s">
        <v>252</v>
      </c>
      <c r="D90" s="74"/>
      <c r="E90" s="210"/>
      <c r="F90" s="200"/>
      <c r="G90" s="54"/>
      <c r="H90" s="210"/>
      <c r="I90" s="213"/>
      <c r="J90" s="200"/>
      <c r="K90" s="54"/>
      <c r="L90" s="55"/>
      <c r="M90" s="6"/>
      <c r="X90" s="6"/>
      <c r="Y90" s="6"/>
    </row>
    <row r="91" spans="1:25" ht="12.75" customHeight="1" x14ac:dyDescent="0.15">
      <c r="A91" s="120"/>
      <c r="B91" s="108" t="str">
        <f>IF(B40=0, "","S =")</f>
        <v>S =</v>
      </c>
      <c r="C91" s="158">
        <f>IF(B40=0,"",(ROUNDUP((I34*B12)/B40,2)))</f>
        <v>193.95999999999998</v>
      </c>
      <c r="D91" s="109" t="str">
        <f>IF(B40=0, "","mm")</f>
        <v>mm</v>
      </c>
      <c r="E91" s="108" t="s">
        <v>90</v>
      </c>
      <c r="F91" s="158">
        <f>I29/4</f>
        <v>73</v>
      </c>
      <c r="G91" s="54" t="s">
        <v>29</v>
      </c>
      <c r="H91" s="54"/>
      <c r="I91" s="54"/>
      <c r="J91" s="108"/>
      <c r="K91" s="158"/>
      <c r="L91" s="55"/>
      <c r="M91" s="6"/>
      <c r="X91" s="6"/>
      <c r="Y91" s="6"/>
    </row>
    <row r="92" spans="1:25" s="2" customFormat="1" ht="12.75" customHeight="1" x14ac:dyDescent="0.15">
      <c r="A92" s="147"/>
      <c r="B92" s="106" t="str">
        <f>IF(B40=0, "","say S =")</f>
        <v>say S =</v>
      </c>
      <c r="C92" s="138">
        <f>IF(B40=0,"",(FLOOR(C91,5)))</f>
        <v>190</v>
      </c>
      <c r="D92" s="116" t="str">
        <f>IF(B40=0, "","mm")</f>
        <v>mm</v>
      </c>
      <c r="E92" s="106" t="s">
        <v>96</v>
      </c>
      <c r="F92" s="138">
        <f>FLOOR(F91,5)</f>
        <v>70</v>
      </c>
      <c r="G92" s="117" t="s">
        <v>29</v>
      </c>
      <c r="H92" s="106" t="s">
        <v>96</v>
      </c>
      <c r="I92" s="74">
        <f>I89</f>
        <v>300</v>
      </c>
      <c r="J92" s="116" t="s">
        <v>29</v>
      </c>
      <c r="K92" s="118"/>
      <c r="L92" s="121"/>
      <c r="M92" s="36"/>
      <c r="X92" s="36"/>
      <c r="Y92" s="36"/>
    </row>
    <row r="93" spans="1:25" ht="12.75" customHeight="1" x14ac:dyDescent="0.15">
      <c r="A93" s="120"/>
      <c r="B93" s="108"/>
      <c r="C93" s="54"/>
      <c r="D93" s="54"/>
      <c r="E93" s="54"/>
      <c r="F93" s="54"/>
      <c r="G93" s="154"/>
      <c r="H93" s="54"/>
      <c r="I93" s="54"/>
      <c r="J93" s="106"/>
      <c r="K93" s="142"/>
      <c r="L93" s="166"/>
      <c r="M93" s="6"/>
      <c r="X93" s="6"/>
      <c r="Y93" s="6"/>
    </row>
    <row r="94" spans="1:25" ht="12.75" customHeight="1" x14ac:dyDescent="0.15">
      <c r="A94" s="220" t="s">
        <v>294</v>
      </c>
      <c r="B94" s="221"/>
      <c r="C94" s="221"/>
      <c r="D94" s="221"/>
      <c r="E94" s="221"/>
      <c r="F94" s="221"/>
      <c r="G94" s="221"/>
      <c r="H94" s="221"/>
      <c r="I94" s="221"/>
      <c r="J94" s="221"/>
      <c r="K94" s="221"/>
      <c r="L94" s="222"/>
      <c r="M94" s="6"/>
      <c r="X94" s="6"/>
      <c r="Y94" s="6"/>
    </row>
    <row r="95" spans="1:25" ht="12.75" customHeight="1" x14ac:dyDescent="0.15">
      <c r="A95" s="120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5"/>
      <c r="M95" s="6"/>
      <c r="X95" s="6"/>
      <c r="Y95" s="6"/>
    </row>
    <row r="96" spans="1:25" ht="12.75" customHeight="1" x14ac:dyDescent="0.15">
      <c r="A96" s="120"/>
      <c r="B96" s="54"/>
      <c r="C96" s="54"/>
      <c r="D96" s="54"/>
      <c r="E96" s="109" t="s">
        <v>274</v>
      </c>
      <c r="F96" s="213" t="s">
        <v>271</v>
      </c>
      <c r="G96" s="213"/>
      <c r="H96" s="213"/>
      <c r="I96" s="213"/>
      <c r="J96" s="154"/>
      <c r="K96" s="54"/>
      <c r="L96" s="55"/>
      <c r="M96" s="6"/>
      <c r="X96" s="6"/>
      <c r="Y96" s="6"/>
    </row>
    <row r="97" spans="1:25" ht="12.75" customHeight="1" x14ac:dyDescent="0.15">
      <c r="A97" s="120"/>
      <c r="B97" s="54"/>
      <c r="C97" s="54"/>
      <c r="D97" s="54"/>
      <c r="E97" s="109"/>
      <c r="F97" s="252" t="str">
        <f>IF(B40&gt;(0.66*I20*I29*SQRT(B11)/1000), CONCATENATE(B40," ",C39," &gt; ",(ROUNDUP((0.66*I20*I29*SQRT(B11))/1000,2))," ",C39), CONCATENATE(B40," ",C39," &lt; ",(ROUNDUP((0.66*I20*I29*SQRT(B11))/1000,2))," ",C39))</f>
        <v>223.53 KN &gt; 219.21 KN</v>
      </c>
      <c r="G97" s="252"/>
      <c r="H97" s="252"/>
      <c r="I97" s="252"/>
      <c r="J97" s="54"/>
      <c r="K97" s="153" t="str">
        <f>IF(K81="Not satisfied!", (IF(K84="Not satisfied!", (IF(B40&gt;((0.66*I20*I29*SQRT(B11)/1000)), "Satisfied!", "Not satisfied!")), "")), "")</f>
        <v/>
      </c>
      <c r="L97" s="167"/>
      <c r="M97" s="6"/>
      <c r="X97" s="6"/>
      <c r="Y97" s="6"/>
    </row>
    <row r="98" spans="1:25" ht="12.75" customHeight="1" x14ac:dyDescent="0.15">
      <c r="A98" s="120"/>
      <c r="B98" s="54"/>
      <c r="C98" s="54"/>
      <c r="D98" s="54"/>
      <c r="E98" s="109"/>
      <c r="F98" s="54"/>
      <c r="G98" s="74"/>
      <c r="H98" s="54"/>
      <c r="I98" s="54"/>
      <c r="J98" s="153"/>
      <c r="K98" s="54"/>
      <c r="L98" s="167"/>
      <c r="M98" s="6"/>
      <c r="X98" s="6"/>
      <c r="Y98" s="6"/>
    </row>
    <row r="99" spans="1:25" ht="12.75" customHeight="1" x14ac:dyDescent="0.15">
      <c r="A99" s="120"/>
      <c r="B99" s="54"/>
      <c r="C99" s="54"/>
      <c r="D99" s="54"/>
      <c r="E99" s="109" t="s">
        <v>273</v>
      </c>
      <c r="F99" s="253" t="s">
        <v>272</v>
      </c>
      <c r="G99" s="253"/>
      <c r="H99" s="253"/>
      <c r="I99" s="253"/>
      <c r="J99" s="153"/>
      <c r="K99" s="54"/>
      <c r="L99" s="167"/>
      <c r="M99" s="6"/>
      <c r="X99" s="6"/>
      <c r="Y99" s="6"/>
    </row>
    <row r="100" spans="1:25" ht="12.75" customHeight="1" x14ac:dyDescent="0.15">
      <c r="A100" s="120"/>
      <c r="B100" s="109"/>
      <c r="C100" s="54"/>
      <c r="D100" s="74"/>
      <c r="E100" s="54"/>
      <c r="F100" s="254" t="str">
        <f>IF(B39&gt;(I40*I39*5),CONCATENATE(B39, " ",C39," &gt; ", ROUNDUP((I40*I39*5),2), " ", C39), CONCATENATE(B39, " ",C39," &lt; ", ROUNDUP((I40*I39*5),2), " ", C39))</f>
        <v>210 KN &lt; 211.77 KN</v>
      </c>
      <c r="G100" s="254"/>
      <c r="H100" s="254"/>
      <c r="I100" s="254"/>
      <c r="J100" s="169"/>
      <c r="K100" s="153" t="str">
        <f>IF(K81="Not satisfied!", (IF(K84="Not satisfied!", (IF(B39&gt;(I40*I39*5), "Satisfied!", "Not satisfied!")), "")), "")</f>
        <v/>
      </c>
      <c r="L100" s="167"/>
      <c r="M100" s="6"/>
      <c r="X100" s="6"/>
      <c r="Y100" s="6"/>
    </row>
    <row r="101" spans="1:25" ht="12.75" customHeight="1" x14ac:dyDescent="0.15">
      <c r="A101" s="120"/>
      <c r="B101" s="109"/>
      <c r="C101" s="54"/>
      <c r="D101" s="74"/>
      <c r="E101" s="54"/>
      <c r="F101" s="54"/>
      <c r="G101" s="153"/>
      <c r="H101" s="54"/>
      <c r="I101" s="54"/>
      <c r="J101" s="106"/>
      <c r="K101" s="142"/>
      <c r="L101" s="167"/>
      <c r="M101" s="6"/>
      <c r="X101" s="6"/>
      <c r="Y101" s="6"/>
    </row>
    <row r="102" spans="1:25" s="2" customFormat="1" ht="12.75" customHeight="1" x14ac:dyDescent="0.15">
      <c r="A102" s="246" t="str">
        <f>IF(O10="0",(IF(O11="0", (IF(O12="0", (IF(O13="0", (IF(O14="1", "Beam is too small to accomodate shear reinforcements. Revise by increasing beam dimensions.", "")), CONCATENATE("Therefore, use ", I24, " mm diameter Stirrups spaced at ", MIN(C92,F92,I92), " mm O.C."))), CONCATENATE("Therefore, use ", I24, " mm diameter Stirrups spaced at ", MIN(I76,F76,C76,((I34*B12)/B40)), " mm O.C."))), CONCATENATE("Therefore, use ", I24, " mm diameter Stirrups spaced at ", MIN(C60,F60,I60,(600)), " mm O.C."))),"Therefore, stirrups are not needed.")</f>
        <v>Therefore, use 10 mm diameter Stirrups spaced at 70 mm O.C.</v>
      </c>
      <c r="B102" s="247"/>
      <c r="C102" s="247"/>
      <c r="D102" s="247"/>
      <c r="E102" s="247"/>
      <c r="F102" s="247"/>
      <c r="G102" s="247"/>
      <c r="H102" s="247"/>
      <c r="I102" s="247"/>
      <c r="J102" s="247"/>
      <c r="K102" s="247"/>
      <c r="L102" s="248"/>
      <c r="M102" s="6"/>
      <c r="X102" s="6"/>
      <c r="Y102" s="6"/>
    </row>
    <row r="103" spans="1:25" ht="12.75" customHeight="1" thickBot="1" x14ac:dyDescent="0.2">
      <c r="A103" s="170"/>
      <c r="B103" s="125"/>
      <c r="C103" s="125"/>
      <c r="D103" s="125"/>
      <c r="E103" s="128"/>
      <c r="F103" s="128"/>
      <c r="G103" s="128"/>
      <c r="H103" s="171"/>
      <c r="I103" s="127"/>
      <c r="J103" s="125"/>
      <c r="K103" s="127"/>
      <c r="L103" s="133"/>
      <c r="X103" s="6"/>
      <c r="Y103" s="6"/>
    </row>
    <row r="104" spans="1:25" ht="12" thickBo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25" ht="18" customHeight="1" thickBot="1" x14ac:dyDescent="0.2">
      <c r="A105" s="207" t="s">
        <v>107</v>
      </c>
      <c r="B105" s="208"/>
      <c r="C105" s="208"/>
      <c r="D105" s="208"/>
      <c r="E105" s="208"/>
      <c r="F105" s="208"/>
      <c r="G105" s="208"/>
      <c r="H105" s="208"/>
      <c r="I105" s="208"/>
      <c r="J105" s="208"/>
      <c r="K105" s="208"/>
      <c r="L105" s="209"/>
      <c r="X105" s="36"/>
      <c r="Y105" s="6"/>
    </row>
    <row r="106" spans="1:25" ht="12.75" customHeight="1" x14ac:dyDescent="0.1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13"/>
      <c r="X106" s="36"/>
      <c r="Y106" s="6"/>
    </row>
    <row r="107" spans="1:25" ht="12.75" customHeight="1" x14ac:dyDescent="0.15">
      <c r="A107" s="14"/>
      <c r="B107" s="36"/>
      <c r="C107" s="36"/>
      <c r="D107" s="36"/>
      <c r="E107" s="36"/>
      <c r="F107" s="36"/>
      <c r="G107" s="36"/>
      <c r="H107" s="36"/>
      <c r="I107" s="6"/>
      <c r="J107" s="36"/>
      <c r="K107" s="6"/>
      <c r="L107" s="13"/>
      <c r="X107" s="36"/>
      <c r="Y107" s="6"/>
    </row>
    <row r="108" spans="1:25" ht="12.75" customHeight="1" x14ac:dyDescent="0.1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13"/>
      <c r="X108" s="36"/>
      <c r="Y108" s="6"/>
    </row>
    <row r="109" spans="1:25" ht="12.75" customHeight="1" x14ac:dyDescent="0.15">
      <c r="A109" s="14"/>
      <c r="B109" s="101"/>
      <c r="C109" s="6"/>
      <c r="D109" s="6"/>
      <c r="E109" s="6"/>
      <c r="F109" s="99"/>
      <c r="G109" s="6"/>
      <c r="H109" s="6"/>
      <c r="I109" s="6"/>
      <c r="J109" s="101"/>
      <c r="K109" s="6"/>
      <c r="L109" s="13"/>
    </row>
    <row r="110" spans="1:25" ht="12.75" customHeight="1" x14ac:dyDescent="0.15">
      <c r="A110" s="14"/>
      <c r="B110" s="103"/>
      <c r="C110" s="98"/>
      <c r="D110" s="36"/>
      <c r="E110" s="6"/>
      <c r="F110" s="101"/>
      <c r="G110" s="81"/>
      <c r="H110" s="6"/>
      <c r="I110" s="6"/>
      <c r="J110" s="103"/>
      <c r="K110" s="41"/>
      <c r="L110" s="40"/>
    </row>
    <row r="111" spans="1:25" ht="12.75" customHeight="1" x14ac:dyDescent="0.15">
      <c r="A111" s="14"/>
      <c r="B111" s="101"/>
      <c r="C111" s="6"/>
      <c r="D111" s="6"/>
      <c r="E111" s="6"/>
      <c r="F111" s="103"/>
      <c r="G111" s="98"/>
      <c r="H111" s="81"/>
      <c r="I111" s="6"/>
      <c r="J111" s="103"/>
      <c r="K111" s="98"/>
      <c r="L111" s="40"/>
      <c r="M111" s="2"/>
    </row>
    <row r="112" spans="1:25" ht="12.75" customHeight="1" x14ac:dyDescent="0.15">
      <c r="A112" s="14"/>
      <c r="B112" s="101"/>
      <c r="C112" s="6"/>
      <c r="D112" s="6"/>
      <c r="E112" s="6"/>
      <c r="F112" s="6"/>
      <c r="G112" s="6"/>
      <c r="H112" s="6"/>
      <c r="I112" s="6"/>
      <c r="J112" s="64"/>
      <c r="K112" s="6"/>
      <c r="L112" s="13"/>
    </row>
    <row r="113" spans="1:12" ht="12.75" customHeight="1" x14ac:dyDescent="0.15">
      <c r="A113" s="14"/>
      <c r="B113" s="101"/>
      <c r="C113" s="6"/>
      <c r="D113" s="6"/>
      <c r="E113" s="6"/>
      <c r="F113" s="103"/>
      <c r="G113" s="101"/>
      <c r="H113" s="64"/>
      <c r="I113" s="41"/>
      <c r="J113" s="36"/>
      <c r="K113" s="6"/>
      <c r="L113" s="72"/>
    </row>
    <row r="114" spans="1:12" ht="12.75" customHeight="1" x14ac:dyDescent="0.15">
      <c r="A114" s="14"/>
      <c r="B114" s="101"/>
      <c r="C114" s="73"/>
      <c r="D114" s="36"/>
      <c r="E114" s="6"/>
      <c r="F114" s="103"/>
      <c r="G114" s="98"/>
      <c r="H114" s="6"/>
      <c r="I114" s="6"/>
      <c r="J114" s="6"/>
      <c r="K114" s="6"/>
      <c r="L114" s="13"/>
    </row>
    <row r="115" spans="1:12" ht="12.75" customHeight="1" x14ac:dyDescent="0.15">
      <c r="A115" s="14"/>
      <c r="B115" s="103"/>
      <c r="C115" s="41"/>
      <c r="D115" s="36"/>
      <c r="E115" s="6"/>
      <c r="F115" s="6"/>
      <c r="G115" s="6"/>
      <c r="H115" s="6"/>
      <c r="I115" s="6"/>
      <c r="J115" s="6"/>
      <c r="K115" s="6"/>
      <c r="L115" s="13"/>
    </row>
    <row r="116" spans="1:12" ht="12.75" customHeight="1" x14ac:dyDescent="0.15">
      <c r="A116" s="14"/>
      <c r="B116" s="101"/>
      <c r="C116" s="6"/>
      <c r="D116" s="6"/>
      <c r="E116" s="6"/>
      <c r="F116" s="6"/>
      <c r="G116" s="6"/>
      <c r="H116" s="6"/>
      <c r="I116" s="6"/>
      <c r="J116" s="6"/>
      <c r="K116" s="6"/>
      <c r="L116" s="13"/>
    </row>
    <row r="117" spans="1:12" ht="12.75" customHeight="1" x14ac:dyDescent="0.15">
      <c r="A117" s="14"/>
      <c r="B117" s="101"/>
      <c r="C117" s="73"/>
      <c r="D117" s="36"/>
      <c r="E117" s="6"/>
      <c r="F117" s="6"/>
      <c r="G117" s="6"/>
      <c r="H117" s="6"/>
      <c r="I117" s="6"/>
      <c r="J117" s="6"/>
      <c r="K117" s="6"/>
      <c r="L117" s="13"/>
    </row>
    <row r="118" spans="1:12" ht="12.75" customHeight="1" x14ac:dyDescent="0.15">
      <c r="A118" s="14"/>
      <c r="B118" s="103"/>
      <c r="C118" s="41"/>
      <c r="D118" s="36"/>
      <c r="E118" s="6"/>
      <c r="F118" s="6"/>
      <c r="G118" s="79"/>
      <c r="H118" s="78"/>
      <c r="I118" s="41"/>
      <c r="J118" s="36"/>
      <c r="K118" s="6"/>
      <c r="L118" s="72"/>
    </row>
    <row r="119" spans="1:12" ht="12.75" customHeight="1" x14ac:dyDescent="0.15">
      <c r="A119" s="14"/>
      <c r="B119" s="101"/>
      <c r="C119" s="63"/>
      <c r="D119" s="6"/>
      <c r="E119" s="6"/>
      <c r="F119" s="6"/>
      <c r="G119" s="6"/>
      <c r="H119" s="103"/>
      <c r="I119" s="41"/>
      <c r="J119" s="36"/>
      <c r="K119" s="6"/>
      <c r="L119" s="72"/>
    </row>
    <row r="120" spans="1:12" ht="12.75" customHeight="1" x14ac:dyDescent="0.15">
      <c r="A120" s="14"/>
      <c r="B120" s="101"/>
      <c r="C120" s="73"/>
      <c r="D120" s="6"/>
      <c r="E120" s="6"/>
      <c r="F120" s="6"/>
      <c r="G120" s="6"/>
      <c r="H120" s="202" t="str">
        <f>IF(O10="0",(IF(O11="0", (IF(O12="0", (IF(O13="0", (IF(O14="1", "Revise beam dimensions.", "")), CONCATENATE( I24, " mm diameter Stirrups"))), CONCATENATE(I24, " mm diameter Stirrups"))), CONCATENATE(I24, " mm diameter Stirrups"))),"")</f>
        <v>10 mm diameter Stirrups</v>
      </c>
      <c r="I120" s="202"/>
      <c r="J120" s="202"/>
      <c r="K120" s="6"/>
      <c r="L120" s="72"/>
    </row>
    <row r="121" spans="1:12" ht="12.75" customHeight="1" x14ac:dyDescent="0.15">
      <c r="A121" s="14"/>
      <c r="B121" s="101"/>
      <c r="C121" s="73"/>
      <c r="D121" s="6"/>
      <c r="E121" s="6"/>
      <c r="F121" s="6"/>
      <c r="G121" s="6"/>
      <c r="H121" s="201" t="str">
        <f>IF(O10="0",(IF(O11="0",(IF(O12="0",(IF(O13="0",(IF(O14="1","","")),CONCATENATE("spaced at ",MIN(C92,F92,I92)," mm O.C."))),CONCATENATE("spaced at ",MIN(I76,F76,C76,((I34*B12)/B40))," mm O.C."))),CONCATENATE("spaced at ",MIN(C60,F60,I60,(600))," mm O.C."))),"")</f>
        <v>spaced at 70 mm O.C.</v>
      </c>
      <c r="I121" s="201"/>
      <c r="J121" s="201"/>
      <c r="K121" s="6"/>
      <c r="L121" s="72"/>
    </row>
    <row r="122" spans="1:12" x14ac:dyDescent="0.15">
      <c r="A122" s="14"/>
      <c r="B122" s="103"/>
      <c r="C122" s="41"/>
      <c r="D122" s="36"/>
      <c r="E122" s="6"/>
      <c r="F122" s="6"/>
      <c r="G122" s="6"/>
      <c r="H122" s="200"/>
      <c r="I122" s="200"/>
      <c r="J122" s="200"/>
      <c r="K122" s="6"/>
      <c r="L122" s="72"/>
    </row>
    <row r="123" spans="1:12" x14ac:dyDescent="0.15">
      <c r="A123" s="76"/>
      <c r="B123" s="74"/>
      <c r="C123" s="74"/>
      <c r="D123" s="74"/>
      <c r="E123" s="105"/>
      <c r="F123" s="74"/>
      <c r="G123" s="36"/>
      <c r="H123" s="200" t="str">
        <f>CONCATENATE(I23, " mm diameter Main longitudinal bars")</f>
        <v>16 mm diameter Main longitudinal bars</v>
      </c>
      <c r="I123" s="200"/>
      <c r="J123" s="200"/>
      <c r="K123" s="200"/>
      <c r="L123" s="77"/>
    </row>
    <row r="124" spans="1:12" ht="12" thickBot="1" x14ac:dyDescent="0.2">
      <c r="A124" s="60"/>
      <c r="B124" s="61"/>
      <c r="C124" s="61"/>
      <c r="D124" s="61"/>
      <c r="E124" s="75"/>
      <c r="F124" s="61"/>
      <c r="G124" s="38"/>
      <c r="H124" s="61"/>
      <c r="I124" s="61"/>
      <c r="J124" s="61"/>
      <c r="K124" s="61"/>
      <c r="L124" s="62"/>
    </row>
    <row r="125" spans="1:12" x14ac:dyDescent="0.15">
      <c r="A125" s="74"/>
      <c r="B125" s="74"/>
      <c r="C125" s="74"/>
      <c r="D125" s="74"/>
      <c r="E125" s="74"/>
      <c r="F125" s="74"/>
      <c r="G125" s="36"/>
      <c r="H125" s="74"/>
      <c r="I125" s="74"/>
      <c r="J125" s="74"/>
      <c r="K125" s="74"/>
      <c r="L125" s="74"/>
    </row>
  </sheetData>
  <mergeCells count="48">
    <mergeCell ref="F46:I46"/>
    <mergeCell ref="A1:L1"/>
    <mergeCell ref="A9:L9"/>
    <mergeCell ref="A18:L18"/>
    <mergeCell ref="A37:L37"/>
    <mergeCell ref="A44:L44"/>
    <mergeCell ref="F47:I47"/>
    <mergeCell ref="A49:L49"/>
    <mergeCell ref="F51:I51"/>
    <mergeCell ref="F52:I52"/>
    <mergeCell ref="B57:B58"/>
    <mergeCell ref="E57:E58"/>
    <mergeCell ref="H57:H58"/>
    <mergeCell ref="I57:I58"/>
    <mergeCell ref="K57:K58"/>
    <mergeCell ref="L57:L58"/>
    <mergeCell ref="B73:B74"/>
    <mergeCell ref="E73:E74"/>
    <mergeCell ref="H73:H74"/>
    <mergeCell ref="I73:I74"/>
    <mergeCell ref="K73:K74"/>
    <mergeCell ref="A62:L62"/>
    <mergeCell ref="F64:I64"/>
    <mergeCell ref="F65:I65"/>
    <mergeCell ref="F67:I67"/>
    <mergeCell ref="F68:I68"/>
    <mergeCell ref="H121:J121"/>
    <mergeCell ref="A78:L78"/>
    <mergeCell ref="F80:I80"/>
    <mergeCell ref="F81:I81"/>
    <mergeCell ref="F83:I83"/>
    <mergeCell ref="F84:I84"/>
    <mergeCell ref="H122:J122"/>
    <mergeCell ref="H123:K123"/>
    <mergeCell ref="J89:J90"/>
    <mergeCell ref="A94:L94"/>
    <mergeCell ref="F96:I96"/>
    <mergeCell ref="F97:I97"/>
    <mergeCell ref="F99:I99"/>
    <mergeCell ref="F100:I100"/>
    <mergeCell ref="B89:B90"/>
    <mergeCell ref="E89:E90"/>
    <mergeCell ref="F89:F90"/>
    <mergeCell ref="H89:H90"/>
    <mergeCell ref="I89:I90"/>
    <mergeCell ref="A102:L102"/>
    <mergeCell ref="A105:L105"/>
    <mergeCell ref="H120:J120"/>
  </mergeCells>
  <printOptions horizontalCentered="1"/>
  <pageMargins left="0.25" right="0.25" top="0.25" bottom="0.25" header="0.05" footer="0.05"/>
  <pageSetup paperSize="9" scale="94" fitToHeight="4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59A0-75F1-4541-A9EA-9F151918C744}">
  <sheetPr codeName="Sheet12">
    <tabColor rgb="FF4F0705"/>
  </sheetPr>
  <dimension ref="A1:Y100"/>
  <sheetViews>
    <sheetView showGridLines="0" view="pageBreakPreview" topLeftCell="A65" zoomScale="160" zoomScaleNormal="130" zoomScaleSheetLayoutView="160" zoomScalePageLayoutView="140" workbookViewId="0">
      <selection activeCell="N65" sqref="N65"/>
    </sheetView>
  </sheetViews>
  <sheetFormatPr baseColWidth="10" defaultColWidth="10.6640625" defaultRowHeight="11" x14ac:dyDescent="0.2"/>
  <cols>
    <col min="1" max="6" width="7.1640625" style="86" customWidth="1"/>
    <col min="7" max="7" width="6.83203125" style="86" customWidth="1"/>
    <col min="8" max="8" width="6.33203125" style="86" customWidth="1"/>
    <col min="9" max="9" width="7.1640625" style="86" customWidth="1"/>
    <col min="10" max="10" width="6.6640625" style="86" customWidth="1"/>
    <col min="11" max="11" width="7.1640625" style="86" customWidth="1"/>
    <col min="12" max="12" width="21.1640625" style="86" customWidth="1"/>
    <col min="13" max="13" width="10.6640625" style="86" customWidth="1"/>
    <col min="14" max="16384" width="10.6640625" style="86"/>
  </cols>
  <sheetData>
    <row r="1" spans="1:14" ht="18" customHeight="1" x14ac:dyDescent="0.2">
      <c r="A1" s="239" t="str">
        <f>CONCATENATE("COLUMN DESIGN (", N1, ")")</f>
        <v>COLUMN DESIGN (C1)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1"/>
      <c r="M1" s="86" t="s">
        <v>307</v>
      </c>
      <c r="N1" s="132" t="s">
        <v>276</v>
      </c>
    </row>
    <row r="2" spans="1:14" ht="12.75" customHeight="1" x14ac:dyDescent="0.2">
      <c r="A2" s="76"/>
      <c r="B2" s="74"/>
      <c r="C2" s="74"/>
      <c r="D2" s="74"/>
      <c r="E2" s="74"/>
      <c r="F2" s="74"/>
      <c r="G2" s="74"/>
      <c r="H2" s="74"/>
      <c r="I2" s="54"/>
      <c r="J2" s="54"/>
      <c r="K2" s="54"/>
      <c r="L2" s="55"/>
    </row>
    <row r="3" spans="1:14" ht="12.75" customHeight="1" x14ac:dyDescent="0.2">
      <c r="A3" s="120"/>
      <c r="B3" s="106" t="s">
        <v>112</v>
      </c>
      <c r="C3" s="54" t="s">
        <v>110</v>
      </c>
      <c r="D3" s="54"/>
      <c r="E3" s="54"/>
      <c r="F3" s="54"/>
      <c r="G3" s="54"/>
      <c r="H3" s="54"/>
      <c r="I3" s="106" t="s">
        <v>1</v>
      </c>
      <c r="J3" s="54" t="s">
        <v>97</v>
      </c>
      <c r="K3" s="54"/>
      <c r="L3" s="55"/>
      <c r="M3" s="86" t="s">
        <v>319</v>
      </c>
      <c r="N3" s="86">
        <v>939.46</v>
      </c>
    </row>
    <row r="4" spans="1:14" ht="12.75" customHeight="1" x14ac:dyDescent="0.2">
      <c r="A4" s="120"/>
      <c r="B4" s="106" t="s">
        <v>113</v>
      </c>
      <c r="C4" s="54" t="s">
        <v>111</v>
      </c>
      <c r="D4" s="54"/>
      <c r="E4" s="54"/>
      <c r="F4" s="54"/>
      <c r="G4" s="54"/>
      <c r="H4" s="54"/>
      <c r="I4" s="106" t="s">
        <v>2</v>
      </c>
      <c r="J4" s="54" t="s">
        <v>98</v>
      </c>
      <c r="K4" s="54"/>
      <c r="L4" s="55"/>
      <c r="M4" s="86" t="s">
        <v>348</v>
      </c>
      <c r="N4" s="86">
        <v>300</v>
      </c>
    </row>
    <row r="5" spans="1:14" ht="12.75" customHeight="1" x14ac:dyDescent="0.2">
      <c r="A5" s="120"/>
      <c r="B5" s="106" t="s">
        <v>3</v>
      </c>
      <c r="C5" s="54" t="s">
        <v>99</v>
      </c>
      <c r="D5" s="54"/>
      <c r="E5" s="54"/>
      <c r="F5" s="54"/>
      <c r="G5" s="54"/>
      <c r="H5" s="54"/>
      <c r="I5" s="106" t="s">
        <v>114</v>
      </c>
      <c r="J5" s="54" t="s">
        <v>168</v>
      </c>
      <c r="K5" s="54"/>
      <c r="L5" s="55"/>
      <c r="M5" s="86" t="s">
        <v>354</v>
      </c>
      <c r="N5" s="86">
        <f>0.1*N4</f>
        <v>30</v>
      </c>
    </row>
    <row r="6" spans="1:14" ht="12.75" customHeight="1" x14ac:dyDescent="0.2">
      <c r="A6" s="120"/>
      <c r="B6" s="106" t="s">
        <v>4</v>
      </c>
      <c r="C6" s="54" t="s">
        <v>100</v>
      </c>
      <c r="D6" s="54"/>
      <c r="E6" s="54"/>
      <c r="F6" s="54"/>
      <c r="G6" s="54"/>
      <c r="H6" s="54"/>
      <c r="I6" s="106" t="s">
        <v>169</v>
      </c>
      <c r="J6" s="54" t="str">
        <f>N1</f>
        <v>C1</v>
      </c>
      <c r="K6" s="54"/>
      <c r="L6" s="55"/>
    </row>
    <row r="7" spans="1:14" ht="12.75" customHeight="1" thickBot="1" x14ac:dyDescent="0.25">
      <c r="A7" s="126"/>
      <c r="B7" s="128"/>
      <c r="C7" s="127"/>
      <c r="D7" s="127"/>
      <c r="E7" s="127"/>
      <c r="F7" s="127"/>
      <c r="G7" s="127"/>
      <c r="H7" s="127"/>
      <c r="I7" s="128"/>
      <c r="J7" s="127"/>
      <c r="K7" s="127"/>
      <c r="L7" s="133"/>
    </row>
    <row r="8" spans="1:14" ht="12.75" customHeight="1" thickBot="1" x14ac:dyDescent="0.25"/>
    <row r="9" spans="1:14" ht="18" customHeight="1" x14ac:dyDescent="0.2">
      <c r="A9" s="239" t="s">
        <v>48</v>
      </c>
      <c r="B9" s="240"/>
      <c r="C9" s="240"/>
      <c r="D9" s="240"/>
      <c r="E9" s="240"/>
      <c r="F9" s="240"/>
      <c r="G9" s="240"/>
      <c r="H9" s="240"/>
      <c r="I9" s="240"/>
      <c r="J9" s="240"/>
      <c r="K9" s="240"/>
      <c r="L9" s="241"/>
    </row>
    <row r="10" spans="1:14" ht="12.75" customHeight="1" x14ac:dyDescent="0.2">
      <c r="A10" s="76"/>
      <c r="B10" s="74"/>
      <c r="C10" s="74"/>
      <c r="D10" s="74"/>
      <c r="E10" s="74"/>
      <c r="F10" s="74"/>
      <c r="G10" s="74"/>
      <c r="H10" s="74"/>
      <c r="I10" s="54"/>
      <c r="J10" s="54"/>
      <c r="K10" s="54"/>
      <c r="L10" s="55"/>
    </row>
    <row r="11" spans="1:14" ht="12.75" customHeight="1" x14ac:dyDescent="0.2">
      <c r="A11" s="28" t="s">
        <v>16</v>
      </c>
      <c r="B11" s="134">
        <v>20.7</v>
      </c>
      <c r="C11" s="54" t="s">
        <v>5</v>
      </c>
      <c r="D11" s="54" t="s">
        <v>6</v>
      </c>
      <c r="E11" s="54"/>
      <c r="F11" s="54"/>
      <c r="G11" s="54"/>
      <c r="H11" s="108" t="s">
        <v>310</v>
      </c>
      <c r="I11" s="135">
        <f>N3</f>
        <v>939.46</v>
      </c>
      <c r="J11" s="54" t="s">
        <v>237</v>
      </c>
      <c r="K11" s="54" t="s">
        <v>308</v>
      </c>
      <c r="L11" s="55"/>
    </row>
    <row r="12" spans="1:14" ht="12.75" customHeight="1" x14ac:dyDescent="0.2">
      <c r="A12" s="28" t="s">
        <v>17</v>
      </c>
      <c r="B12" s="134">
        <v>276</v>
      </c>
      <c r="C12" s="54" t="s">
        <v>5</v>
      </c>
      <c r="D12" s="54" t="s">
        <v>7</v>
      </c>
      <c r="E12" s="54"/>
      <c r="F12" s="54"/>
      <c r="G12" s="54"/>
      <c r="H12" s="108" t="s">
        <v>249</v>
      </c>
      <c r="I12" s="134">
        <v>0.65</v>
      </c>
      <c r="J12" s="54"/>
      <c r="K12" s="54" t="s">
        <v>9</v>
      </c>
      <c r="L12" s="55"/>
    </row>
    <row r="13" spans="1:14" ht="12.75" customHeight="1" thickBot="1" x14ac:dyDescent="0.25">
      <c r="A13" s="136"/>
      <c r="B13" s="137"/>
      <c r="C13" s="127"/>
      <c r="D13" s="127"/>
      <c r="E13" s="127"/>
      <c r="F13" s="127"/>
      <c r="G13" s="127"/>
      <c r="H13" s="127"/>
      <c r="I13" s="127"/>
      <c r="J13" s="127"/>
      <c r="K13" s="127"/>
      <c r="L13" s="133"/>
    </row>
    <row r="14" spans="1:14" ht="12.75" customHeight="1" thickBot="1" x14ac:dyDescent="0.25"/>
    <row r="15" spans="1:14" ht="18" customHeight="1" x14ac:dyDescent="0.2">
      <c r="A15" s="239" t="s">
        <v>316</v>
      </c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1"/>
    </row>
    <row r="16" spans="1:14" ht="12.75" customHeight="1" x14ac:dyDescent="0.2">
      <c r="A16" s="28"/>
      <c r="B16" s="116"/>
      <c r="C16" s="54"/>
      <c r="D16" s="54"/>
      <c r="E16" s="54"/>
      <c r="F16" s="54"/>
      <c r="G16" s="54"/>
      <c r="H16" s="54"/>
      <c r="I16" s="54"/>
      <c r="J16" s="54"/>
      <c r="K16" s="54"/>
      <c r="L16" s="55"/>
    </row>
    <row r="17" spans="1:13" ht="12.75" customHeight="1" x14ac:dyDescent="0.2">
      <c r="A17" s="28"/>
      <c r="B17" s="116"/>
      <c r="C17" s="54"/>
      <c r="D17" s="54"/>
      <c r="E17" s="54"/>
      <c r="F17" s="54"/>
      <c r="G17" s="54"/>
      <c r="H17" s="54"/>
      <c r="I17" s="54"/>
      <c r="J17" s="54"/>
      <c r="K17" s="54"/>
      <c r="L17" s="55"/>
    </row>
    <row r="18" spans="1:13" ht="12.75" customHeight="1" x14ac:dyDescent="0.2">
      <c r="A18" s="28"/>
      <c r="B18" s="116"/>
      <c r="C18" s="54"/>
      <c r="D18" s="54"/>
      <c r="E18" s="54"/>
      <c r="F18" s="54"/>
      <c r="G18" s="54"/>
      <c r="H18" s="117" t="s">
        <v>317</v>
      </c>
      <c r="I18" s="54"/>
      <c r="J18" s="54"/>
      <c r="K18" s="54"/>
      <c r="L18" s="55"/>
    </row>
    <row r="19" spans="1:13" ht="12.75" customHeight="1" x14ac:dyDescent="0.2">
      <c r="A19" s="28"/>
      <c r="B19" s="116"/>
      <c r="C19" s="54"/>
      <c r="D19" s="54"/>
      <c r="E19" s="54"/>
      <c r="F19" s="54"/>
      <c r="G19" s="54"/>
      <c r="H19" s="54"/>
      <c r="I19" s="54"/>
      <c r="J19" s="54"/>
      <c r="K19" s="54"/>
      <c r="L19" s="55"/>
    </row>
    <row r="20" spans="1:13" ht="12.75" customHeight="1" x14ac:dyDescent="0.2">
      <c r="A20" s="28"/>
      <c r="B20" s="116"/>
      <c r="C20" s="54"/>
      <c r="D20" s="54"/>
      <c r="E20" s="54"/>
      <c r="F20" s="54"/>
      <c r="G20" s="54"/>
      <c r="H20" s="108" t="s">
        <v>184</v>
      </c>
      <c r="I20" s="134">
        <f>N4</f>
        <v>300</v>
      </c>
      <c r="J20" s="54" t="s">
        <v>29</v>
      </c>
      <c r="K20" s="54" t="s">
        <v>318</v>
      </c>
      <c r="L20" s="55"/>
    </row>
    <row r="21" spans="1:13" ht="12.75" customHeight="1" x14ac:dyDescent="0.2">
      <c r="A21" s="28"/>
      <c r="B21" s="116"/>
      <c r="C21" s="54"/>
      <c r="D21" s="54"/>
      <c r="E21" s="54"/>
      <c r="F21" s="54"/>
      <c r="G21" s="54"/>
      <c r="H21" s="108" t="s">
        <v>51</v>
      </c>
      <c r="I21" s="134">
        <v>40</v>
      </c>
      <c r="J21" s="54" t="s">
        <v>29</v>
      </c>
      <c r="K21" s="54" t="s">
        <v>30</v>
      </c>
      <c r="L21" s="55"/>
    </row>
    <row r="22" spans="1:13" ht="12.75" customHeight="1" x14ac:dyDescent="0.2">
      <c r="A22" s="28"/>
      <c r="B22" s="116"/>
      <c r="C22" s="54"/>
      <c r="D22" s="54"/>
      <c r="E22" s="54"/>
      <c r="F22" s="54"/>
      <c r="G22" s="54"/>
      <c r="H22" s="108" t="s">
        <v>182</v>
      </c>
      <c r="I22" s="134">
        <v>20</v>
      </c>
      <c r="J22" s="54" t="s">
        <v>29</v>
      </c>
      <c r="K22" s="54" t="s">
        <v>330</v>
      </c>
      <c r="L22" s="55"/>
    </row>
    <row r="23" spans="1:13" ht="12.75" customHeight="1" x14ac:dyDescent="0.2">
      <c r="A23" s="28"/>
      <c r="B23" s="116"/>
      <c r="C23" s="54"/>
      <c r="D23" s="54"/>
      <c r="E23" s="54"/>
      <c r="F23" s="54"/>
      <c r="G23" s="54"/>
      <c r="H23" s="108" t="s">
        <v>311</v>
      </c>
      <c r="I23" s="134">
        <v>10</v>
      </c>
      <c r="J23" s="54" t="s">
        <v>29</v>
      </c>
      <c r="K23" s="54" t="s">
        <v>322</v>
      </c>
      <c r="L23" s="55"/>
    </row>
    <row r="24" spans="1:13" ht="12.75" customHeight="1" x14ac:dyDescent="0.2">
      <c r="A24" s="28"/>
      <c r="B24" s="116"/>
      <c r="C24" s="54"/>
      <c r="D24" s="54"/>
      <c r="E24" s="54"/>
      <c r="F24" s="54"/>
      <c r="G24" s="54"/>
      <c r="H24" s="108"/>
      <c r="I24" s="107"/>
      <c r="J24" s="54"/>
      <c r="K24" s="54"/>
      <c r="L24" s="55"/>
    </row>
    <row r="25" spans="1:13" ht="12.75" customHeight="1" x14ac:dyDescent="0.2">
      <c r="A25" s="28"/>
      <c r="B25" s="107"/>
      <c r="C25" s="54"/>
      <c r="D25" s="54"/>
      <c r="E25" s="54"/>
      <c r="F25" s="54"/>
      <c r="G25" s="54"/>
      <c r="L25" s="55"/>
    </row>
    <row r="26" spans="1:13" ht="12.75" customHeight="1" x14ac:dyDescent="0.2">
      <c r="A26" s="28"/>
      <c r="B26" s="107"/>
      <c r="C26" s="54"/>
      <c r="D26" s="54"/>
      <c r="E26" s="54"/>
      <c r="F26" s="54"/>
      <c r="G26" s="54"/>
      <c r="K26" s="54"/>
      <c r="L26" s="55"/>
      <c r="M26" s="54"/>
    </row>
    <row r="27" spans="1:13" ht="12.75" customHeight="1" x14ac:dyDescent="0.2">
      <c r="A27" s="28"/>
      <c r="B27" s="114"/>
      <c r="C27" s="54"/>
      <c r="D27" s="54"/>
      <c r="E27" s="54"/>
      <c r="F27" s="54"/>
      <c r="G27" s="54"/>
      <c r="K27" s="54"/>
      <c r="L27" s="55"/>
      <c r="M27" s="54"/>
    </row>
    <row r="28" spans="1:13" ht="12.75" customHeight="1" thickBot="1" x14ac:dyDescent="0.25">
      <c r="A28" s="126"/>
      <c r="B28" s="127"/>
      <c r="C28" s="127"/>
      <c r="D28" s="127"/>
      <c r="E28" s="127"/>
      <c r="F28" s="127"/>
      <c r="G28" s="127"/>
      <c r="H28" s="128"/>
      <c r="I28" s="61"/>
      <c r="J28" s="125"/>
      <c r="K28" s="127"/>
      <c r="L28" s="133"/>
    </row>
    <row r="29" spans="1:13" ht="12.75" customHeight="1" thickBot="1" x14ac:dyDescent="0.25">
      <c r="H29" s="139"/>
      <c r="I29" s="140"/>
      <c r="J29" s="140"/>
    </row>
    <row r="30" spans="1:13" ht="18" customHeight="1" x14ac:dyDescent="0.2">
      <c r="A30" s="239" t="s">
        <v>349</v>
      </c>
      <c r="B30" s="240"/>
      <c r="C30" s="240"/>
      <c r="D30" s="240"/>
      <c r="E30" s="240"/>
      <c r="F30" s="240"/>
      <c r="G30" s="240"/>
      <c r="H30" s="240"/>
      <c r="I30" s="240"/>
      <c r="J30" s="240"/>
      <c r="K30" s="240"/>
      <c r="L30" s="241"/>
    </row>
    <row r="31" spans="1:13" ht="12.75" customHeight="1" x14ac:dyDescent="0.2">
      <c r="A31" s="120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5"/>
    </row>
    <row r="32" spans="1:13" ht="12.75" customHeight="1" x14ac:dyDescent="0.2">
      <c r="A32" s="120"/>
      <c r="B32" s="117" t="s">
        <v>350</v>
      </c>
      <c r="C32" s="54"/>
      <c r="D32" s="54"/>
      <c r="E32" s="54"/>
      <c r="F32" s="117" t="s">
        <v>356</v>
      </c>
      <c r="G32" s="54"/>
      <c r="H32" s="54"/>
      <c r="I32" s="54"/>
      <c r="J32" s="117" t="s">
        <v>357</v>
      </c>
      <c r="K32" s="54"/>
      <c r="L32" s="55"/>
      <c r="M32" s="54"/>
    </row>
    <row r="33" spans="1:25" ht="12.75" customHeight="1" x14ac:dyDescent="0.2">
      <c r="A33" s="120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5"/>
      <c r="M33" s="54"/>
    </row>
    <row r="34" spans="1:25" ht="12.75" customHeight="1" x14ac:dyDescent="0.2">
      <c r="A34" s="120"/>
      <c r="B34" s="180" t="s">
        <v>313</v>
      </c>
      <c r="C34" s="54" t="s">
        <v>324</v>
      </c>
      <c r="D34" s="54"/>
      <c r="E34" s="54"/>
      <c r="F34" s="180" t="s">
        <v>310</v>
      </c>
      <c r="G34" s="181" t="s">
        <v>355</v>
      </c>
      <c r="H34" s="54"/>
      <c r="I34" s="54"/>
      <c r="J34" s="180" t="s">
        <v>351</v>
      </c>
      <c r="K34" s="54" t="s">
        <v>353</v>
      </c>
      <c r="L34" s="55"/>
      <c r="M34" s="54"/>
    </row>
    <row r="35" spans="1:25" ht="12.75" customHeight="1" x14ac:dyDescent="0.2">
      <c r="A35" s="120"/>
      <c r="B35" s="180" t="s">
        <v>313</v>
      </c>
      <c r="C35" s="54" t="str">
        <f>CONCATENATE("(",I20,")(",I20,")")</f>
        <v>(300)(300)</v>
      </c>
      <c r="D35" s="54"/>
      <c r="E35" s="184"/>
      <c r="F35" s="185" t="s">
        <v>352</v>
      </c>
      <c r="G35" s="190">
        <f>((I11*1000/(0.8*I12*C36))-(0.85*B11))/(B12-(0.85*B11))</f>
        <v>9.5932030105130555E-3</v>
      </c>
      <c r="H35" s="117" t="s">
        <v>88</v>
      </c>
      <c r="I35" s="117" t="str">
        <f>IF(G35=0.01, "= 0.01", (IF(G35&lt;0.01, "&lt; 0.01", "&gt; 0.01")))</f>
        <v>&lt; 0.01</v>
      </c>
      <c r="J35" s="185" t="s">
        <v>315</v>
      </c>
      <c r="K35" s="118">
        <f>I38*C36</f>
        <v>900</v>
      </c>
      <c r="L35" s="55" t="s">
        <v>87</v>
      </c>
      <c r="M35" s="54"/>
    </row>
    <row r="36" spans="1:25" ht="12.75" customHeight="1" x14ac:dyDescent="0.2">
      <c r="A36" s="120"/>
      <c r="B36" s="185" t="s">
        <v>314</v>
      </c>
      <c r="C36" s="138">
        <f>I20*I20</f>
        <v>90000</v>
      </c>
      <c r="D36" s="117" t="s">
        <v>88</v>
      </c>
      <c r="E36" s="54"/>
      <c r="F36" s="54"/>
      <c r="G36" s="54"/>
      <c r="H36" s="54"/>
      <c r="I36" s="117" t="str">
        <f>IF(G35=0.08, "= 0.08", (IF(G35&lt;0.08, "&lt; 0.08", "&gt; 0.08")))</f>
        <v>&lt; 0.08</v>
      </c>
      <c r="J36" s="185"/>
      <c r="K36" s="143"/>
      <c r="L36" s="55"/>
      <c r="M36" s="54"/>
    </row>
    <row r="37" spans="1:25" ht="12.75" customHeight="1" x14ac:dyDescent="0.2">
      <c r="A37" s="120"/>
      <c r="B37" s="54"/>
      <c r="C37" s="54"/>
      <c r="D37" s="54"/>
      <c r="E37" s="54"/>
      <c r="F37" s="54"/>
      <c r="G37" s="54"/>
      <c r="H37" s="54"/>
      <c r="I37" s="54"/>
      <c r="J37" s="180"/>
      <c r="K37" s="54"/>
      <c r="L37" s="55"/>
      <c r="M37" s="54"/>
    </row>
    <row r="38" spans="1:25" ht="12.75" customHeight="1" x14ac:dyDescent="0.2">
      <c r="A38" s="120"/>
      <c r="B38" s="54"/>
      <c r="C38" s="54"/>
      <c r="D38" s="54"/>
      <c r="E38" s="54"/>
      <c r="F38" s="54"/>
      <c r="G38" s="54"/>
      <c r="H38" s="180" t="s">
        <v>358</v>
      </c>
      <c r="I38" s="176" t="str">
        <f>IF(G35&gt;0.01, G35, IF(G35&lt;0.01, "0.01",(IF(G35&gt;0.08, "0.08"))))</f>
        <v>0.01</v>
      </c>
      <c r="J38" s="185"/>
      <c r="K38" s="185"/>
      <c r="L38" s="55"/>
      <c r="M38" s="54"/>
      <c r="X38" s="54"/>
      <c r="Y38" s="54"/>
    </row>
    <row r="39" spans="1:25" ht="12.75" customHeight="1" thickBot="1" x14ac:dyDescent="0.25">
      <c r="A39" s="126"/>
      <c r="B39" s="127"/>
      <c r="C39" s="127"/>
      <c r="D39" s="127"/>
      <c r="E39" s="127"/>
      <c r="F39" s="127"/>
      <c r="G39" s="127"/>
      <c r="H39" s="127"/>
      <c r="I39" s="127"/>
      <c r="J39" s="186"/>
      <c r="K39" s="187"/>
      <c r="L39" s="188"/>
      <c r="M39" s="54"/>
      <c r="X39" s="54"/>
      <c r="Y39" s="54"/>
    </row>
    <row r="40" spans="1:25" ht="12.7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X40" s="54"/>
      <c r="Y40" s="54"/>
    </row>
    <row r="41" spans="1:25" ht="18" customHeight="1" x14ac:dyDescent="0.2">
      <c r="A41" s="257" t="s">
        <v>77</v>
      </c>
      <c r="B41" s="258"/>
      <c r="C41" s="258"/>
      <c r="D41" s="258"/>
      <c r="E41" s="258"/>
      <c r="F41" s="258"/>
      <c r="G41" s="258"/>
      <c r="H41" s="258"/>
      <c r="I41" s="258"/>
      <c r="J41" s="258"/>
      <c r="K41" s="258"/>
      <c r="L41" s="259"/>
      <c r="X41" s="54"/>
      <c r="Y41" s="54"/>
    </row>
    <row r="42" spans="1:25" ht="12.75" customHeight="1" x14ac:dyDescent="0.2">
      <c r="A42" s="120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5"/>
      <c r="X42" s="117"/>
      <c r="Y42" s="117"/>
    </row>
    <row r="43" spans="1:25" ht="12.75" customHeight="1" x14ac:dyDescent="0.2">
      <c r="A43" s="120"/>
      <c r="B43" s="117" t="s">
        <v>331</v>
      </c>
      <c r="C43" s="117"/>
      <c r="D43" s="117"/>
      <c r="E43" s="117"/>
      <c r="F43" s="117" t="str">
        <f>CONCATENATE("B. Spacing of ", I22," mm diameter Main Bars")</f>
        <v>B. Spacing of 20 mm diameter Main Bars</v>
      </c>
      <c r="G43" s="117"/>
      <c r="H43" s="117"/>
      <c r="I43" s="54"/>
      <c r="J43" s="117" t="str">
        <f>CONCATENATE("C. Spacing of ", I23," mm diameter Tie Wires")</f>
        <v>C. Spacing of 10 mm diameter Tie Wires</v>
      </c>
      <c r="K43" s="54"/>
      <c r="L43" s="55"/>
      <c r="X43" s="54"/>
      <c r="Y43" s="54"/>
    </row>
    <row r="44" spans="1:25" ht="12.75" customHeight="1" x14ac:dyDescent="0.2">
      <c r="A44" s="120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5"/>
      <c r="M44" s="86" t="s">
        <v>327</v>
      </c>
      <c r="X44" s="117"/>
      <c r="Y44" s="54"/>
    </row>
    <row r="45" spans="1:25" ht="12.75" customHeight="1" x14ac:dyDescent="0.2">
      <c r="A45" s="120"/>
      <c r="B45" s="108" t="s">
        <v>151</v>
      </c>
      <c r="C45" s="54" t="s">
        <v>201</v>
      </c>
      <c r="D45" s="54"/>
      <c r="F45" s="108" t="s">
        <v>184</v>
      </c>
      <c r="G45" s="54" t="str">
        <f>CONCATENATE("N(",I23,") + 2(dₜ) + 2(cc) + ", N46, "(S)")</f>
        <v>N(10) + 2(dₜ) + 2(cc) + 1(S)</v>
      </c>
      <c r="H45" s="55"/>
      <c r="I45" s="54"/>
      <c r="J45" s="108" t="s">
        <v>332</v>
      </c>
      <c r="K45" s="54" t="s">
        <v>335</v>
      </c>
      <c r="L45" s="55"/>
      <c r="M45" s="86" t="s">
        <v>325</v>
      </c>
      <c r="N45" s="97" t="str">
        <f>IF(C50=4, "2", (IF(C50=6, "3", (IF(C50=8, "3", (IF(C50=10, "4", O45)))))))</f>
        <v>2</v>
      </c>
    </row>
    <row r="46" spans="1:25" ht="12.75" customHeight="1" x14ac:dyDescent="0.2">
      <c r="A46" s="120"/>
      <c r="B46" s="106" t="s">
        <v>152</v>
      </c>
      <c r="C46" s="119">
        <f>(PI()/4)*I22^2</f>
        <v>314.15926535897933</v>
      </c>
      <c r="D46" s="117" t="s">
        <v>88</v>
      </c>
      <c r="F46" s="108" t="str">
        <f>CONCATENATE(I20, " =")</f>
        <v>300 =</v>
      </c>
      <c r="G46" s="54" t="str">
        <f>CONCATENATE(N45, "(", I22, ") + 2(",I23, ") + 2(", I21, ") + ", N46,"(S)")</f>
        <v>2(20) + 2(10) + 2(40) + 1(S)</v>
      </c>
      <c r="H46" s="55"/>
      <c r="I46" s="54"/>
      <c r="J46" s="106" t="s">
        <v>90</v>
      </c>
      <c r="K46" s="74">
        <f>16*I22</f>
        <v>320</v>
      </c>
      <c r="L46" s="121" t="s">
        <v>29</v>
      </c>
      <c r="M46" s="86" t="s">
        <v>326</v>
      </c>
      <c r="N46" s="97" t="str">
        <f>IF(C50=4, "1", (IF(C50=6, "2", (IF(C50=8, "2", (IF(C50=10, "3", O46)))))))</f>
        <v>1</v>
      </c>
    </row>
    <row r="47" spans="1:25" ht="12.75" customHeight="1" x14ac:dyDescent="0.2">
      <c r="A47" s="120"/>
      <c r="B47" s="54"/>
      <c r="C47" s="54"/>
      <c r="D47" s="54"/>
      <c r="E47" s="54"/>
      <c r="F47" s="108" t="s">
        <v>90</v>
      </c>
      <c r="G47" s="122">
        <f>(I20-(2*I23)-(2*I21)-(N45*I22))/(N46)</f>
        <v>160</v>
      </c>
      <c r="H47" s="54" t="s">
        <v>29</v>
      </c>
      <c r="I47" s="54"/>
      <c r="J47" s="54"/>
      <c r="K47" s="54"/>
      <c r="L47" s="55"/>
      <c r="M47" s="140"/>
    </row>
    <row r="48" spans="1:25" ht="12.75" customHeight="1" x14ac:dyDescent="0.2">
      <c r="A48" s="120"/>
      <c r="B48" s="108" t="s">
        <v>320</v>
      </c>
      <c r="C48" s="54" t="s">
        <v>323</v>
      </c>
      <c r="D48" s="54"/>
      <c r="E48" s="54"/>
      <c r="F48" s="106" t="s">
        <v>96</v>
      </c>
      <c r="G48" s="74">
        <f>FLOOR(G47,5)</f>
        <v>160</v>
      </c>
      <c r="H48" s="117" t="s">
        <v>29</v>
      </c>
      <c r="I48" s="54"/>
      <c r="J48" s="108" t="s">
        <v>334</v>
      </c>
      <c r="K48" s="109" t="s">
        <v>333</v>
      </c>
      <c r="L48" s="55"/>
    </row>
    <row r="49" spans="1:25" ht="12.75" customHeight="1" x14ac:dyDescent="0.2">
      <c r="A49" s="120"/>
      <c r="B49" s="108" t="s">
        <v>320</v>
      </c>
      <c r="C49" s="107">
        <f>K35/C46</f>
        <v>2.8647889756541161</v>
      </c>
      <c r="D49" s="54" t="s">
        <v>204</v>
      </c>
      <c r="E49" s="54"/>
      <c r="F49" s="117"/>
      <c r="G49" s="54"/>
      <c r="H49" s="123" t="str">
        <f>IF(G48&lt;25.4, "REDESIGN", "")</f>
        <v/>
      </c>
      <c r="I49" s="119"/>
      <c r="J49" s="106" t="s">
        <v>90</v>
      </c>
      <c r="K49" s="74">
        <f>48*I23</f>
        <v>480</v>
      </c>
      <c r="L49" s="121" t="s">
        <v>29</v>
      </c>
    </row>
    <row r="50" spans="1:25" ht="12.75" customHeight="1" x14ac:dyDescent="0.2">
      <c r="A50" s="120"/>
      <c r="B50" s="106" t="s">
        <v>321</v>
      </c>
      <c r="C50" s="74">
        <f>IF(ROUNDUP(C49,0)&lt;4,4, (EVEN(ROUNDUP(C49,0))))</f>
        <v>4</v>
      </c>
      <c r="D50" s="117" t="s">
        <v>204</v>
      </c>
      <c r="E50" s="54"/>
      <c r="J50" s="54"/>
      <c r="K50" s="54"/>
      <c r="L50" s="55"/>
    </row>
    <row r="51" spans="1:25" ht="12.75" customHeight="1" x14ac:dyDescent="0.2">
      <c r="A51" s="120"/>
      <c r="E51" s="54"/>
      <c r="F51" s="117" t="s">
        <v>328</v>
      </c>
      <c r="G51" s="54"/>
      <c r="H51" s="54"/>
      <c r="I51" s="54"/>
      <c r="J51" s="108" t="s">
        <v>336</v>
      </c>
      <c r="K51" s="54" t="s">
        <v>337</v>
      </c>
      <c r="L51" s="55"/>
    </row>
    <row r="52" spans="1:25" ht="12.75" customHeight="1" x14ac:dyDescent="0.2">
      <c r="A52" s="120"/>
      <c r="E52" s="54"/>
      <c r="F52" s="117"/>
      <c r="G52" s="54"/>
      <c r="H52" s="54"/>
      <c r="I52" s="54"/>
      <c r="J52" s="106" t="s">
        <v>90</v>
      </c>
      <c r="K52" s="74">
        <f>I20</f>
        <v>300</v>
      </c>
      <c r="L52" s="121" t="s">
        <v>29</v>
      </c>
    </row>
    <row r="53" spans="1:25" ht="12.75" customHeight="1" x14ac:dyDescent="0.2">
      <c r="A53" s="120"/>
      <c r="E53" s="54"/>
      <c r="F53" s="106" t="s">
        <v>329</v>
      </c>
      <c r="G53" s="74">
        <v>150</v>
      </c>
      <c r="H53" s="117" t="s">
        <v>29</v>
      </c>
      <c r="I53" s="117" t="str">
        <f>IF(G48&lt;150, CONCATENATE(" &gt; S = ",G48," mm"), CONCATENATE(" &lt; S = ", G48," mm"))</f>
        <v xml:space="preserve"> &lt; S = 160 mm</v>
      </c>
      <c r="J53" s="54"/>
      <c r="K53" s="54"/>
      <c r="L53" s="55"/>
    </row>
    <row r="54" spans="1:25" ht="12.75" customHeight="1" x14ac:dyDescent="0.2">
      <c r="A54" s="120"/>
      <c r="E54" s="54"/>
      <c r="F54" s="185"/>
      <c r="G54" s="183"/>
      <c r="H54" s="117"/>
      <c r="I54" s="54"/>
      <c r="J54" s="54"/>
      <c r="K54" s="54"/>
      <c r="L54" s="55"/>
    </row>
    <row r="55" spans="1:25" ht="12.75" customHeight="1" x14ac:dyDescent="0.2">
      <c r="A55" s="120"/>
      <c r="B55" s="54"/>
      <c r="C55" s="54"/>
      <c r="D55" s="54"/>
      <c r="E55" s="54"/>
      <c r="F55" s="185" t="s">
        <v>359</v>
      </c>
      <c r="G55" s="74" t="str">
        <f>IF(G48&gt;150, "150", G48)</f>
        <v>150</v>
      </c>
      <c r="H55" s="191" t="s">
        <v>29</v>
      </c>
      <c r="I55" s="54"/>
      <c r="J55" s="54"/>
      <c r="K55" s="54"/>
      <c r="L55" s="55"/>
    </row>
    <row r="56" spans="1:25" ht="12.75" customHeight="1" x14ac:dyDescent="0.2">
      <c r="A56" s="120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5"/>
    </row>
    <row r="57" spans="1:25" ht="12.75" customHeight="1" x14ac:dyDescent="0.2">
      <c r="A57" s="246" t="str">
        <f>CONCATENATE("Therefore, use ", C50, " pieces of ", I22, " mm diameter Longitudinal Steel Bars spaced at ",  G55, " mm O.C.")</f>
        <v>Therefore, use 4 pieces of 20 mm diameter Longitudinal Steel Bars spaced at 150 mm O.C.</v>
      </c>
      <c r="B57" s="247"/>
      <c r="C57" s="247"/>
      <c r="D57" s="247"/>
      <c r="E57" s="247"/>
      <c r="F57" s="247"/>
      <c r="G57" s="247"/>
      <c r="H57" s="247"/>
      <c r="I57" s="247"/>
      <c r="J57" s="247"/>
      <c r="K57" s="247"/>
      <c r="L57" s="248"/>
    </row>
    <row r="58" spans="1:25" ht="12.75" customHeight="1" x14ac:dyDescent="0.2">
      <c r="A58" s="246" t="str">
        <f>CONCATENATE("Use ", I23, " mm diameter Tie Wires spaced at ",  MIN(K46,K49,K52), " mm O.C.")</f>
        <v>Use 10 mm diameter Tie Wires spaced at 300 mm O.C.</v>
      </c>
      <c r="B58" s="247"/>
      <c r="C58" s="247"/>
      <c r="D58" s="247"/>
      <c r="E58" s="247"/>
      <c r="F58" s="247"/>
      <c r="G58" s="247"/>
      <c r="H58" s="247"/>
      <c r="I58" s="247"/>
      <c r="J58" s="247"/>
      <c r="K58" s="247"/>
      <c r="L58" s="248"/>
    </row>
    <row r="59" spans="1:25" ht="12.75" customHeight="1" thickBot="1" x14ac:dyDescent="0.25">
      <c r="A59" s="60"/>
      <c r="B59" s="61"/>
      <c r="C59" s="61"/>
      <c r="D59" s="61"/>
      <c r="E59" s="61"/>
      <c r="F59" s="61"/>
      <c r="G59" s="125"/>
      <c r="H59" s="61"/>
      <c r="I59" s="61"/>
      <c r="J59" s="61"/>
      <c r="K59" s="61"/>
      <c r="L59" s="62"/>
    </row>
    <row r="60" spans="1:25" ht="12" thickBot="1" x14ac:dyDescent="0.25">
      <c r="A60" s="120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5"/>
    </row>
    <row r="61" spans="1:25" ht="18" customHeight="1" thickBot="1" x14ac:dyDescent="0.25">
      <c r="A61" s="249" t="s">
        <v>338</v>
      </c>
      <c r="B61" s="250"/>
      <c r="C61" s="250"/>
      <c r="D61" s="250"/>
      <c r="E61" s="250"/>
      <c r="F61" s="250"/>
      <c r="G61" s="250"/>
      <c r="H61" s="250"/>
      <c r="I61" s="250"/>
      <c r="J61" s="250"/>
      <c r="K61" s="250"/>
      <c r="L61" s="251"/>
      <c r="X61" s="117"/>
      <c r="Y61" s="54"/>
    </row>
    <row r="62" spans="1:25" ht="12.75" customHeight="1" x14ac:dyDescent="0.2">
      <c r="A62" s="120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5"/>
      <c r="X62" s="117"/>
      <c r="Y62" s="54"/>
    </row>
    <row r="63" spans="1:25" ht="12.75" customHeight="1" x14ac:dyDescent="0.2">
      <c r="A63" s="120"/>
      <c r="B63" s="117" t="s">
        <v>342</v>
      </c>
      <c r="C63" s="117"/>
      <c r="D63" s="117"/>
      <c r="E63" s="117"/>
      <c r="F63" s="117" t="s">
        <v>341</v>
      </c>
      <c r="G63" s="117"/>
      <c r="H63" s="117"/>
      <c r="I63" s="54"/>
      <c r="J63" s="117" t="s">
        <v>340</v>
      </c>
      <c r="K63" s="54"/>
      <c r="L63" s="55"/>
      <c r="X63" s="117"/>
      <c r="Y63" s="54"/>
    </row>
    <row r="64" spans="1:25" ht="12.75" customHeight="1" x14ac:dyDescent="0.2">
      <c r="A64" s="120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5"/>
      <c r="X64" s="117"/>
      <c r="Y64" s="54"/>
    </row>
    <row r="65" spans="1:13" ht="12.75" customHeight="1" x14ac:dyDescent="0.2">
      <c r="A65" s="120"/>
      <c r="B65" s="108" t="s">
        <v>313</v>
      </c>
      <c r="C65" s="189">
        <f>C36</f>
        <v>90000</v>
      </c>
      <c r="D65" s="54" t="s">
        <v>87</v>
      </c>
      <c r="E65" s="54"/>
      <c r="F65" s="108" t="s">
        <v>343</v>
      </c>
      <c r="G65" s="54" t="s">
        <v>339</v>
      </c>
      <c r="H65" s="54"/>
      <c r="I65" s="54"/>
      <c r="J65" s="108" t="s">
        <v>346</v>
      </c>
      <c r="K65" s="54" t="s">
        <v>312</v>
      </c>
      <c r="L65" s="55"/>
    </row>
    <row r="66" spans="1:13" ht="12.75" customHeight="1" x14ac:dyDescent="0.2">
      <c r="A66" s="120"/>
      <c r="B66" s="54"/>
      <c r="C66" s="54"/>
      <c r="D66" s="54"/>
      <c r="E66" s="54"/>
      <c r="F66" s="106" t="s">
        <v>344</v>
      </c>
      <c r="G66" s="74">
        <f>C50*PI()*0.25*I22*I22</f>
        <v>1256.6370614359173</v>
      </c>
      <c r="H66" s="117" t="s">
        <v>88</v>
      </c>
      <c r="I66" s="54"/>
      <c r="J66" s="106" t="s">
        <v>345</v>
      </c>
      <c r="K66" s="119">
        <f>(0.8*I12*((0.85*B11*(C65-G66))+(B12*G66)))/1000</f>
        <v>992.30107592738102</v>
      </c>
      <c r="L66" s="121" t="str">
        <f>IF(K66&gt;I11,(CONCATENATE("KN         &gt; Pᵤ = ",I11," KN")), (CONCATENATE("KN         &lt; Pᵤ = ",I11," KN")))</f>
        <v>KN         &gt; Pᵤ = 939.46 KN</v>
      </c>
    </row>
    <row r="67" spans="1:13" ht="12.75" customHeight="1" x14ac:dyDescent="0.2">
      <c r="A67" s="120"/>
      <c r="B67" s="108"/>
      <c r="C67" s="54"/>
      <c r="D67" s="54"/>
      <c r="E67" s="54"/>
      <c r="F67" s="106"/>
      <c r="G67" s="74"/>
      <c r="H67" s="109"/>
      <c r="I67" s="54"/>
      <c r="J67" s="106"/>
      <c r="K67" s="74"/>
      <c r="L67" s="121"/>
      <c r="M67" s="140"/>
    </row>
    <row r="68" spans="1:13" ht="12.75" customHeight="1" x14ac:dyDescent="0.2">
      <c r="A68" s="120"/>
      <c r="B68" s="108"/>
      <c r="C68" s="54"/>
      <c r="D68" s="54"/>
      <c r="E68" s="54"/>
      <c r="F68" s="54"/>
      <c r="G68" s="54"/>
      <c r="H68" s="54"/>
      <c r="I68" s="54"/>
      <c r="J68" s="116" t="str">
        <f>IF(K66&gt;I11, "Therefore, SAFE!", "")</f>
        <v>Therefore, SAFE!</v>
      </c>
      <c r="K68" s="54"/>
      <c r="L68" s="55"/>
    </row>
    <row r="69" spans="1:13" ht="12.75" customHeight="1" thickBot="1" x14ac:dyDescent="0.25">
      <c r="A69" s="126"/>
      <c r="B69" s="23"/>
      <c r="C69" s="127"/>
      <c r="D69" s="127"/>
      <c r="E69" s="127"/>
      <c r="F69" s="128"/>
      <c r="G69" s="23"/>
      <c r="H69" s="129"/>
      <c r="I69" s="130"/>
      <c r="J69" s="125"/>
      <c r="K69" s="127"/>
      <c r="L69" s="131"/>
    </row>
    <row r="70" spans="1:13" ht="12.75" customHeight="1" thickBot="1" x14ac:dyDescent="0.25">
      <c r="A70" s="54"/>
      <c r="B70" s="108"/>
      <c r="C70" s="141"/>
      <c r="D70" s="117"/>
      <c r="E70" s="54"/>
      <c r="F70" s="106"/>
      <c r="G70" s="74"/>
      <c r="H70" s="54"/>
      <c r="I70" s="54"/>
      <c r="J70" s="54"/>
      <c r="K70" s="54"/>
      <c r="L70" s="54"/>
    </row>
    <row r="71" spans="1:13" ht="18" customHeight="1" x14ac:dyDescent="0.2">
      <c r="A71" s="239" t="s">
        <v>347</v>
      </c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1"/>
    </row>
    <row r="72" spans="1:13" ht="12.75" customHeight="1" x14ac:dyDescent="0.2">
      <c r="A72" s="28"/>
      <c r="B72" s="116"/>
      <c r="C72" s="54"/>
      <c r="D72" s="54"/>
      <c r="E72" s="54"/>
      <c r="F72" s="54"/>
      <c r="G72" s="54"/>
      <c r="H72" s="54"/>
      <c r="I72" s="54"/>
      <c r="J72" s="54"/>
      <c r="K72" s="54"/>
      <c r="L72" s="55"/>
    </row>
    <row r="73" spans="1:13" ht="12.75" customHeight="1" x14ac:dyDescent="0.2">
      <c r="A73" s="28"/>
      <c r="B73" s="116"/>
      <c r="C73" s="54"/>
      <c r="D73" s="54"/>
      <c r="E73" s="54"/>
      <c r="F73" s="213" t="str">
        <f>CONCATENATE("h = ", I20, " mm")</f>
        <v>h = 300 mm</v>
      </c>
      <c r="G73" s="213"/>
      <c r="H73" s="213"/>
      <c r="I73" s="213"/>
      <c r="J73" s="54"/>
      <c r="K73" s="54"/>
      <c r="L73" s="55"/>
    </row>
    <row r="74" spans="1:13" ht="12.75" customHeight="1" x14ac:dyDescent="0.2">
      <c r="A74" s="28"/>
      <c r="B74" s="116"/>
      <c r="C74" s="54"/>
      <c r="D74" s="54"/>
      <c r="E74" s="54"/>
      <c r="F74" s="54"/>
      <c r="G74" s="54"/>
      <c r="H74" s="54"/>
      <c r="I74" s="54"/>
      <c r="J74" s="54"/>
      <c r="K74" s="54"/>
      <c r="L74" s="55"/>
    </row>
    <row r="75" spans="1:13" ht="12.75" customHeight="1" x14ac:dyDescent="0.2">
      <c r="A75" s="28"/>
      <c r="B75" s="116"/>
      <c r="C75" s="54"/>
      <c r="D75" s="54"/>
      <c r="E75" s="54"/>
      <c r="F75" s="54"/>
      <c r="G75" s="54"/>
      <c r="H75" s="112"/>
      <c r="I75" s="114"/>
      <c r="J75" s="54"/>
      <c r="K75" s="54"/>
      <c r="L75" s="55"/>
    </row>
    <row r="76" spans="1:13" ht="12.75" customHeight="1" x14ac:dyDescent="0.2">
      <c r="A76" s="28"/>
      <c r="B76" s="116"/>
      <c r="C76" s="54"/>
      <c r="D76" s="54"/>
      <c r="E76" s="54"/>
      <c r="F76" s="54"/>
      <c r="G76" s="54"/>
      <c r="H76" s="112"/>
      <c r="I76" s="114"/>
      <c r="J76" s="54"/>
      <c r="K76" s="54"/>
      <c r="L76" s="55"/>
    </row>
    <row r="77" spans="1:13" ht="12.75" customHeight="1" x14ac:dyDescent="0.2">
      <c r="A77" s="28"/>
      <c r="B77" s="116"/>
      <c r="C77" s="54"/>
      <c r="D77" s="54"/>
      <c r="E77" s="54"/>
      <c r="F77" s="54"/>
      <c r="G77" s="54"/>
      <c r="H77" s="112"/>
      <c r="I77" s="114"/>
      <c r="J77" s="54"/>
      <c r="K77" s="54"/>
      <c r="L77" s="55"/>
    </row>
    <row r="78" spans="1:13" x14ac:dyDescent="0.2">
      <c r="A78" s="28"/>
      <c r="B78" s="116"/>
      <c r="C78" s="54"/>
      <c r="D78" s="54"/>
      <c r="E78" s="54"/>
      <c r="F78" s="54"/>
      <c r="G78" s="54"/>
      <c r="H78" s="112"/>
      <c r="I78" s="114"/>
      <c r="J78" s="54"/>
      <c r="K78" s="54"/>
      <c r="L78" s="55"/>
    </row>
    <row r="79" spans="1:13" x14ac:dyDescent="0.2">
      <c r="A79" s="28"/>
      <c r="B79" s="116"/>
      <c r="C79" s="54"/>
      <c r="D79" s="54"/>
      <c r="E79" s="54"/>
      <c r="F79" s="54"/>
      <c r="G79" s="54"/>
      <c r="H79" s="112"/>
      <c r="I79" s="114"/>
      <c r="J79" s="54"/>
      <c r="K79" s="54"/>
      <c r="L79" s="55"/>
    </row>
    <row r="80" spans="1:13" x14ac:dyDescent="0.2">
      <c r="A80" s="28"/>
      <c r="B80" s="116"/>
      <c r="C80" s="54"/>
      <c r="D80" s="54"/>
      <c r="E80" s="54"/>
      <c r="F80" s="54"/>
      <c r="G80" s="54"/>
      <c r="H80" s="112"/>
      <c r="I80" s="114"/>
      <c r="J80" s="54"/>
      <c r="K80" s="54"/>
      <c r="L80" s="55"/>
    </row>
    <row r="81" spans="1:13" x14ac:dyDescent="0.2">
      <c r="A81" s="28"/>
      <c r="B81" s="114"/>
      <c r="C81" s="54"/>
      <c r="D81" s="54"/>
      <c r="E81" s="54"/>
      <c r="F81" s="54"/>
      <c r="G81" s="54"/>
      <c r="H81" s="116"/>
      <c r="I81" s="114"/>
      <c r="J81" s="54"/>
      <c r="K81" s="54"/>
      <c r="L81" s="55"/>
    </row>
    <row r="82" spans="1:13" ht="18" customHeight="1" x14ac:dyDescent="0.2">
      <c r="A82" s="28"/>
      <c r="B82" s="114"/>
      <c r="C82" s="213"/>
      <c r="D82" s="213"/>
      <c r="E82" s="213"/>
      <c r="F82" s="54"/>
      <c r="G82" s="54"/>
      <c r="H82" s="112"/>
      <c r="I82" s="114"/>
      <c r="J82" s="54"/>
      <c r="K82" s="54"/>
      <c r="L82" s="55"/>
    </row>
    <row r="83" spans="1:13" ht="12.75" customHeight="1" x14ac:dyDescent="0.2">
      <c r="A83" s="28"/>
      <c r="B83" s="114"/>
      <c r="C83" s="54"/>
      <c r="D83" s="54"/>
      <c r="E83" s="54"/>
      <c r="F83" s="54"/>
      <c r="G83" s="54"/>
      <c r="H83" s="112"/>
      <c r="I83" s="54"/>
      <c r="J83" s="54"/>
      <c r="K83" s="54"/>
      <c r="L83" s="113"/>
    </row>
    <row r="84" spans="1:13" ht="12.75" customHeight="1" x14ac:dyDescent="0.2">
      <c r="A84" s="28"/>
      <c r="B84" s="114"/>
      <c r="C84" s="54"/>
      <c r="D84" s="54"/>
      <c r="E84" s="54"/>
      <c r="F84" s="54"/>
      <c r="G84" s="54"/>
      <c r="H84" s="112"/>
      <c r="I84" s="54"/>
      <c r="J84" s="54"/>
      <c r="K84" s="54"/>
      <c r="L84" s="55"/>
      <c r="M84" s="54"/>
    </row>
    <row r="85" spans="1:13" ht="12.75" customHeight="1" x14ac:dyDescent="0.2">
      <c r="A85" s="28"/>
      <c r="B85" s="114"/>
      <c r="C85" s="54"/>
      <c r="D85" s="54"/>
      <c r="E85" s="54"/>
      <c r="F85" s="54"/>
      <c r="G85" s="54"/>
      <c r="H85" s="174"/>
      <c r="I85" s="138"/>
      <c r="J85" s="117"/>
      <c r="K85" s="54"/>
      <c r="L85" s="55"/>
      <c r="M85" s="54"/>
    </row>
    <row r="86" spans="1:13" ht="12.75" customHeight="1" x14ac:dyDescent="0.2">
      <c r="A86" s="120"/>
      <c r="B86" s="54"/>
      <c r="C86" s="213" t="str">
        <f>F73</f>
        <v>h = 300 mm</v>
      </c>
      <c r="D86" s="213"/>
      <c r="E86" s="54"/>
      <c r="F86" s="54"/>
      <c r="G86" s="54"/>
      <c r="H86" s="174"/>
      <c r="I86" s="115"/>
      <c r="J86" s="117"/>
      <c r="K86" s="200" t="str">
        <f>CONCATENATE("                   ",I23, " mm diameter Tie Wires")</f>
        <v xml:space="preserve">                   10 mm diameter Tie Wires</v>
      </c>
      <c r="L86" s="212"/>
      <c r="M86" s="54"/>
    </row>
    <row r="87" spans="1:13" ht="12.75" customHeight="1" x14ac:dyDescent="0.2">
      <c r="A87" s="120"/>
      <c r="B87" s="54"/>
      <c r="C87" s="54"/>
      <c r="D87" s="54"/>
      <c r="E87" s="245"/>
      <c r="F87" s="245"/>
      <c r="G87" s="115"/>
      <c r="H87" s="54"/>
      <c r="I87" s="54"/>
      <c r="J87" s="174"/>
      <c r="K87" s="168"/>
      <c r="L87" s="121"/>
      <c r="M87" s="54"/>
    </row>
    <row r="88" spans="1:13" ht="12.75" customHeight="1" x14ac:dyDescent="0.2">
      <c r="A88" s="120"/>
      <c r="B88" s="54"/>
      <c r="C88" s="54"/>
      <c r="D88" s="54"/>
      <c r="E88" s="54"/>
      <c r="F88" s="54"/>
      <c r="G88" s="54"/>
      <c r="H88" s="54"/>
      <c r="I88" s="54"/>
      <c r="J88" s="174"/>
      <c r="K88" s="143"/>
      <c r="L88" s="121"/>
      <c r="M88" s="54"/>
    </row>
    <row r="89" spans="1:13" ht="12.75" customHeight="1" x14ac:dyDescent="0.2">
      <c r="A89" s="120"/>
      <c r="B89" s="54"/>
      <c r="C89" s="54"/>
      <c r="D89" s="54"/>
      <c r="E89" s="54"/>
      <c r="F89" s="54"/>
      <c r="G89" s="54"/>
      <c r="H89" s="54"/>
      <c r="I89" s="54"/>
      <c r="J89" s="112"/>
      <c r="K89" s="54"/>
      <c r="L89" s="55"/>
      <c r="M89" s="54"/>
    </row>
    <row r="90" spans="1:13" ht="12.75" customHeight="1" x14ac:dyDescent="0.2">
      <c r="A90" s="120"/>
      <c r="B90" s="54"/>
      <c r="C90" s="54"/>
      <c r="D90" s="54"/>
      <c r="E90" s="54"/>
      <c r="F90" s="54"/>
      <c r="G90" s="54"/>
      <c r="H90" s="54"/>
      <c r="I90" s="54"/>
      <c r="J90" s="174"/>
      <c r="K90" s="210" t="str">
        <f>CONCATENATE(I22, " mm diameter Longitudinal Bars")</f>
        <v>20 mm diameter Longitudinal Bars</v>
      </c>
      <c r="L90" s="256"/>
      <c r="M90" s="54"/>
    </row>
    <row r="91" spans="1:13" ht="12.75" customHeight="1" x14ac:dyDescent="0.2">
      <c r="A91" s="120"/>
      <c r="B91" s="54"/>
      <c r="C91" s="54"/>
      <c r="D91" s="54"/>
      <c r="E91" s="54"/>
      <c r="F91" s="54"/>
      <c r="G91" s="54"/>
      <c r="H91" s="54"/>
      <c r="I91" s="54"/>
      <c r="J91" s="112"/>
      <c r="K91" s="54"/>
      <c r="L91" s="55"/>
      <c r="M91" s="54"/>
    </row>
    <row r="92" spans="1:13" ht="12.75" customHeight="1" x14ac:dyDescent="0.2">
      <c r="A92" s="120"/>
      <c r="B92" s="54"/>
      <c r="C92" s="54"/>
      <c r="D92" s="54"/>
      <c r="E92" s="54"/>
      <c r="F92" s="54"/>
      <c r="G92" s="54"/>
      <c r="H92" s="54"/>
      <c r="I92" s="54"/>
      <c r="J92" s="112"/>
      <c r="K92" s="54"/>
      <c r="L92" s="55"/>
      <c r="M92" s="54"/>
    </row>
    <row r="93" spans="1:13" ht="12.75" customHeight="1" x14ac:dyDescent="0.2">
      <c r="A93" s="120"/>
      <c r="B93" s="54"/>
      <c r="C93" s="54"/>
      <c r="D93" s="54"/>
      <c r="E93" s="54"/>
      <c r="F93" s="54"/>
      <c r="G93" s="54"/>
      <c r="H93" s="54"/>
      <c r="I93" s="54"/>
      <c r="J93" s="112"/>
      <c r="K93" s="54"/>
      <c r="L93" s="55"/>
      <c r="M93" s="54"/>
    </row>
    <row r="94" spans="1:13" x14ac:dyDescent="0.2">
      <c r="A94" s="120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5"/>
    </row>
    <row r="95" spans="1:13" x14ac:dyDescent="0.2">
      <c r="A95" s="120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5"/>
    </row>
    <row r="96" spans="1:13" x14ac:dyDescent="0.2">
      <c r="A96" s="120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5"/>
    </row>
    <row r="97" spans="1:12" x14ac:dyDescent="0.2">
      <c r="A97" s="120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5"/>
    </row>
    <row r="98" spans="1:12" x14ac:dyDescent="0.2">
      <c r="A98" s="120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5"/>
    </row>
    <row r="99" spans="1:12" x14ac:dyDescent="0.2">
      <c r="A99" s="120"/>
      <c r="B99" s="54"/>
      <c r="C99" s="54"/>
      <c r="D99" s="54"/>
      <c r="E99" s="182" t="str">
        <f>IF(G48&gt;150,CONCATENATE(45," mm"),CONCATENATE((I20-2*(I22)-2*(I23))*0.5," mm"))</f>
        <v>45 mm</v>
      </c>
      <c r="F99" s="213" t="str">
        <f>CONCATENATE(G55, " mm")</f>
        <v>150 mm</v>
      </c>
      <c r="G99" s="213"/>
      <c r="H99" s="213"/>
      <c r="I99" s="213"/>
      <c r="J99" s="111" t="str">
        <f>E99</f>
        <v>45 mm</v>
      </c>
      <c r="K99" s="54"/>
      <c r="L99" s="55"/>
    </row>
    <row r="100" spans="1:12" ht="12" thickBot="1" x14ac:dyDescent="0.25">
      <c r="A100" s="126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33"/>
    </row>
  </sheetData>
  <mergeCells count="16">
    <mergeCell ref="A30:L30"/>
    <mergeCell ref="F73:I73"/>
    <mergeCell ref="C82:E82"/>
    <mergeCell ref="K86:L86"/>
    <mergeCell ref="A1:L1"/>
    <mergeCell ref="A9:L9"/>
    <mergeCell ref="A15:L15"/>
    <mergeCell ref="A41:L41"/>
    <mergeCell ref="A57:L57"/>
    <mergeCell ref="K90:L90"/>
    <mergeCell ref="A58:L58"/>
    <mergeCell ref="A71:L71"/>
    <mergeCell ref="A61:L61"/>
    <mergeCell ref="F99:I99"/>
    <mergeCell ref="C86:D86"/>
    <mergeCell ref="E87:F87"/>
  </mergeCells>
  <printOptions horizontalCentered="1"/>
  <pageMargins left="0.25" right="0.25" top="0.25" bottom="0.25" header="0.05" footer="0.05"/>
  <pageSetup paperSize="10" scale="91" fitToHeight="4" orientation="portrait" horizontalDpi="0" verticalDpi="0"/>
  <rowBreaks count="1" manualBreakCount="1">
    <brk id="70" max="1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One Way Slab Design</vt:lpstr>
      <vt:lpstr>Concrete Stairway Design</vt:lpstr>
      <vt:lpstr>Beam Design</vt:lpstr>
      <vt:lpstr>Web Reinforcements Design</vt:lpstr>
      <vt:lpstr>Column Design</vt:lpstr>
      <vt:lpstr>'Beam Design'!Print_Area</vt:lpstr>
      <vt:lpstr>'Column Design'!Print_Area</vt:lpstr>
      <vt:lpstr>'Concrete Stairway Design'!Print_Area</vt:lpstr>
      <vt:lpstr>'One Way Slab Design'!Print_Area</vt:lpstr>
      <vt:lpstr>'Web Reinforcements Design'!Print_Area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2021-12-12T14:19:53Z</cp:lastPrinted>
  <dcterms:created xsi:type="dcterms:W3CDTF">2021-11-23T09:54:59Z</dcterms:created>
  <dcterms:modified xsi:type="dcterms:W3CDTF">2022-12-05T07:51:01Z</dcterms:modified>
</cp:coreProperties>
</file>