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825" windowWidth="16605" windowHeight="8715" tabRatio="909" activeTab="10"/>
  </bookViews>
  <sheets>
    <sheet name="Overview" sheetId="17" r:id="rId1"/>
    <sheet name="Key Input" sheetId="18" r:id="rId2"/>
    <sheet name="Key Output" sheetId="14" r:id="rId3"/>
    <sheet name="LNG商用车结果 " sheetId="15" r:id="rId4"/>
    <sheet name="LNG船用结果" sheetId="12" r:id="rId5"/>
    <sheet name="NG-based" sheetId="2" r:id="rId6"/>
    <sheet name="Biofuel" sheetId="3" r:id="rId7"/>
    <sheet name="Coal-based" sheetId="4" r:id="rId8"/>
    <sheet name="EV" sheetId="5" r:id="rId9"/>
    <sheet name="PTW" sheetId="10" r:id="rId10"/>
    <sheet name="Summary from fuel" sheetId="1" r:id="rId11"/>
    <sheet name="空白" sheetId="16" r:id="rId12"/>
    <sheet name="FCV" sheetId="6" state="hidden" r:id="rId13"/>
    <sheet name="Gasoline,HEV,PHEV" sheetId="7" state="hidden" r:id="rId14"/>
    <sheet name="SI ICE based, FFV, Fuel blend" sheetId="8" state="hidden" r:id="rId15"/>
    <sheet name="CI ICE based, Fuel blend" sheetId="9" state="hidden" r:id="rId16"/>
    <sheet name="Unit Conversions" sheetId="11" state="hidden" r:id="rId17"/>
  </sheets>
  <externalReferences>
    <externalReference r:id="rId18"/>
  </externalReferences>
  <definedNames>
    <definedName name="_ftn1" localSheetId="1">'Key Input'!$E$31</definedName>
    <definedName name="_ftnref1" localSheetId="1">'Key Input'!$E$27</definedName>
  </definedNames>
  <calcPr calcId="124519"/>
</workbook>
</file>

<file path=xl/calcChain.xml><?xml version="1.0" encoding="utf-8"?>
<calcChain xmlns="http://schemas.openxmlformats.org/spreadsheetml/2006/main">
  <c r="S3" i="1"/>
  <c r="Y3"/>
  <c r="E4" i="15"/>
  <c r="G21" i="10"/>
  <c r="S49" i="1" l="1"/>
  <c r="R49"/>
  <c r="S48"/>
  <c r="R48"/>
  <c r="S47"/>
  <c r="R47"/>
  <c r="B30" i="18" l="1"/>
  <c r="H4" i="12" l="1"/>
  <c r="M4" i="15"/>
  <c r="H4"/>
  <c r="H5" s="1"/>
  <c r="H6" s="1"/>
  <c r="M4" i="12"/>
  <c r="C4"/>
  <c r="C5" s="1"/>
  <c r="J7"/>
  <c r="O7" s="1"/>
  <c r="H7"/>
  <c r="M7" s="1"/>
  <c r="M5"/>
  <c r="M6" s="1"/>
  <c r="H5"/>
  <c r="H6" s="1"/>
  <c r="L3"/>
  <c r="H3"/>
  <c r="M3" s="1"/>
  <c r="G3"/>
  <c r="O2"/>
  <c r="M2"/>
  <c r="J2"/>
  <c r="H2"/>
  <c r="G2"/>
  <c r="L2" s="1"/>
  <c r="O7" i="15"/>
  <c r="M5"/>
  <c r="M6" s="1"/>
  <c r="L3"/>
  <c r="H2"/>
  <c r="M2" s="1"/>
  <c r="J2"/>
  <c r="O2" s="1"/>
  <c r="H3"/>
  <c r="M3" s="1"/>
  <c r="H7"/>
  <c r="M7" s="1"/>
  <c r="J7"/>
  <c r="G3"/>
  <c r="G2"/>
  <c r="L2" s="1"/>
  <c r="A5"/>
  <c r="A6"/>
  <c r="A4"/>
  <c r="C4"/>
  <c r="C5" s="1"/>
  <c r="C6" s="1"/>
  <c r="B18" i="18"/>
  <c r="B19"/>
  <c r="B17"/>
  <c r="C4" i="10"/>
  <c r="B5" i="18"/>
  <c r="F10"/>
  <c r="F6"/>
  <c r="E4" s="1"/>
  <c r="E8" s="1"/>
  <c r="B10" i="14"/>
  <c r="G10"/>
  <c r="H10"/>
  <c r="I10"/>
  <c r="B25"/>
  <c r="D25"/>
  <c r="G25"/>
  <c r="D5"/>
  <c r="E5"/>
  <c r="F5"/>
  <c r="G5"/>
  <c r="H5"/>
  <c r="I5"/>
  <c r="D6"/>
  <c r="G6"/>
  <c r="D17"/>
  <c r="G17"/>
  <c r="B7"/>
  <c r="B8"/>
  <c r="B11"/>
  <c r="B12"/>
  <c r="B13"/>
  <c r="B14"/>
  <c r="B15"/>
  <c r="B18"/>
  <c r="B9" i="2"/>
  <c r="B17" s="1"/>
  <c r="B25" s="1"/>
  <c r="C29" i="14" s="1"/>
  <c r="B10" i="2"/>
  <c r="B18" s="1"/>
  <c r="B26" s="1"/>
  <c r="C30" i="14" s="1"/>
  <c r="B46"/>
  <c r="A9" i="2"/>
  <c r="B45" i="14" s="1"/>
  <c r="A10" i="2"/>
  <c r="C6" i="12" l="1"/>
  <c r="C22" i="14"/>
  <c r="C14"/>
  <c r="C21"/>
  <c r="C13"/>
  <c r="B8" i="5"/>
  <c r="B9"/>
  <c r="B10"/>
  <c r="B11"/>
  <c r="B12"/>
  <c r="B13"/>
  <c r="B14"/>
  <c r="B6"/>
  <c r="B4"/>
  <c r="B3"/>
  <c r="B7" i="4"/>
  <c r="B8"/>
  <c r="B9"/>
  <c r="B11"/>
  <c r="B12"/>
  <c r="B13"/>
  <c r="B14"/>
  <c r="B6"/>
  <c r="B4"/>
  <c r="B3"/>
  <c r="B7" i="3"/>
  <c r="B8"/>
  <c r="B9"/>
  <c r="B10"/>
  <c r="B12"/>
  <c r="B13"/>
  <c r="B14"/>
  <c r="B6"/>
  <c r="B4"/>
  <c r="B3"/>
  <c r="B7" i="2"/>
  <c r="B8"/>
  <c r="B11"/>
  <c r="B6"/>
  <c r="B4"/>
  <c r="C8" i="14" s="1"/>
  <c r="B3" i="2"/>
  <c r="C7" i="14" s="1"/>
  <c r="B4" i="10"/>
  <c r="B18"/>
  <c r="B17"/>
  <c r="B14" i="2" l="1"/>
  <c r="C18" i="14" s="1"/>
  <c r="C10"/>
  <c r="B15" i="2"/>
  <c r="C11" i="14"/>
  <c r="B22" i="2"/>
  <c r="C26" i="14" s="1"/>
  <c r="B19" i="2"/>
  <c r="C15" i="14"/>
  <c r="B16" i="2"/>
  <c r="C12" i="14"/>
  <c r="B80"/>
  <c r="B79"/>
  <c r="B78"/>
  <c r="B76"/>
  <c r="B75"/>
  <c r="B74"/>
  <c r="B73"/>
  <c r="B72"/>
  <c r="B39"/>
  <c r="B38"/>
  <c r="G37"/>
  <c r="D37"/>
  <c r="I36"/>
  <c r="H36"/>
  <c r="G36"/>
  <c r="F36"/>
  <c r="E36"/>
  <c r="D36"/>
  <c r="B27" i="2" l="1"/>
  <c r="C31" i="14" s="1"/>
  <c r="C23"/>
  <c r="B24" i="2"/>
  <c r="C28" i="14" s="1"/>
  <c r="C20"/>
  <c r="B23" i="2"/>
  <c r="C27" i="14" s="1"/>
  <c r="C19"/>
  <c r="X60" i="1" l="1"/>
  <c r="X61" s="1"/>
  <c r="X62" s="1"/>
  <c r="X63" s="1"/>
  <c r="X64" s="1"/>
  <c r="X65" s="1"/>
  <c r="X39"/>
  <c r="X44" s="1"/>
  <c r="X45" s="1"/>
  <c r="X46" s="1"/>
  <c r="X47" s="1"/>
  <c r="X48" s="1"/>
  <c r="X49" s="1"/>
  <c r="X29"/>
  <c r="X33" s="1"/>
  <c r="X18"/>
  <c r="X23" s="1"/>
  <c r="R36"/>
  <c r="X30" l="1"/>
  <c r="X31" s="1"/>
  <c r="X32" s="1"/>
  <c r="X51"/>
  <c r="X53" s="1"/>
  <c r="X54" s="1"/>
  <c r="X55" s="1"/>
  <c r="X56" s="1"/>
  <c r="X57" s="1"/>
  <c r="X58" s="1"/>
  <c r="X67"/>
  <c r="X68" s="1"/>
  <c r="X69" s="1"/>
  <c r="X70" s="1"/>
  <c r="X71" s="1"/>
  <c r="X72" s="1"/>
  <c r="R32"/>
  <c r="C13" i="11" l="1"/>
  <c r="E18" i="10" l="1"/>
  <c r="D18"/>
  <c r="E19"/>
  <c r="D19"/>
  <c r="E13"/>
  <c r="E23" s="1"/>
  <c r="D13"/>
  <c r="D23" s="1"/>
  <c r="H2"/>
  <c r="F2" s="1"/>
  <c r="G2"/>
  <c r="E17"/>
  <c r="E9"/>
  <c r="E7"/>
  <c r="D9"/>
  <c r="D7"/>
  <c r="Y4" i="1"/>
  <c r="Y55"/>
  <c r="Y56"/>
  <c r="Y57"/>
  <c r="Y58"/>
  <c r="Y54"/>
  <c r="Y53"/>
  <c r="Y39"/>
  <c r="Y5"/>
  <c r="Y6"/>
  <c r="Y7"/>
  <c r="Y8"/>
  <c r="C25" i="10"/>
  <c r="B23"/>
  <c r="C23" s="1"/>
  <c r="C22"/>
  <c r="C21"/>
  <c r="J19"/>
  <c r="C19"/>
  <c r="C18"/>
  <c r="C17"/>
  <c r="X19" i="1" s="1"/>
  <c r="X24" s="1"/>
  <c r="C16" i="10"/>
  <c r="C14"/>
  <c r="C13"/>
  <c r="C11"/>
  <c r="C9"/>
  <c r="C8"/>
  <c r="C7"/>
  <c r="C6"/>
  <c r="C5"/>
  <c r="X13" i="1"/>
  <c r="C3" i="10"/>
  <c r="X12" i="1" s="1"/>
  <c r="C2" i="10"/>
  <c r="D1" i="2"/>
  <c r="X14" i="1" l="1"/>
  <c r="Y13"/>
  <c r="X20"/>
  <c r="X25" s="1"/>
  <c r="Y25" s="1"/>
  <c r="X9"/>
  <c r="Y40"/>
  <c r="H3" i="10"/>
  <c r="H4"/>
  <c r="F4" s="1"/>
  <c r="I14"/>
  <c r="Y42" i="1"/>
  <c r="Y41"/>
  <c r="A3" i="8"/>
  <c r="A3" i="7"/>
  <c r="E2"/>
  <c r="B2"/>
  <c r="G1"/>
  <c r="F1"/>
  <c r="E1"/>
  <c r="D1"/>
  <c r="C1"/>
  <c r="B1"/>
  <c r="E2" i="8"/>
  <c r="E2" i="9" s="1"/>
  <c r="B2" i="8"/>
  <c r="B2" i="9" s="1"/>
  <c r="G1" i="8"/>
  <c r="G1" i="9" s="1"/>
  <c r="F1" i="8"/>
  <c r="F1" i="9" s="1"/>
  <c r="E1" i="8"/>
  <c r="E1" i="9" s="1"/>
  <c r="D1" i="8"/>
  <c r="D1" i="9" s="1"/>
  <c r="C1" i="8"/>
  <c r="C1" i="9" s="1"/>
  <c r="B1" i="8"/>
  <c r="B1" i="9" s="1"/>
  <c r="A14" i="5"/>
  <c r="B69" i="14" s="1"/>
  <c r="A15" i="6"/>
  <c r="A16"/>
  <c r="A17"/>
  <c r="A18"/>
  <c r="A7"/>
  <c r="A8"/>
  <c r="A9"/>
  <c r="A10"/>
  <c r="A11"/>
  <c r="A13"/>
  <c r="A14"/>
  <c r="A6"/>
  <c r="A13" i="5"/>
  <c r="B68" i="14" s="1"/>
  <c r="A8" i="5"/>
  <c r="B63" i="14" s="1"/>
  <c r="A9" i="5"/>
  <c r="B64" i="14" s="1"/>
  <c r="A10" i="5"/>
  <c r="B65" i="14" s="1"/>
  <c r="A11" i="5"/>
  <c r="B66" i="14" s="1"/>
  <c r="A12" i="5"/>
  <c r="B67" i="14" s="1"/>
  <c r="A6" i="5"/>
  <c r="A12" i="4"/>
  <c r="B56" i="14" s="1"/>
  <c r="A13" i="4"/>
  <c r="B57" i="14" s="1"/>
  <c r="A14" i="4"/>
  <c r="B58" i="14" s="1"/>
  <c r="A7" i="4"/>
  <c r="B51" i="14" s="1"/>
  <c r="A8" i="4"/>
  <c r="B52" i="14" s="1"/>
  <c r="A9" i="4"/>
  <c r="B53" i="14" s="1"/>
  <c r="A11" i="4"/>
  <c r="B55" i="14" s="1"/>
  <c r="A6" i="4"/>
  <c r="B50" i="14" s="1"/>
  <c r="A13" i="3"/>
  <c r="A8" i="9" s="1"/>
  <c r="A14" i="3"/>
  <c r="A9" i="9" s="1"/>
  <c r="A7" i="3"/>
  <c r="A8"/>
  <c r="A9"/>
  <c r="A10"/>
  <c r="A12"/>
  <c r="A7" i="9" s="1"/>
  <c r="A6" i="3"/>
  <c r="A4" i="6"/>
  <c r="A3"/>
  <c r="E2"/>
  <c r="B2"/>
  <c r="G1"/>
  <c r="F1"/>
  <c r="E1"/>
  <c r="D1"/>
  <c r="C1"/>
  <c r="B1"/>
  <c r="A4" i="5"/>
  <c r="A3"/>
  <c r="F2"/>
  <c r="C2"/>
  <c r="H1"/>
  <c r="G1"/>
  <c r="F1"/>
  <c r="E1"/>
  <c r="D1"/>
  <c r="C1"/>
  <c r="A4" i="4"/>
  <c r="A3"/>
  <c r="F2"/>
  <c r="C2"/>
  <c r="H1"/>
  <c r="G1"/>
  <c r="F1"/>
  <c r="E1"/>
  <c r="D1"/>
  <c r="C1"/>
  <c r="A4" i="3"/>
  <c r="A3" i="9" s="1"/>
  <c r="A3" i="3"/>
  <c r="F2"/>
  <c r="C2"/>
  <c r="H1"/>
  <c r="G1"/>
  <c r="F1"/>
  <c r="E1"/>
  <c r="D1"/>
  <c r="C1"/>
  <c r="A8" i="2"/>
  <c r="B44" i="14" s="1"/>
  <c r="A11" i="2"/>
  <c r="B47" i="14" s="1"/>
  <c r="A7" i="2"/>
  <c r="B43" i="14" s="1"/>
  <c r="A6" i="2"/>
  <c r="B42" i="14" s="1"/>
  <c r="C2" i="2"/>
  <c r="F2"/>
  <c r="E1"/>
  <c r="F1"/>
  <c r="G1"/>
  <c r="H1"/>
  <c r="C1"/>
  <c r="A3"/>
  <c r="A4"/>
  <c r="AF27" i="1"/>
  <c r="AF28"/>
  <c r="AF34"/>
  <c r="AF38"/>
  <c r="AF50"/>
  <c r="AF59"/>
  <c r="AF66"/>
  <c r="AB50"/>
  <c r="AC50"/>
  <c r="AB59"/>
  <c r="AC59"/>
  <c r="AB66"/>
  <c r="AC66"/>
  <c r="AE27"/>
  <c r="AE28"/>
  <c r="AE34"/>
  <c r="AE38"/>
  <c r="AE50"/>
  <c r="AE59"/>
  <c r="AE66"/>
  <c r="V72"/>
  <c r="W72"/>
  <c r="U72"/>
  <c r="S72"/>
  <c r="R72"/>
  <c r="Y72"/>
  <c r="L21"/>
  <c r="L19"/>
  <c r="L18"/>
  <c r="L10"/>
  <c r="K21"/>
  <c r="K19"/>
  <c r="K18"/>
  <c r="K10"/>
  <c r="J33"/>
  <c r="I33"/>
  <c r="J25"/>
  <c r="I25"/>
  <c r="J24"/>
  <c r="I24"/>
  <c r="I26"/>
  <c r="K26" s="1"/>
  <c r="J26"/>
  <c r="J23"/>
  <c r="I23"/>
  <c r="T49"/>
  <c r="H49" s="1"/>
  <c r="T47"/>
  <c r="H47" s="1"/>
  <c r="M24"/>
  <c r="M26"/>
  <c r="M23"/>
  <c r="M19"/>
  <c r="M21"/>
  <c r="M18"/>
  <c r="M10"/>
  <c r="H61"/>
  <c r="K61" s="1"/>
  <c r="H62"/>
  <c r="L62" s="1"/>
  <c r="H63"/>
  <c r="K63" s="1"/>
  <c r="H64"/>
  <c r="K64" s="1"/>
  <c r="H65"/>
  <c r="L65" s="1"/>
  <c r="H67"/>
  <c r="M67" s="1"/>
  <c r="H68"/>
  <c r="L68" s="1"/>
  <c r="H69"/>
  <c r="K69" s="1"/>
  <c r="H70"/>
  <c r="L70" s="1"/>
  <c r="H71"/>
  <c r="L71" s="1"/>
  <c r="H60"/>
  <c r="L60" s="1"/>
  <c r="H37"/>
  <c r="L37" s="1"/>
  <c r="K36"/>
  <c r="H35"/>
  <c r="L35" s="1"/>
  <c r="H30"/>
  <c r="L30" s="1"/>
  <c r="H31"/>
  <c r="K31" s="1"/>
  <c r="L32"/>
  <c r="H33"/>
  <c r="K33" s="1"/>
  <c r="H29"/>
  <c r="K29" s="1"/>
  <c r="Y33"/>
  <c r="AD33" s="1"/>
  <c r="Y44"/>
  <c r="Y45"/>
  <c r="Y46"/>
  <c r="Y47"/>
  <c r="AD47" s="1"/>
  <c r="AF47" s="1"/>
  <c r="H11" i="5" s="1"/>
  <c r="I66" i="14" s="1"/>
  <c r="Y48" i="1"/>
  <c r="AD48" s="1"/>
  <c r="AF48" s="1"/>
  <c r="H12" i="5" s="1"/>
  <c r="I67" i="14" s="1"/>
  <c r="Y49" i="1"/>
  <c r="AD49" s="1"/>
  <c r="F13" i="5" s="1"/>
  <c r="G68" i="14" s="1"/>
  <c r="Y51" i="1"/>
  <c r="Y60"/>
  <c r="AD60" s="1"/>
  <c r="AE60" s="1"/>
  <c r="F6" i="6" s="1"/>
  <c r="Y61" i="1"/>
  <c r="AD61" s="1"/>
  <c r="AE61" s="1"/>
  <c r="F7" i="6" s="1"/>
  <c r="Y62" i="1"/>
  <c r="AD62" s="1"/>
  <c r="E8" i="6" s="1"/>
  <c r="Y63" i="1"/>
  <c r="AD63" s="1"/>
  <c r="AF63" s="1"/>
  <c r="G9" i="6" s="1"/>
  <c r="Y64" i="1"/>
  <c r="AD64" s="1"/>
  <c r="AE64" s="1"/>
  <c r="F10" i="6" s="1"/>
  <c r="Y65" i="1"/>
  <c r="AD65" s="1"/>
  <c r="AE65" s="1"/>
  <c r="F11" i="6" s="1"/>
  <c r="Y67" i="1"/>
  <c r="AD67" s="1"/>
  <c r="E13" i="6" s="1"/>
  <c r="Y68" i="1"/>
  <c r="AD68" s="1"/>
  <c r="Y69"/>
  <c r="AD69" s="1"/>
  <c r="E15" i="6" s="1"/>
  <c r="Y70" i="1"/>
  <c r="AD70" s="1"/>
  <c r="AF70" s="1"/>
  <c r="G16" i="6" s="1"/>
  <c r="Y71" i="1"/>
  <c r="AD71" s="1"/>
  <c r="Y32"/>
  <c r="AD32" s="1"/>
  <c r="G75" i="14" s="1"/>
  <c r="Y31" i="1"/>
  <c r="AD31" s="1"/>
  <c r="Y30"/>
  <c r="AD30" s="1"/>
  <c r="Y29"/>
  <c r="AD29" s="1"/>
  <c r="Y24"/>
  <c r="Y23"/>
  <c r="Y19"/>
  <c r="Y18"/>
  <c r="Y12"/>
  <c r="Y10"/>
  <c r="R26"/>
  <c r="R24"/>
  <c r="R23"/>
  <c r="R21"/>
  <c r="R19"/>
  <c r="R18"/>
  <c r="R10"/>
  <c r="S21"/>
  <c r="S19"/>
  <c r="S18"/>
  <c r="S10"/>
  <c r="Q26"/>
  <c r="S26" s="1"/>
  <c r="Q24"/>
  <c r="S24" s="1"/>
  <c r="Q23"/>
  <c r="S23" s="1"/>
  <c r="X15" l="1"/>
  <c r="Y15" s="1"/>
  <c r="Y14"/>
  <c r="Y20"/>
  <c r="F7" i="3"/>
  <c r="E14" i="8" s="1"/>
  <c r="G73" i="14"/>
  <c r="AF29" i="1"/>
  <c r="G72" i="14"/>
  <c r="AE31" i="1"/>
  <c r="G74" i="14"/>
  <c r="F10" i="3"/>
  <c r="E17" i="8" s="1"/>
  <c r="G76" i="14"/>
  <c r="A6" i="7"/>
  <c r="B61" i="14"/>
  <c r="X21" i="1"/>
  <c r="X35"/>
  <c r="X16"/>
  <c r="Y16" s="1"/>
  <c r="Y9"/>
  <c r="AD19"/>
  <c r="F7" i="4" s="1"/>
  <c r="G51" i="14" s="1"/>
  <c r="AD18" i="1"/>
  <c r="F6" i="4" s="1"/>
  <c r="F3" i="10"/>
  <c r="G3"/>
  <c r="H5"/>
  <c r="F5" s="1"/>
  <c r="AD72" i="1"/>
  <c r="AF72" s="1"/>
  <c r="G18" i="6" s="1"/>
  <c r="AF31" i="1"/>
  <c r="L31"/>
  <c r="AA72"/>
  <c r="AC72" s="1"/>
  <c r="D18" i="6" s="1"/>
  <c r="K70" i="1"/>
  <c r="L36"/>
  <c r="L61"/>
  <c r="K71"/>
  <c r="AF62"/>
  <c r="G8" i="6" s="1"/>
  <c r="AA19" i="1"/>
  <c r="F6" i="3"/>
  <c r="E13" i="8" s="1"/>
  <c r="AD23" i="1"/>
  <c r="F11" i="4" s="1"/>
  <c r="AA18" i="1"/>
  <c r="AC18" s="1"/>
  <c r="E6" i="4" s="1"/>
  <c r="AA23" i="1"/>
  <c r="C11" i="4" s="1"/>
  <c r="K65" i="1"/>
  <c r="AE29"/>
  <c r="F11" i="5"/>
  <c r="G66" i="14" s="1"/>
  <c r="AD24" i="1"/>
  <c r="F12" i="4" s="1"/>
  <c r="G56" i="14" s="1"/>
  <c r="AA24" i="1"/>
  <c r="C12" i="4" s="1"/>
  <c r="D56" i="14" s="1"/>
  <c r="E16" i="6"/>
  <c r="AE62" i="1"/>
  <c r="F8" i="6" s="1"/>
  <c r="AE30" i="1"/>
  <c r="AF61"/>
  <c r="G7" i="6" s="1"/>
  <c r="AE72" i="1"/>
  <c r="F18" i="6" s="1"/>
  <c r="E17"/>
  <c r="AE71" i="1"/>
  <c r="F17" i="6" s="1"/>
  <c r="AA10" i="1"/>
  <c r="L26"/>
  <c r="AF33"/>
  <c r="F8" i="3"/>
  <c r="E15" i="8" s="1"/>
  <c r="AD10" i="1"/>
  <c r="M62"/>
  <c r="K30"/>
  <c r="K32"/>
  <c r="K35"/>
  <c r="K37"/>
  <c r="K62"/>
  <c r="K67"/>
  <c r="AE70"/>
  <c r="F16" i="6" s="1"/>
  <c r="AE18" i="1"/>
  <c r="G6" i="4" s="1"/>
  <c r="AF65" i="1"/>
  <c r="G11" i="6" s="1"/>
  <c r="AF60" i="1"/>
  <c r="G6" i="6" s="1"/>
  <c r="AF30" i="1"/>
  <c r="AF18"/>
  <c r="H6" i="4" s="1"/>
  <c r="AF32" i="1"/>
  <c r="F9" i="3"/>
  <c r="E16" i="8" s="1"/>
  <c r="L29" i="1"/>
  <c r="AE32"/>
  <c r="M65"/>
  <c r="L67"/>
  <c r="AE67"/>
  <c r="F13" i="6" s="1"/>
  <c r="AF64" i="1"/>
  <c r="G10" i="6" s="1"/>
  <c r="AE49" i="1"/>
  <c r="G13" i="5" s="1"/>
  <c r="H68" i="14" s="1"/>
  <c r="AF49" i="1"/>
  <c r="H13" i="5" s="1"/>
  <c r="I68" i="14" s="1"/>
  <c r="AA49" i="1"/>
  <c r="C13" i="5" s="1"/>
  <c r="D68" i="14" s="1"/>
  <c r="F12" i="5"/>
  <c r="G67" i="14" s="1"/>
  <c r="AE47" i="1"/>
  <c r="G11" i="5" s="1"/>
  <c r="H66" i="14" s="1"/>
  <c r="AE48" i="1"/>
  <c r="G12" i="5" s="1"/>
  <c r="H67" i="14" s="1"/>
  <c r="H72" i="1"/>
  <c r="K68"/>
  <c r="AF68"/>
  <c r="G14" i="6" s="1"/>
  <c r="E9"/>
  <c r="M69" i="1"/>
  <c r="L63"/>
  <c r="L64"/>
  <c r="L69"/>
  <c r="AE63"/>
  <c r="F9" i="6" s="1"/>
  <c r="AF69" i="1"/>
  <c r="G15" i="6" s="1"/>
  <c r="E10"/>
  <c r="E6"/>
  <c r="E14"/>
  <c r="M61" i="1"/>
  <c r="M68"/>
  <c r="K60"/>
  <c r="AE68"/>
  <c r="F14" i="6" s="1"/>
  <c r="E11"/>
  <c r="E7"/>
  <c r="M60" i="1"/>
  <c r="AE69"/>
  <c r="F15" i="6" s="1"/>
  <c r="AF71" i="1"/>
  <c r="G17" i="6" s="1"/>
  <c r="AF67" i="1"/>
  <c r="G13" i="6" s="1"/>
  <c r="L24" i="1"/>
  <c r="K24"/>
  <c r="L23"/>
  <c r="K23"/>
  <c r="K49"/>
  <c r="L49"/>
  <c r="K47"/>
  <c r="L47"/>
  <c r="L33"/>
  <c r="AE33"/>
  <c r="AA71"/>
  <c r="AA69"/>
  <c r="AA67"/>
  <c r="AA64"/>
  <c r="AA62"/>
  <c r="AA60"/>
  <c r="AA47"/>
  <c r="AA33"/>
  <c r="D76" i="14" s="1"/>
  <c r="AA31" i="1"/>
  <c r="D74" i="14" s="1"/>
  <c r="AA29" i="1"/>
  <c r="D72" i="14" s="1"/>
  <c r="AA70" i="1"/>
  <c r="AA68"/>
  <c r="AA65"/>
  <c r="AA63"/>
  <c r="AA61"/>
  <c r="AA48"/>
  <c r="AA32"/>
  <c r="D75" i="14" s="1"/>
  <c r="AA30" i="1"/>
  <c r="D73" i="14" s="1"/>
  <c r="G10" i="3" l="1"/>
  <c r="F17" i="8" s="1"/>
  <c r="H76" i="14"/>
  <c r="AE19" i="1"/>
  <c r="G7" i="4" s="1"/>
  <c r="H51" i="14" s="1"/>
  <c r="H8" i="3"/>
  <c r="G15" i="8" s="1"/>
  <c r="I74" i="14"/>
  <c r="G6" i="3"/>
  <c r="F13" i="8" s="1"/>
  <c r="H72" i="14"/>
  <c r="G7" i="3"/>
  <c r="F14" i="8" s="1"/>
  <c r="H73" i="14"/>
  <c r="H6" i="3"/>
  <c r="G13" i="8" s="1"/>
  <c r="I72" i="14"/>
  <c r="H7" i="3"/>
  <c r="G14" i="8" s="1"/>
  <c r="I73" i="14"/>
  <c r="H10" i="3"/>
  <c r="G17" i="8" s="1"/>
  <c r="I76" i="14"/>
  <c r="AF19" i="1"/>
  <c r="H7" i="4" s="1"/>
  <c r="I51" i="14" s="1"/>
  <c r="G8" i="3"/>
  <c r="F15" i="8" s="1"/>
  <c r="H74" i="14"/>
  <c r="E11" i="8"/>
  <c r="G50" i="14"/>
  <c r="B12" i="8"/>
  <c r="D55" i="14"/>
  <c r="D11" i="8"/>
  <c r="F50" i="14"/>
  <c r="G11" i="8"/>
  <c r="I50" i="14"/>
  <c r="F11" i="8"/>
  <c r="H50" i="14"/>
  <c r="E12" i="8"/>
  <c r="G55" i="14"/>
  <c r="X36" i="1"/>
  <c r="Y35"/>
  <c r="X26"/>
  <c r="Y26" s="1"/>
  <c r="Y21"/>
  <c r="G9" i="3"/>
  <c r="F16" i="8" s="1"/>
  <c r="H75" i="14"/>
  <c r="H9" i="3"/>
  <c r="G16" i="8" s="1"/>
  <c r="I75" i="14"/>
  <c r="E18" i="6"/>
  <c r="AB24" i="1"/>
  <c r="D12" i="4" s="1"/>
  <c r="E56" i="14" s="1"/>
  <c r="AC24" i="1"/>
  <c r="E12" i="4" s="1"/>
  <c r="F56" i="14" s="1"/>
  <c r="AE23" i="1"/>
  <c r="G11" i="4" s="1"/>
  <c r="AB23" i="1"/>
  <c r="D11" i="4" s="1"/>
  <c r="AF23" i="1"/>
  <c r="H11" i="4" s="1"/>
  <c r="H6" i="10"/>
  <c r="F6" s="1"/>
  <c r="G5"/>
  <c r="AB72" i="1"/>
  <c r="C18" i="6" s="1"/>
  <c r="AE24" i="1"/>
  <c r="G12" i="4" s="1"/>
  <c r="H56" i="14" s="1"/>
  <c r="B18" i="6"/>
  <c r="AC23" i="1"/>
  <c r="E11" i="4" s="1"/>
  <c r="AF24" i="1"/>
  <c r="H12" i="4" s="1"/>
  <c r="I56" i="14" s="1"/>
  <c r="AB19" i="1"/>
  <c r="D7" i="4" s="1"/>
  <c r="E51" i="14" s="1"/>
  <c r="C7" i="4"/>
  <c r="D51" i="14" s="1"/>
  <c r="AC19" i="1"/>
  <c r="E7" i="4" s="1"/>
  <c r="F51" i="14" s="1"/>
  <c r="AB18" i="1"/>
  <c r="D6" i="4" s="1"/>
  <c r="C6"/>
  <c r="C10" i="3"/>
  <c r="AC33" i="1"/>
  <c r="C9" i="3"/>
  <c r="AB32" i="1"/>
  <c r="AC32"/>
  <c r="AB29"/>
  <c r="C6" i="3"/>
  <c r="B13" i="8" s="1"/>
  <c r="AC29" i="1"/>
  <c r="AC10"/>
  <c r="E6" i="2" s="1"/>
  <c r="AB10" i="1"/>
  <c r="D6" i="2" s="1"/>
  <c r="C6"/>
  <c r="D10" i="14" s="1"/>
  <c r="AB49" i="1"/>
  <c r="D13" i="5" s="1"/>
  <c r="E68" i="14" s="1"/>
  <c r="C8" i="3"/>
  <c r="B15" i="8" s="1"/>
  <c r="AB31" i="1"/>
  <c r="AC31"/>
  <c r="F6" i="2"/>
  <c r="AF10" i="1"/>
  <c r="H6" i="2" s="1"/>
  <c r="I42" i="14" s="1"/>
  <c r="AE10" i="1"/>
  <c r="G6" i="2" s="1"/>
  <c r="H42" i="14" s="1"/>
  <c r="C7" i="3"/>
  <c r="B14" i="8" s="1"/>
  <c r="AC30" i="1"/>
  <c r="AB30"/>
  <c r="AB33"/>
  <c r="AC49"/>
  <c r="E13" i="5" s="1"/>
  <c r="F68" i="14" s="1"/>
  <c r="AC61" i="1"/>
  <c r="D7" i="6" s="1"/>
  <c r="AB61" i="1"/>
  <c r="C7" i="6" s="1"/>
  <c r="B7"/>
  <c r="AC70" i="1"/>
  <c r="D16" i="6" s="1"/>
  <c r="B16"/>
  <c r="AB70" i="1"/>
  <c r="C16" i="6" s="1"/>
  <c r="B6"/>
  <c r="AC60" i="1"/>
  <c r="D6" i="6" s="1"/>
  <c r="AB60" i="1"/>
  <c r="C6" i="6" s="1"/>
  <c r="AC69" i="1"/>
  <c r="D15" i="6" s="1"/>
  <c r="B15"/>
  <c r="AB69" i="1"/>
  <c r="C15" i="6" s="1"/>
  <c r="L72" i="1"/>
  <c r="K72"/>
  <c r="AC68"/>
  <c r="D14" i="6" s="1"/>
  <c r="B14"/>
  <c r="AB68" i="1"/>
  <c r="C14" i="6" s="1"/>
  <c r="AC67" i="1"/>
  <c r="D13" i="6" s="1"/>
  <c r="B13"/>
  <c r="AB67" i="1"/>
  <c r="C13" i="6" s="1"/>
  <c r="AC65" i="1"/>
  <c r="D11" i="6" s="1"/>
  <c r="AB65" i="1"/>
  <c r="C11" i="6" s="1"/>
  <c r="B11"/>
  <c r="AC64" i="1"/>
  <c r="D10" i="6" s="1"/>
  <c r="B10"/>
  <c r="AB64" i="1"/>
  <c r="C10" i="6" s="1"/>
  <c r="B9"/>
  <c r="AC63" i="1"/>
  <c r="D9" i="6" s="1"/>
  <c r="AB63" i="1"/>
  <c r="C9" i="6" s="1"/>
  <c r="B8"/>
  <c r="AC62" i="1"/>
  <c r="D8" i="6" s="1"/>
  <c r="AB62" i="1"/>
  <c r="C8" i="6" s="1"/>
  <c r="AC71" i="1"/>
  <c r="D17" i="6" s="1"/>
  <c r="B17"/>
  <c r="AB71" i="1"/>
  <c r="C17" i="6" s="1"/>
  <c r="AC48" i="1"/>
  <c r="E12" i="5" s="1"/>
  <c r="F67" i="14" s="1"/>
  <c r="C12" i="5"/>
  <c r="D67" i="14" s="1"/>
  <c r="AB48" i="1"/>
  <c r="D12" i="5" s="1"/>
  <c r="E67" i="14" s="1"/>
  <c r="AC47" i="1"/>
  <c r="E11" i="5" s="1"/>
  <c r="F66" i="14" s="1"/>
  <c r="C11" i="5"/>
  <c r="D66" i="14" s="1"/>
  <c r="AB47" i="1"/>
  <c r="D11" i="5" s="1"/>
  <c r="E66" i="14" s="1"/>
  <c r="E42" l="1"/>
  <c r="E10"/>
  <c r="F42"/>
  <c r="F10"/>
  <c r="E7" i="3"/>
  <c r="D14" i="8" s="1"/>
  <c r="F73" i="14"/>
  <c r="D8" i="3"/>
  <c r="C15" i="8" s="1"/>
  <c r="E74" i="14"/>
  <c r="D6" i="3"/>
  <c r="C13" i="8" s="1"/>
  <c r="E72" i="14"/>
  <c r="D10" i="3"/>
  <c r="C17" i="8" s="1"/>
  <c r="E76" i="14"/>
  <c r="E10" i="3"/>
  <c r="D17" i="8" s="1"/>
  <c r="F76" i="14"/>
  <c r="D7" i="3"/>
  <c r="C14" i="8" s="1"/>
  <c r="E73" i="14"/>
  <c r="E8" i="3"/>
  <c r="D15" i="8" s="1"/>
  <c r="F74" i="14"/>
  <c r="E6" i="3"/>
  <c r="D13" i="8" s="1"/>
  <c r="F72" i="14"/>
  <c r="B11" i="8"/>
  <c r="D50" i="14"/>
  <c r="D12" i="8"/>
  <c r="F55" i="14"/>
  <c r="G12" i="8"/>
  <c r="I55" i="14"/>
  <c r="C11" i="8"/>
  <c r="E50" i="14"/>
  <c r="C12" i="8"/>
  <c r="E55" i="14"/>
  <c r="F12" i="8"/>
  <c r="H55" i="14"/>
  <c r="G42"/>
  <c r="D42"/>
  <c r="AD35" i="1"/>
  <c r="AA35"/>
  <c r="X37"/>
  <c r="Y37" s="1"/>
  <c r="Y36"/>
  <c r="AD21"/>
  <c r="AA21"/>
  <c r="AA26"/>
  <c r="AD26"/>
  <c r="E9" i="3"/>
  <c r="D16" i="8" s="1"/>
  <c r="F75" i="14"/>
  <c r="D9" i="3"/>
  <c r="C16" i="8" s="1"/>
  <c r="E75" i="14"/>
  <c r="H7" i="10"/>
  <c r="F7" s="1"/>
  <c r="G6"/>
  <c r="B17" i="8"/>
  <c r="B16"/>
  <c r="AF21" i="1" l="1"/>
  <c r="H9" i="4" s="1"/>
  <c r="I53" i="14" s="1"/>
  <c r="AE21" i="1"/>
  <c r="G9" i="4" s="1"/>
  <c r="H53" i="14" s="1"/>
  <c r="F9" i="4"/>
  <c r="AD36" i="1"/>
  <c r="AA36"/>
  <c r="D78" i="14"/>
  <c r="AB35" i="1"/>
  <c r="C12" i="3"/>
  <c r="AC35" i="1"/>
  <c r="F14" i="4"/>
  <c r="AE26" i="1"/>
  <c r="G14" i="4" s="1"/>
  <c r="H58" i="14" s="1"/>
  <c r="AF26" i="1"/>
  <c r="H14" i="4" s="1"/>
  <c r="I58" i="14" s="1"/>
  <c r="AD37" i="1"/>
  <c r="AA37"/>
  <c r="F12" i="3"/>
  <c r="G78" i="14"/>
  <c r="AE35" i="1"/>
  <c r="AF35"/>
  <c r="C14" i="4"/>
  <c r="AC26" i="1"/>
  <c r="E14" i="4" s="1"/>
  <c r="F58" i="14" s="1"/>
  <c r="AB26" i="1"/>
  <c r="D14" i="4" s="1"/>
  <c r="E58" i="14" s="1"/>
  <c r="C9" i="4"/>
  <c r="AC21" i="1"/>
  <c r="E9" i="4" s="1"/>
  <c r="F53" i="14" s="1"/>
  <c r="AB21" i="1"/>
  <c r="D9" i="4" s="1"/>
  <c r="E53" i="14" s="1"/>
  <c r="H8" i="10"/>
  <c r="F8" s="1"/>
  <c r="G7"/>
  <c r="H12" i="3" l="1"/>
  <c r="G7" i="9" s="1"/>
  <c r="I78" i="14"/>
  <c r="E7" i="9"/>
  <c r="D79" i="14"/>
  <c r="C13" i="3"/>
  <c r="AB36" i="1"/>
  <c r="AC36"/>
  <c r="G53" i="14"/>
  <c r="D53"/>
  <c r="D58"/>
  <c r="G12" i="3"/>
  <c r="F7" i="9" s="1"/>
  <c r="H78" i="14"/>
  <c r="D80"/>
  <c r="AC37" i="1"/>
  <c r="C14" i="3"/>
  <c r="AB37" i="1"/>
  <c r="B7" i="9"/>
  <c r="F13" i="3"/>
  <c r="AF36" i="1"/>
  <c r="AE36"/>
  <c r="G79" i="14"/>
  <c r="AE37" i="1"/>
  <c r="G80" i="14"/>
  <c r="AF37" i="1"/>
  <c r="F14" i="3"/>
  <c r="G58" i="14"/>
  <c r="D12" i="3"/>
  <c r="C7" i="9" s="1"/>
  <c r="E78" i="14"/>
  <c r="E12" i="3"/>
  <c r="D7" i="9" s="1"/>
  <c r="F78" i="14"/>
  <c r="H9" i="10"/>
  <c r="F9" s="1"/>
  <c r="G8"/>
  <c r="H14" i="3" l="1"/>
  <c r="G9" i="9" s="1"/>
  <c r="I80" i="14"/>
  <c r="B9" i="9"/>
  <c r="E13" i="3"/>
  <c r="D8" i="9" s="1"/>
  <c r="F79" i="14"/>
  <c r="G13" i="3"/>
  <c r="F8" i="9" s="1"/>
  <c r="H79" i="14"/>
  <c r="E14" i="3"/>
  <c r="D9" i="9" s="1"/>
  <c r="F80" i="14"/>
  <c r="E79"/>
  <c r="D13" i="3"/>
  <c r="C8" i="9" s="1"/>
  <c r="G14" i="3"/>
  <c r="F9" i="9" s="1"/>
  <c r="H80" i="14"/>
  <c r="H13" i="3"/>
  <c r="G8" i="9" s="1"/>
  <c r="I79" i="14"/>
  <c r="B8" i="9"/>
  <c r="E9"/>
  <c r="E8"/>
  <c r="D14" i="3"/>
  <c r="C9" i="9" s="1"/>
  <c r="E80" i="14"/>
  <c r="H10" i="10"/>
  <c r="H11" s="1"/>
  <c r="F11" s="1"/>
  <c r="G9"/>
  <c r="H12" l="1"/>
  <c r="H13" s="1"/>
  <c r="H14" l="1"/>
  <c r="F13"/>
  <c r="G13" s="1"/>
  <c r="H15" l="1"/>
  <c r="H16" s="1"/>
  <c r="F14"/>
  <c r="F16" l="1"/>
  <c r="G16" s="1"/>
  <c r="H17"/>
  <c r="F17" l="1"/>
  <c r="G17" s="1"/>
  <c r="H18"/>
  <c r="H19" l="1"/>
  <c r="F18"/>
  <c r="G18" s="1"/>
  <c r="H20" l="1"/>
  <c r="H21" s="1"/>
  <c r="F19"/>
  <c r="G19" s="1"/>
  <c r="H22" l="1"/>
  <c r="H23" l="1"/>
  <c r="G22"/>
  <c r="H24" l="1"/>
  <c r="H25" s="1"/>
  <c r="F25" s="1"/>
  <c r="F23"/>
  <c r="G23" s="1"/>
  <c r="S39" i="1" l="1"/>
  <c r="R39"/>
  <c r="H9"/>
  <c r="H3"/>
  <c r="H51"/>
  <c r="R46" l="1"/>
  <c r="Q20"/>
  <c r="S20" s="1"/>
  <c r="AD20" s="1"/>
  <c r="R51"/>
  <c r="AA51" s="1"/>
  <c r="L51"/>
  <c r="K51"/>
  <c r="H4"/>
  <c r="K3"/>
  <c r="R3"/>
  <c r="AA3" s="1"/>
  <c r="M3"/>
  <c r="L3"/>
  <c r="S40"/>
  <c r="AD39"/>
  <c r="K9"/>
  <c r="M9"/>
  <c r="R9"/>
  <c r="AA9" s="1"/>
  <c r="L9"/>
  <c r="H39"/>
  <c r="R40"/>
  <c r="AA39"/>
  <c r="Q16" l="1"/>
  <c r="S16" s="1"/>
  <c r="AD16" s="1"/>
  <c r="R41"/>
  <c r="H40"/>
  <c r="AA40"/>
  <c r="AB39"/>
  <c r="D6" i="5" s="1"/>
  <c r="AG39" i="1"/>
  <c r="AC39"/>
  <c r="E6" i="5" s="1"/>
  <c r="C6"/>
  <c r="L39" i="1"/>
  <c r="K39"/>
  <c r="D39" i="14"/>
  <c r="AI63" i="1"/>
  <c r="AI60"/>
  <c r="AC9"/>
  <c r="AI62"/>
  <c r="AI64"/>
  <c r="B4" i="6"/>
  <c r="AI69" i="1"/>
  <c r="AI70"/>
  <c r="C4" i="4"/>
  <c r="C4" i="5"/>
  <c r="AI68" i="1"/>
  <c r="C4" i="2"/>
  <c r="C4" i="3"/>
  <c r="AI19" i="1"/>
  <c r="AI71"/>
  <c r="AI65"/>
  <c r="AI61"/>
  <c r="AI24"/>
  <c r="AI67"/>
  <c r="AB9"/>
  <c r="AI26"/>
  <c r="AI21"/>
  <c r="AG35"/>
  <c r="AG36"/>
  <c r="AG37"/>
  <c r="S41"/>
  <c r="AD40"/>
  <c r="AC51"/>
  <c r="E14" i="5" s="1"/>
  <c r="F69" i="14" s="1"/>
  <c r="AB51" i="1"/>
  <c r="D14" i="5" s="1"/>
  <c r="E69" i="14" s="1"/>
  <c r="C14" i="5"/>
  <c r="D69" i="14" s="1"/>
  <c r="AG51" i="1"/>
  <c r="F6" i="5"/>
  <c r="AF39" i="1"/>
  <c r="H6" i="5" s="1"/>
  <c r="AE39" i="1"/>
  <c r="G6" i="5" s="1"/>
  <c r="D38" i="14"/>
  <c r="B3" i="8"/>
  <c r="C3" i="3"/>
  <c r="C3" i="4"/>
  <c r="B3" i="6"/>
  <c r="B3" i="7"/>
  <c r="B4" s="1"/>
  <c r="AC3" i="1"/>
  <c r="C3" i="5"/>
  <c r="AB3" i="1"/>
  <c r="C3" i="2"/>
  <c r="AG18" i="1"/>
  <c r="AG31"/>
  <c r="AG30"/>
  <c r="AG10"/>
  <c r="AG23"/>
  <c r="AG33"/>
  <c r="AG32"/>
  <c r="AG29"/>
  <c r="AG49"/>
  <c r="AG48"/>
  <c r="AG47"/>
  <c r="H5"/>
  <c r="R4"/>
  <c r="AA4" s="1"/>
  <c r="L4"/>
  <c r="M4"/>
  <c r="K4"/>
  <c r="H16"/>
  <c r="AF20"/>
  <c r="H8" i="4" s="1"/>
  <c r="I52" i="14" s="1"/>
  <c r="AE20" i="1"/>
  <c r="G8" i="4" s="1"/>
  <c r="H52" i="14" s="1"/>
  <c r="F8" i="4"/>
  <c r="H46" i="1"/>
  <c r="AA46"/>
  <c r="AG46" l="1"/>
  <c r="AB46"/>
  <c r="D10" i="5" s="1"/>
  <c r="E65" i="14" s="1"/>
  <c r="C10" i="5"/>
  <c r="D65" i="14" s="1"/>
  <c r="AC46" i="1"/>
  <c r="E10" i="5" s="1"/>
  <c r="F65" i="14" s="1"/>
  <c r="K46" i="1"/>
  <c r="L46"/>
  <c r="G52" i="14"/>
  <c r="M16" i="1"/>
  <c r="K16"/>
  <c r="R16"/>
  <c r="AA16" s="1"/>
  <c r="L16"/>
  <c r="AB4"/>
  <c r="AC4"/>
  <c r="E38" i="14"/>
  <c r="D3" i="4"/>
  <c r="D3" i="2"/>
  <c r="E7" i="14" s="1"/>
  <c r="D3" i="5"/>
  <c r="C3" i="7"/>
  <c r="C4" s="1"/>
  <c r="D3" i="3"/>
  <c r="C3" i="6"/>
  <c r="C3" i="8"/>
  <c r="F38" i="14"/>
  <c r="D3" i="6"/>
  <c r="E3" i="4"/>
  <c r="D3" i="7"/>
  <c r="D4" s="1"/>
  <c r="D3" i="8"/>
  <c r="E3" i="5"/>
  <c r="E3" i="2"/>
  <c r="F7" i="14" s="1"/>
  <c r="E3" i="3"/>
  <c r="B25" i="6"/>
  <c r="B22"/>
  <c r="B21"/>
  <c r="B20"/>
  <c r="B24"/>
  <c r="D19" i="3"/>
  <c r="D16"/>
  <c r="D18"/>
  <c r="D17"/>
  <c r="I61" i="14"/>
  <c r="G6" i="7"/>
  <c r="E6"/>
  <c r="G61" i="14"/>
  <c r="H20" i="1"/>
  <c r="H12"/>
  <c r="S42"/>
  <c r="AD42" s="1"/>
  <c r="AD41"/>
  <c r="D4" i="2"/>
  <c r="E8" i="14" s="1"/>
  <c r="E39"/>
  <c r="C4" i="6"/>
  <c r="D4" i="3"/>
  <c r="C3" i="9" s="1"/>
  <c r="D4" i="5"/>
  <c r="D4" i="4"/>
  <c r="D8" i="14"/>
  <c r="C22" i="2"/>
  <c r="D26" i="14" s="1"/>
  <c r="E26" s="1"/>
  <c r="C21" i="6"/>
  <c r="C20"/>
  <c r="C24"/>
  <c r="C25"/>
  <c r="C22"/>
  <c r="F61" i="14"/>
  <c r="D6" i="7"/>
  <c r="D5" s="1"/>
  <c r="C6"/>
  <c r="C5" s="1"/>
  <c r="E61" i="14"/>
  <c r="AB40" i="1"/>
  <c r="AC40"/>
  <c r="AG40"/>
  <c r="R42"/>
  <c r="H41"/>
  <c r="AA41"/>
  <c r="AE16"/>
  <c r="G11" i="2" s="1"/>
  <c r="AF16" i="1"/>
  <c r="H11" i="2" s="1"/>
  <c r="F11"/>
  <c r="H6" i="1"/>
  <c r="M5"/>
  <c r="K5"/>
  <c r="R5"/>
  <c r="AA5" s="1"/>
  <c r="L5"/>
  <c r="D7" i="14"/>
  <c r="C14" i="2"/>
  <c r="D18" i="14" s="1"/>
  <c r="E18" s="1"/>
  <c r="B12" i="7"/>
  <c r="D21" i="4"/>
  <c r="D16"/>
  <c r="B7" i="8"/>
  <c r="B6"/>
  <c r="B5"/>
  <c r="B8"/>
  <c r="B10"/>
  <c r="B4"/>
  <c r="B9"/>
  <c r="H61" i="14"/>
  <c r="F6" i="7"/>
  <c r="Q51" i="1"/>
  <c r="S51" s="1"/>
  <c r="AD51" s="1"/>
  <c r="AE40"/>
  <c r="AF40"/>
  <c r="B3" i="9"/>
  <c r="D20" i="3"/>
  <c r="D23"/>
  <c r="D25"/>
  <c r="D24"/>
  <c r="D22" i="4"/>
  <c r="D17"/>
  <c r="D19"/>
  <c r="D24"/>
  <c r="E4" i="2"/>
  <c r="F8" i="14" s="1"/>
  <c r="E4" i="3"/>
  <c r="D3" i="9" s="1"/>
  <c r="F39" i="14"/>
  <c r="E4" i="5"/>
  <c r="E4" i="4"/>
  <c r="D4" i="6"/>
  <c r="D61" i="14"/>
  <c r="B6" i="7"/>
  <c r="K40" i="1"/>
  <c r="L40"/>
  <c r="B4" i="9" l="1"/>
  <c r="B5"/>
  <c r="B6"/>
  <c r="R45" i="1"/>
  <c r="S44"/>
  <c r="AB5"/>
  <c r="AC5"/>
  <c r="G15" i="14"/>
  <c r="G47"/>
  <c r="H47"/>
  <c r="H15"/>
  <c r="L41" i="1"/>
  <c r="K41"/>
  <c r="C4" i="9"/>
  <c r="C5"/>
  <c r="C6"/>
  <c r="AE41" i="1"/>
  <c r="AF41"/>
  <c r="K12"/>
  <c r="L12"/>
  <c r="M12"/>
  <c r="R12"/>
  <c r="AA12" s="1"/>
  <c r="R20"/>
  <c r="AA20" s="1"/>
  <c r="L20"/>
  <c r="M20"/>
  <c r="K20"/>
  <c r="D4" i="8"/>
  <c r="D10"/>
  <c r="D7"/>
  <c r="D6"/>
  <c r="D5"/>
  <c r="D9"/>
  <c r="D8"/>
  <c r="AG16" i="1"/>
  <c r="C11" i="2"/>
  <c r="AB16" i="1"/>
  <c r="AC16"/>
  <c r="E11" i="2" s="1"/>
  <c r="AI16" i="1"/>
  <c r="B17" i="7"/>
  <c r="B14"/>
  <c r="D4" i="9"/>
  <c r="D6"/>
  <c r="D5"/>
  <c r="F14" i="5"/>
  <c r="G69" i="14" s="1"/>
  <c r="AF51" i="1"/>
  <c r="H14" i="5" s="1"/>
  <c r="I69" i="14" s="1"/>
  <c r="AE51" i="1"/>
  <c r="G14" i="5" s="1"/>
  <c r="H69" i="14" s="1"/>
  <c r="H7" i="1"/>
  <c r="R6"/>
  <c r="AA6" s="1"/>
  <c r="L6"/>
  <c r="M6"/>
  <c r="K6"/>
  <c r="I47" i="14"/>
  <c r="I15"/>
  <c r="AB41" i="1"/>
  <c r="AC41"/>
  <c r="AG41"/>
  <c r="H42"/>
  <c r="AA42"/>
  <c r="AE42"/>
  <c r="AF42"/>
  <c r="H25"/>
  <c r="C6" i="8"/>
  <c r="C4"/>
  <c r="C8"/>
  <c r="C9"/>
  <c r="C7"/>
  <c r="C10"/>
  <c r="C5"/>
  <c r="S46" i="1"/>
  <c r="AD46" s="1"/>
  <c r="Q12"/>
  <c r="B5" i="7"/>
  <c r="B13" s="1"/>
  <c r="R25" i="1" l="1"/>
  <c r="AA25" s="1"/>
  <c r="M25"/>
  <c r="L25"/>
  <c r="K25"/>
  <c r="AB42"/>
  <c r="AC42"/>
  <c r="AG42"/>
  <c r="AF46"/>
  <c r="H10" i="5" s="1"/>
  <c r="I65" i="14" s="1"/>
  <c r="AE46" i="1"/>
  <c r="G10" i="5" s="1"/>
  <c r="H65" i="14" s="1"/>
  <c r="F10" i="5"/>
  <c r="G65" i="14" s="1"/>
  <c r="L42" i="1"/>
  <c r="K42"/>
  <c r="AB6"/>
  <c r="AC6"/>
  <c r="Q3"/>
  <c r="F47" i="14"/>
  <c r="F15"/>
  <c r="D15"/>
  <c r="C27" i="2"/>
  <c r="D31" i="14" s="1"/>
  <c r="E31" s="1"/>
  <c r="C19" i="2"/>
  <c r="D23" i="14" s="1"/>
  <c r="E23" s="1"/>
  <c r="D47"/>
  <c r="AB20" i="1"/>
  <c r="D8" i="4" s="1"/>
  <c r="E52" i="14" s="1"/>
  <c r="AC20" i="1"/>
  <c r="E8" i="4" s="1"/>
  <c r="F52" i="14" s="1"/>
  <c r="C8" i="4"/>
  <c r="AI20" i="1"/>
  <c r="R44"/>
  <c r="H45"/>
  <c r="AA45"/>
  <c r="H8"/>
  <c r="M7"/>
  <c r="K7"/>
  <c r="R7"/>
  <c r="AA7" s="1"/>
  <c r="L7"/>
  <c r="D11" i="2"/>
  <c r="AH16" i="1"/>
  <c r="C7" i="2"/>
  <c r="AB12" i="1"/>
  <c r="D7" i="2" s="1"/>
  <c r="AG12" i="1"/>
  <c r="AC12"/>
  <c r="E7" i="2" s="1"/>
  <c r="H13" i="1"/>
  <c r="S55"/>
  <c r="AD55" s="1"/>
  <c r="S58"/>
  <c r="AD58" s="1"/>
  <c r="S57"/>
  <c r="AD57" s="1"/>
  <c r="S56"/>
  <c r="AD56" s="1"/>
  <c r="S54"/>
  <c r="AD54" s="1"/>
  <c r="S53"/>
  <c r="AD53" s="1"/>
  <c r="AD44"/>
  <c r="E11" i="14" l="1"/>
  <c r="E43"/>
  <c r="R8" i="1"/>
  <c r="AA8" s="1"/>
  <c r="L8"/>
  <c r="M8"/>
  <c r="K8"/>
  <c r="S25"/>
  <c r="AB45"/>
  <c r="D9" i="5" s="1"/>
  <c r="E64" i="14" s="1"/>
  <c r="AG45" i="1"/>
  <c r="C9" i="5"/>
  <c r="D64" i="14" s="1"/>
  <c r="AC45" i="1"/>
  <c r="E9" i="5" s="1"/>
  <c r="F64" i="14" s="1"/>
  <c r="Q9" i="1"/>
  <c r="S9" s="1"/>
  <c r="AD9" s="1"/>
  <c r="B7" i="15"/>
  <c r="G7" s="1"/>
  <c r="L7" s="1"/>
  <c r="B7" i="12"/>
  <c r="G7" s="1"/>
  <c r="L7" s="1"/>
  <c r="AF44" i="1"/>
  <c r="H8" i="5" s="1"/>
  <c r="I63" i="14" s="1"/>
  <c r="F8" i="5"/>
  <c r="G63" i="14" s="1"/>
  <c r="AE44" i="1"/>
  <c r="G8" i="5" s="1"/>
  <c r="H63" i="14" s="1"/>
  <c r="L13" i="1"/>
  <c r="R13"/>
  <c r="AA13" s="1"/>
  <c r="K13"/>
  <c r="M13"/>
  <c r="C23" i="2"/>
  <c r="D27" i="14" s="1"/>
  <c r="E27" s="1"/>
  <c r="D11"/>
  <c r="D43"/>
  <c r="C15" i="2"/>
  <c r="D19" i="14" s="1"/>
  <c r="E19" s="1"/>
  <c r="E47"/>
  <c r="E15"/>
  <c r="AB7" i="1"/>
  <c r="AC7"/>
  <c r="K45"/>
  <c r="L45"/>
  <c r="D52" i="14"/>
  <c r="D18" i="4"/>
  <c r="S45" i="1"/>
  <c r="AD45" s="1"/>
  <c r="H14"/>
  <c r="F43" i="14"/>
  <c r="F11"/>
  <c r="R55" i="1"/>
  <c r="AA55" s="1"/>
  <c r="R56"/>
  <c r="AA56" s="1"/>
  <c r="R58"/>
  <c r="AA58" s="1"/>
  <c r="R57"/>
  <c r="AA57" s="1"/>
  <c r="R54"/>
  <c r="AA54" s="1"/>
  <c r="R53"/>
  <c r="AA53" s="1"/>
  <c r="H44"/>
  <c r="AA44"/>
  <c r="Q4"/>
  <c r="AD3"/>
  <c r="AH44" s="1"/>
  <c r="Q13"/>
  <c r="S13" s="1"/>
  <c r="AD13" s="1"/>
  <c r="AC25"/>
  <c r="E13" i="4" s="1"/>
  <c r="F57" i="14" s="1"/>
  <c r="C13" i="4"/>
  <c r="AB25" i="1"/>
  <c r="D13" i="4" s="1"/>
  <c r="E57" i="14" s="1"/>
  <c r="AI25" i="1"/>
  <c r="F9" i="5" l="1"/>
  <c r="G64" i="14" s="1"/>
  <c r="AH45" i="1"/>
  <c r="AF45"/>
  <c r="H9" i="5" s="1"/>
  <c r="I64" i="14" s="1"/>
  <c r="AE45" i="1"/>
  <c r="G9" i="5" s="1"/>
  <c r="H64" i="14" s="1"/>
  <c r="D57"/>
  <c r="D23" i="4"/>
  <c r="AH13" i="1"/>
  <c r="AE13"/>
  <c r="G8" i="2" s="1"/>
  <c r="AF13" i="1"/>
  <c r="H8" i="2" s="1"/>
  <c r="F8"/>
  <c r="Q14" i="1"/>
  <c r="Q5"/>
  <c r="S4"/>
  <c r="AD4" s="1"/>
  <c r="L44"/>
  <c r="K44"/>
  <c r="H15"/>
  <c r="B4" i="12"/>
  <c r="B4" i="15"/>
  <c r="AG13" i="1"/>
  <c r="AB13"/>
  <c r="D8" i="2" s="1"/>
  <c r="C8"/>
  <c r="AC13" i="1"/>
  <c r="E8" i="2" s="1"/>
  <c r="G38" i="14"/>
  <c r="AE3" i="1"/>
  <c r="F3" i="3"/>
  <c r="F3" i="4"/>
  <c r="AH32" i="1"/>
  <c r="AH33"/>
  <c r="AH49"/>
  <c r="E3" i="8"/>
  <c r="AF3" i="1"/>
  <c r="E3" i="7"/>
  <c r="F3" i="5"/>
  <c r="AH30" i="1"/>
  <c r="AH29"/>
  <c r="AH31"/>
  <c r="AH47"/>
  <c r="AH48"/>
  <c r="F3" i="2"/>
  <c r="E3" i="6"/>
  <c r="AH23" i="1"/>
  <c r="AH18"/>
  <c r="AH10"/>
  <c r="AH39"/>
  <c r="AH51"/>
  <c r="AH46"/>
  <c r="AB44"/>
  <c r="D8" i="5" s="1"/>
  <c r="E63" i="14" s="1"/>
  <c r="AG44" i="1"/>
  <c r="C8" i="5"/>
  <c r="D63" i="14" s="1"/>
  <c r="AC44" i="1"/>
  <c r="E8" i="5" s="1"/>
  <c r="F63" i="14" s="1"/>
  <c r="L14" i="1"/>
  <c r="M14"/>
  <c r="K14"/>
  <c r="R14"/>
  <c r="AA14" s="1"/>
  <c r="F4" i="3"/>
  <c r="G39" i="14"/>
  <c r="AJ63" i="1"/>
  <c r="AJ24"/>
  <c r="AJ70"/>
  <c r="AJ65"/>
  <c r="AJ62"/>
  <c r="E4" i="6"/>
  <c r="AJ19" i="1"/>
  <c r="F4" i="5"/>
  <c r="AJ64" i="1"/>
  <c r="AE9"/>
  <c r="AF9"/>
  <c r="AJ60"/>
  <c r="F4" i="2"/>
  <c r="AJ61" i="1"/>
  <c r="AJ68"/>
  <c r="AJ71"/>
  <c r="AJ67"/>
  <c r="AJ69"/>
  <c r="F4" i="4"/>
  <c r="AJ26" i="1"/>
  <c r="AJ21"/>
  <c r="AH35"/>
  <c r="AH36"/>
  <c r="AH37"/>
  <c r="AJ20"/>
  <c r="AJ16"/>
  <c r="Q25"/>
  <c r="AD25"/>
  <c r="AB8"/>
  <c r="AC8"/>
  <c r="I39" i="14" l="1"/>
  <c r="H4" i="5"/>
  <c r="G4" i="6"/>
  <c r="H4" i="4"/>
  <c r="H4" i="3"/>
  <c r="G3" i="9" s="1"/>
  <c r="H4" i="2"/>
  <c r="I8" i="14" s="1"/>
  <c r="E3" i="9"/>
  <c r="G20" i="3"/>
  <c r="G23"/>
  <c r="G25"/>
  <c r="G24"/>
  <c r="G7" i="14"/>
  <c r="F14" i="2"/>
  <c r="G18" i="14" s="1"/>
  <c r="H18" s="1"/>
  <c r="G17" i="3"/>
  <c r="G19"/>
  <c r="G16"/>
  <c r="G18"/>
  <c r="E44" i="14"/>
  <c r="E12"/>
  <c r="M15" i="1"/>
  <c r="R15"/>
  <c r="AA15" s="1"/>
  <c r="L15"/>
  <c r="K15"/>
  <c r="AE4"/>
  <c r="AF4"/>
  <c r="AH40"/>
  <c r="H44" i="14"/>
  <c r="H12"/>
  <c r="Q15" i="1"/>
  <c r="S15" s="1"/>
  <c r="AD15" s="1"/>
  <c r="F13" i="4"/>
  <c r="AE25" i="1"/>
  <c r="G13" i="4" s="1"/>
  <c r="H57" i="14" s="1"/>
  <c r="AJ25" i="1"/>
  <c r="AF25"/>
  <c r="H13" i="4" s="1"/>
  <c r="I57" i="14" s="1"/>
  <c r="H39"/>
  <c r="G4" i="3"/>
  <c r="F3" i="9" s="1"/>
  <c r="G4" i="2"/>
  <c r="H8" i="14" s="1"/>
  <c r="G4" i="4"/>
  <c r="F4" i="6"/>
  <c r="G4" i="5"/>
  <c r="F22" i="6"/>
  <c r="F20"/>
  <c r="F25"/>
  <c r="F21"/>
  <c r="F24"/>
  <c r="AB14" i="1"/>
  <c r="D9" i="2" s="1"/>
  <c r="C9"/>
  <c r="AC14" i="1"/>
  <c r="E9" i="2" s="1"/>
  <c r="AG14" i="1"/>
  <c r="B5" i="12"/>
  <c r="B5" i="15"/>
  <c r="E22" i="6"/>
  <c r="E20"/>
  <c r="E21"/>
  <c r="E24"/>
  <c r="E25"/>
  <c r="E4" i="7"/>
  <c r="E14"/>
  <c r="E9" i="8"/>
  <c r="E6"/>
  <c r="E7"/>
  <c r="E8"/>
  <c r="E5"/>
  <c r="E10"/>
  <c r="E4"/>
  <c r="G16" i="4"/>
  <c r="G21"/>
  <c r="H38" i="14"/>
  <c r="G3" i="2"/>
  <c r="H7" i="14" s="1"/>
  <c r="F3" i="7"/>
  <c r="F4" s="1"/>
  <c r="F5" s="1"/>
  <c r="G3" i="3"/>
  <c r="F3" i="8"/>
  <c r="F3" i="6"/>
  <c r="G3" i="5"/>
  <c r="G3" i="4"/>
  <c r="D12" i="14"/>
  <c r="D44"/>
  <c r="C24" i="2"/>
  <c r="D28" i="14" s="1"/>
  <c r="E28" s="1"/>
  <c r="C16" i="2"/>
  <c r="D20" i="14" s="1"/>
  <c r="E20" s="1"/>
  <c r="G4" i="12"/>
  <c r="E4"/>
  <c r="Q6" i="1"/>
  <c r="S5"/>
  <c r="AD5" s="1"/>
  <c r="S12"/>
  <c r="AD12" s="1"/>
  <c r="S14"/>
  <c r="AD14" s="1"/>
  <c r="I12" i="14"/>
  <c r="I44"/>
  <c r="G17" i="4"/>
  <c r="G22"/>
  <c r="G19"/>
  <c r="G24"/>
  <c r="G18"/>
  <c r="G8" i="14"/>
  <c r="F22" i="2"/>
  <c r="G26" i="14" s="1"/>
  <c r="H26" s="1"/>
  <c r="F27" i="2"/>
  <c r="G31" i="14" s="1"/>
  <c r="H31" s="1"/>
  <c r="F19" i="2"/>
  <c r="G23" i="14" s="1"/>
  <c r="H23" s="1"/>
  <c r="G3" i="6"/>
  <c r="H3" i="5"/>
  <c r="H3" i="4"/>
  <c r="G3" i="8"/>
  <c r="I38" i="14"/>
  <c r="H3" i="3"/>
  <c r="H3" i="2"/>
  <c r="I7" i="14" s="1"/>
  <c r="G3" i="7"/>
  <c r="G4" s="1"/>
  <c r="G5" s="1"/>
  <c r="F12" i="14"/>
  <c r="F44"/>
  <c r="G4" i="15"/>
  <c r="G12" i="14"/>
  <c r="F24" i="2"/>
  <c r="G28" i="14" s="1"/>
  <c r="H28" s="1"/>
  <c r="G44"/>
  <c r="F16" i="2"/>
  <c r="G20" i="14" s="1"/>
  <c r="H20" s="1"/>
  <c r="AF12" i="1" l="1"/>
  <c r="H7" i="2" s="1"/>
  <c r="AE12" i="1"/>
  <c r="G7" i="2" s="1"/>
  <c r="AH12" i="1"/>
  <c r="F7" i="2"/>
  <c r="Q7" i="1"/>
  <c r="S6"/>
  <c r="AD6" s="1"/>
  <c r="J4" i="12"/>
  <c r="L4"/>
  <c r="O4" s="1"/>
  <c r="F13" i="14"/>
  <c r="F45"/>
  <c r="G5" i="8"/>
  <c r="G8"/>
  <c r="G10"/>
  <c r="G9"/>
  <c r="G7"/>
  <c r="G4"/>
  <c r="G6"/>
  <c r="F9" i="2"/>
  <c r="AH14" i="1"/>
  <c r="AF14"/>
  <c r="H9" i="2" s="1"/>
  <c r="AE14" i="1"/>
  <c r="G9" i="2" s="1"/>
  <c r="AE5" i="1"/>
  <c r="AF5"/>
  <c r="AH41"/>
  <c r="E12" i="7"/>
  <c r="E5"/>
  <c r="E13" s="1"/>
  <c r="E17"/>
  <c r="G5" i="15"/>
  <c r="E5"/>
  <c r="C17" i="2"/>
  <c r="D21" i="14" s="1"/>
  <c r="E21" s="1"/>
  <c r="D45"/>
  <c r="C25" i="2"/>
  <c r="D29" i="14" s="1"/>
  <c r="E29" s="1"/>
  <c r="D13"/>
  <c r="G57"/>
  <c r="G23" i="4"/>
  <c r="AE15" i="1"/>
  <c r="G10" i="2" s="1"/>
  <c r="F10"/>
  <c r="AH15" i="1"/>
  <c r="AF15"/>
  <c r="H10" i="2" s="1"/>
  <c r="AG15" i="1"/>
  <c r="AC15"/>
  <c r="E10" i="2" s="1"/>
  <c r="AB15" i="1"/>
  <c r="D10" i="2" s="1"/>
  <c r="C10"/>
  <c r="E4" i="9"/>
  <c r="E5"/>
  <c r="E6"/>
  <c r="G4"/>
  <c r="G5"/>
  <c r="G6"/>
  <c r="J4" i="15"/>
  <c r="L4"/>
  <c r="O4" s="1"/>
  <c r="F4" i="8"/>
  <c r="F7"/>
  <c r="F8"/>
  <c r="F10"/>
  <c r="F6"/>
  <c r="F9"/>
  <c r="F5"/>
  <c r="E5" i="12"/>
  <c r="G5"/>
  <c r="E45" i="14"/>
  <c r="E13"/>
  <c r="F4" i="9"/>
  <c r="F6"/>
  <c r="F5"/>
  <c r="B6" i="12"/>
  <c r="B6" i="15"/>
  <c r="E46" i="14" l="1"/>
  <c r="E14"/>
  <c r="H46"/>
  <c r="H14"/>
  <c r="J5" i="15"/>
  <c r="L5"/>
  <c r="O5" s="1"/>
  <c r="I13" i="14"/>
  <c r="I45"/>
  <c r="G13"/>
  <c r="F17" i="2"/>
  <c r="G21" i="14" s="1"/>
  <c r="H21" s="1"/>
  <c r="F25" i="2"/>
  <c r="G29" i="14" s="1"/>
  <c r="H29" s="1"/>
  <c r="G45"/>
  <c r="AF6" i="1"/>
  <c r="AE6"/>
  <c r="AH42"/>
  <c r="F15" i="2"/>
  <c r="G19" i="14" s="1"/>
  <c r="H19" s="1"/>
  <c r="F23" i="2"/>
  <c r="G27" i="14" s="1"/>
  <c r="H27" s="1"/>
  <c r="G11"/>
  <c r="G43"/>
  <c r="H43"/>
  <c r="H11"/>
  <c r="G6" i="12"/>
  <c r="E6"/>
  <c r="L5"/>
  <c r="O5" s="1"/>
  <c r="J5"/>
  <c r="D46" i="14"/>
  <c r="D14"/>
  <c r="C18" i="2"/>
  <c r="D22" i="14" s="1"/>
  <c r="E22" s="1"/>
  <c r="C26" i="2"/>
  <c r="D30" i="14" s="1"/>
  <c r="E30" s="1"/>
  <c r="F46"/>
  <c r="F14"/>
  <c r="I46"/>
  <c r="I14"/>
  <c r="F26" i="2"/>
  <c r="G30" i="14" s="1"/>
  <c r="H30" s="1"/>
  <c r="G14"/>
  <c r="F18" i="2"/>
  <c r="G22" i="14" s="1"/>
  <c r="H22" s="1"/>
  <c r="G46"/>
  <c r="H13"/>
  <c r="H45"/>
  <c r="Q8" i="1"/>
  <c r="S8" s="1"/>
  <c r="AD8" s="1"/>
  <c r="S7"/>
  <c r="AD7" s="1"/>
  <c r="I11" i="14"/>
  <c r="I43"/>
  <c r="G6" i="15"/>
  <c r="E6"/>
  <c r="J6" l="1"/>
  <c r="L6"/>
  <c r="O6" s="1"/>
  <c r="AF8" i="1"/>
  <c r="AE8"/>
  <c r="J6" i="12"/>
  <c r="L6"/>
  <c r="O6" s="1"/>
  <c r="AF7" i="1"/>
  <c r="AE7"/>
</calcChain>
</file>

<file path=xl/comments1.xml><?xml version="1.0" encoding="utf-8"?>
<comments xmlns="http://schemas.openxmlformats.org/spreadsheetml/2006/main">
  <authors>
    <author>ouxm</author>
  </authors>
  <commentList>
    <comment ref="B26" authorId="0">
      <text/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ouxm:
程昊反映：1吨LNG相当于0.9吨柴油。测算为气油比126:100</t>
        </r>
      </text>
    </comment>
  </commentList>
</comments>
</file>

<file path=xl/comments2.xml><?xml version="1.0" encoding="utf-8"?>
<comments xmlns="http://schemas.openxmlformats.org/spreadsheetml/2006/main">
  <authors>
    <author>Ouxm</author>
    <author>ouxm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m3 for CNG; KWh for EV.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If you change this parameter, all the other values in column F and G will be changed correspondingly.</t>
        </r>
      </text>
    </comment>
    <comment ref="B3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综合concave和greet结果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m3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C4" authorId="1">
      <text/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concave P 19:汽油1.9MJ/km;柴油1.72MJ/km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</commentList>
</comments>
</file>

<file path=xl/comments3.xml><?xml version="1.0" encoding="utf-8"?>
<comments xmlns="http://schemas.openxmlformats.org/spreadsheetml/2006/main">
  <authors>
    <author>Ouxm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现状：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升车</t>
        </r>
      </text>
    </comment>
  </commentList>
</comments>
</file>

<file path=xl/sharedStrings.xml><?xml version="1.0" encoding="utf-8"?>
<sst xmlns="http://schemas.openxmlformats.org/spreadsheetml/2006/main" count="366" uniqueCount="300">
  <si>
    <t>300km</t>
    <phoneticPr fontId="1" type="noConversion"/>
  </si>
  <si>
    <t>6700km</t>
    <phoneticPr fontId="1" type="noConversion"/>
  </si>
  <si>
    <t>100km</t>
    <phoneticPr fontId="1" type="noConversion"/>
  </si>
  <si>
    <t>50km</t>
    <phoneticPr fontId="1" type="noConversion"/>
  </si>
  <si>
    <t>%</t>
    <phoneticPr fontId="1" type="noConversion"/>
  </si>
  <si>
    <t>WTW-GHG</t>
    <phoneticPr fontId="1" type="noConversion"/>
  </si>
  <si>
    <t>MJ/MJ</t>
    <phoneticPr fontId="1" type="noConversion"/>
  </si>
  <si>
    <t>coal</t>
    <phoneticPr fontId="1" type="noConversion"/>
  </si>
  <si>
    <t>petroleum</t>
    <phoneticPr fontId="1" type="noConversion"/>
  </si>
  <si>
    <t>gas</t>
    <phoneticPr fontId="1" type="noConversion"/>
  </si>
  <si>
    <t>MJ/km</t>
    <phoneticPr fontId="1" type="noConversion"/>
  </si>
  <si>
    <t>%</t>
    <phoneticPr fontId="1" type="noConversion"/>
  </si>
  <si>
    <t>(MJ/km)</t>
    <phoneticPr fontId="1" type="noConversion"/>
  </si>
  <si>
    <t>(g CO2e/km)</t>
    <phoneticPr fontId="1" type="noConversion"/>
  </si>
  <si>
    <t>WTW fossil energy use</t>
    <phoneticPr fontId="1" type="noConversion"/>
  </si>
  <si>
    <t>SI ICE-LPG</t>
  </si>
  <si>
    <t>Feedstock extraction efficiency</t>
  </si>
  <si>
    <t>Feedstock transport</t>
  </si>
  <si>
    <t>Conversion efficiency of Fuel production</t>
  </si>
  <si>
    <t>Fuel logistics</t>
  </si>
  <si>
    <t>WTP efficiency</t>
  </si>
  <si>
    <t>Positive error</t>
  </si>
  <si>
    <t>Negative error</t>
  </si>
  <si>
    <t>SI ICE-CNG</t>
  </si>
  <si>
    <t>SI ICE-LNG</t>
  </si>
  <si>
    <t>CI ICE-GTL</t>
  </si>
  <si>
    <t>SI ICE-DME from coal</t>
  </si>
  <si>
    <t>SI ICE-Methanol from coal</t>
  </si>
  <si>
    <t>CI ICE-CTL</t>
  </si>
  <si>
    <t>CI ICE-ICTL</t>
  </si>
  <si>
    <t>SI ICE-Methanol from coal (CCS)</t>
  </si>
  <si>
    <t>SI ICE-DME from coal (CCS)</t>
  </si>
  <si>
    <t>CI ICE-CTL(CCS)</t>
  </si>
  <si>
    <t>CI ICE-ICTL(CCS)</t>
  </si>
  <si>
    <t>SI ICE-Corn ethanol</t>
  </si>
  <si>
    <t>SI ICE-Cassava ethanol</t>
  </si>
  <si>
    <t>SI ICE-Sweet sorghum ethanol</t>
  </si>
  <si>
    <t>SI ICE-Herbaceous ethanol</t>
  </si>
  <si>
    <t>SI ICE-Woody ethanol</t>
  </si>
  <si>
    <t>CI ICE-Waste oil biodiesel</t>
  </si>
  <si>
    <t>CI ICE-Jatropha biodiesel</t>
  </si>
  <si>
    <t>CI ICE-BTL (F-T) biodiesel</t>
  </si>
  <si>
    <t>BEV-Coal power</t>
  </si>
  <si>
    <t>BEV-Oil power</t>
  </si>
  <si>
    <t>BEV-Gas power</t>
  </si>
  <si>
    <t>BEV-Nuclear power</t>
  </si>
  <si>
    <t>BEV-Large Hydro power</t>
  </si>
  <si>
    <t>BEV-Biopower</t>
  </si>
  <si>
    <t>BEV-Coal power(IGCC+CCS)</t>
  </si>
  <si>
    <t>FCV-Hydrogen from natural gas</t>
  </si>
  <si>
    <t>FCV-Hydrogen from coal</t>
  </si>
  <si>
    <t>FCV-Hydrogen from water electrolysis</t>
  </si>
  <si>
    <t>FCV-Hydrogen from biomass</t>
  </si>
  <si>
    <t>FCV-Hydrogen from nuclear</t>
  </si>
  <si>
    <t>FCV-Hydrogen from coal (CCS)</t>
  </si>
  <si>
    <t>Extraction of crude oil (93%,98%)</t>
  </si>
  <si>
    <t>Extraction of natural gas(96%,94%)</t>
  </si>
  <si>
    <t>Use nearby</t>
  </si>
  <si>
    <t>Ocean transport (100km)</t>
  </si>
  <si>
    <t>Same with diesel</t>
  </si>
  <si>
    <t>Same with gasoline</t>
  </si>
  <si>
    <t>Output/Input</t>
  </si>
  <si>
    <t>Same with Grid</t>
  </si>
  <si>
    <t>Coal extraction and washing (97%,95%)</t>
  </si>
  <si>
    <t>Hydrogen centralized production (gas)</t>
  </si>
  <si>
    <t>Hydrogen on site production (liquid)</t>
  </si>
  <si>
    <t>g/MJ</t>
  </si>
  <si>
    <t>WTP-GHG</t>
  </si>
  <si>
    <t>WTW-EC</t>
  </si>
  <si>
    <t>g/km</t>
  </si>
  <si>
    <t>Compared with gasoline vehicle</t>
  </si>
  <si>
    <t>Energy consumption per unit distance (compared with gasoline vehicle)</t>
  </si>
  <si>
    <t>Compared with diesel vehicle</t>
  </si>
  <si>
    <t>Coal extraction and washing(97%,95%)</t>
  </si>
  <si>
    <t>Upper limit of error</t>
  </si>
  <si>
    <t>Lower limit of error</t>
  </si>
  <si>
    <t>SI ICE(HEV)-gasoline</t>
  </si>
  <si>
    <t>PHEV-Gasoline: Grid power(60:40)</t>
  </si>
  <si>
    <t>SI ICE-Methanol from coal(M15)</t>
  </si>
  <si>
    <t>SI ICE-Methanol from coal+CCS(M15)</t>
  </si>
  <si>
    <t>SI ICE-Corn ethanol (E10)</t>
  </si>
  <si>
    <t>SI ICE-Cassava ethanol (E10)</t>
  </si>
  <si>
    <t>SI ICE-Sweet sorghum (E10)</t>
  </si>
  <si>
    <t>SI ICE-Woody ethanol (E10)</t>
  </si>
  <si>
    <t>SI ICE-Herbaceous ethanol (E10)</t>
  </si>
  <si>
    <t>FFV-Methanol from coal</t>
  </si>
  <si>
    <t>FFV-Methanol from coal+CCS</t>
  </si>
  <si>
    <t>FFV-Corn ethanol</t>
  </si>
  <si>
    <t>FFV-Cassava ethanol</t>
  </si>
  <si>
    <t>FFV-Sweet sorghum ethanol</t>
  </si>
  <si>
    <t>FFV-Woody ethanol</t>
  </si>
  <si>
    <t>FFV-Herbaceous ethanol</t>
  </si>
  <si>
    <t>SI ICE-Gasoline</t>
  </si>
  <si>
    <t>CI ICE-Diesel</t>
  </si>
  <si>
    <t>CI ICE-Waste oil biodiesel (BD5)</t>
  </si>
  <si>
    <t>CI ICE-Jatropha biodiesel (BD5)</t>
  </si>
  <si>
    <t>CI ICE-BTL (F-T) biodiesel (BD5)</t>
  </si>
  <si>
    <t>SI ICE-Gasoline (8L/100km)</t>
  </si>
  <si>
    <t>SI ICE-Methanol</t>
  </si>
  <si>
    <t>FFV-Methanol</t>
  </si>
  <si>
    <t>FFV-Ethanol</t>
  </si>
  <si>
    <t>SI ICE-Hydrogen</t>
  </si>
  <si>
    <t>CI ICE-DME</t>
  </si>
  <si>
    <t>CI ICE-Biodiesel</t>
  </si>
  <si>
    <t>EV-Electricity</t>
  </si>
  <si>
    <t>SI HEV-Hydrogen</t>
  </si>
  <si>
    <t>SI PHEV-Electricity</t>
  </si>
  <si>
    <t>FCV-Hydrogen</t>
  </si>
  <si>
    <t>Fuel economy (Miles travelled per unit energy)</t>
  </si>
  <si>
    <t>Energy consumption per unit distance</t>
  </si>
  <si>
    <t>Oil save 30%</t>
  </si>
  <si>
    <t>Energy save 25%</t>
  </si>
  <si>
    <t>Notes</t>
  </si>
  <si>
    <t>SI ICE-Gasoline (7.7L/100km)</t>
  </si>
  <si>
    <t>SI ICE-Gasoline (8.2L/100km)</t>
  </si>
  <si>
    <t>SI ICE-Gasoline (5.7L/100km)</t>
  </si>
  <si>
    <t>SI ICE-Gasoline (5.9L/100km)</t>
  </si>
  <si>
    <t>SI ICE-Gasoline (4.5L/100km)</t>
  </si>
  <si>
    <t>Industry average</t>
  </si>
  <si>
    <t>Cruze</t>
  </si>
  <si>
    <t>New sail</t>
  </si>
  <si>
    <t>Aggressive target of 2017</t>
  </si>
  <si>
    <t>Even more aggressive target</t>
  </si>
  <si>
    <t>BEV-Grid power (20.3KWh/100km)</t>
  </si>
  <si>
    <t>Current status of EV</t>
  </si>
  <si>
    <t>BEV-Grid power (14 KWh/100km)</t>
  </si>
  <si>
    <t>BEV-Grid power (16 KWh/100km)</t>
  </si>
  <si>
    <t>BEV-Grid power (22.5 KWh/100km)</t>
  </si>
  <si>
    <t>Fuel economy (L/100km) or (KWh/100km)</t>
  </si>
  <si>
    <t>MJ/km</t>
  </si>
  <si>
    <t>WTW GHG emission</t>
  </si>
  <si>
    <t>BEV-Grid power (North)</t>
  </si>
  <si>
    <t>BEV-Grid power (Northeast)</t>
  </si>
  <si>
    <t>BEV-Grid power (Central)</t>
  </si>
  <si>
    <t>BEV-Grid power (South)</t>
  </si>
  <si>
    <t>BEV-Grid power (Northwest)</t>
  </si>
  <si>
    <t>BEV-Grid power (East)</t>
  </si>
  <si>
    <t>95% coal, 4% hydro, 1% wind</t>
  </si>
  <si>
    <t>98% coal, 1% hydro, 1% wind</t>
  </si>
  <si>
    <t>77% coal, 22% hydro, 1% wind</t>
  </si>
  <si>
    <t>74% coal, 26% hydro</t>
  </si>
  <si>
    <t>65% coal, 30% hydro, 5% nuclear</t>
  </si>
  <si>
    <t>88% coal, 7% hydro, 5% nuclear</t>
  </si>
  <si>
    <t>-</t>
  </si>
  <si>
    <t>SI ICE-Ethanol</t>
  </si>
  <si>
    <t>MJ/100kmfor gasoline vehicle</t>
    <phoneticPr fontId="1" type="noConversion"/>
  </si>
  <si>
    <t>SI HEV-Liquid fuel-gasoline</t>
    <phoneticPr fontId="1" type="noConversion"/>
  </si>
  <si>
    <t>CI HEV-Liquid fuel-diesel</t>
    <phoneticPr fontId="1" type="noConversion"/>
  </si>
  <si>
    <t>SI PHEV-ICE mode-gasoline</t>
    <phoneticPr fontId="1" type="noConversion"/>
  </si>
  <si>
    <t xml:space="preserve">energy consumption （kg）for 100km </t>
    <phoneticPr fontId="1" type="noConversion"/>
  </si>
  <si>
    <t>LHV:MJ/kg</t>
    <phoneticPr fontId="1" type="noConversion"/>
  </si>
  <si>
    <t>Density: kg/liter or kg/m3</t>
    <phoneticPr fontId="1" type="noConversion"/>
  </si>
  <si>
    <t xml:space="preserve">energy consumption （liter/m3/kwh）for 100km </t>
    <phoneticPr fontId="1" type="noConversion"/>
  </si>
  <si>
    <t>Initial Unit</t>
  </si>
  <si>
    <t>Final Unit</t>
  </si>
  <si>
    <t>Conversion rate</t>
  </si>
  <si>
    <t>Source</t>
  </si>
  <si>
    <t>Liters-Diesel</t>
  </si>
  <si>
    <t>KWh-Diesel</t>
  </si>
  <si>
    <t>http://hypertextbook.com/facts/2006/TatyanaNektalova.shtml</t>
  </si>
  <si>
    <t>Liters-Gasoline (Petrol)</t>
  </si>
  <si>
    <t>KWh-Gasoline</t>
  </si>
  <si>
    <t>http://hypertextbook.com/facts/2003/ArthurGolnik.shtml</t>
  </si>
  <si>
    <t>Mile</t>
  </si>
  <si>
    <t>Kilometers</t>
  </si>
  <si>
    <t>N/A</t>
  </si>
  <si>
    <t>Gallons</t>
  </si>
  <si>
    <t>Liters</t>
  </si>
  <si>
    <t>KWh</t>
  </si>
  <si>
    <t>BTU</t>
  </si>
  <si>
    <t>http://www.asknumbers.com/kwh-to-btu.aspx</t>
  </si>
  <si>
    <t>kg hydrogen</t>
  </si>
  <si>
    <t>KWh Hydrogen</t>
  </si>
  <si>
    <t>http://hypertextbook.com/facts/2005/MichelleFung.shtml</t>
  </si>
  <si>
    <t>cubic meters</t>
  </si>
  <si>
    <t>liters</t>
  </si>
  <si>
    <t>cubic meters-Natgas</t>
  </si>
  <si>
    <t>KWh-Natgas</t>
  </si>
  <si>
    <t>http://www.magma.ca/~point14/house_energy_needs.html</t>
  </si>
  <si>
    <t>kWh</t>
  </si>
  <si>
    <t>MJ</t>
  </si>
  <si>
    <t>Liter-LNG</t>
  </si>
  <si>
    <t>cubic meter</t>
  </si>
  <si>
    <t>http://wenku.baidu.com/view/5fb04884bceb19e8b8f6ba6c.html (slide 4)</t>
  </si>
  <si>
    <t>Unit Conversions Data</t>
    <phoneticPr fontId="1" type="noConversion"/>
  </si>
  <si>
    <t>汽油车</t>
    <phoneticPr fontId="1" type="noConversion"/>
  </si>
  <si>
    <t>柴油车</t>
    <phoneticPr fontId="1" type="noConversion"/>
  </si>
  <si>
    <t>LPG车</t>
    <phoneticPr fontId="1" type="noConversion"/>
  </si>
  <si>
    <t>CNG车</t>
    <phoneticPr fontId="1" type="noConversion"/>
  </si>
  <si>
    <t>甲醇（煤基）汽车</t>
    <phoneticPr fontId="1" type="noConversion"/>
  </si>
  <si>
    <t>DME（煤基）汽车</t>
    <phoneticPr fontId="1" type="noConversion"/>
  </si>
  <si>
    <t>CTL（煤基）汽车</t>
    <phoneticPr fontId="1" type="noConversion"/>
  </si>
  <si>
    <t>ICTL（煤基）汽车</t>
    <phoneticPr fontId="1" type="noConversion"/>
  </si>
  <si>
    <t>甲醇（煤基+CCS）汽车</t>
    <phoneticPr fontId="1" type="noConversion"/>
  </si>
  <si>
    <t>DME（煤基+CCS）汽车</t>
    <phoneticPr fontId="1" type="noConversion"/>
  </si>
  <si>
    <t>CTL（煤基+CCS）汽车</t>
    <phoneticPr fontId="1" type="noConversion"/>
  </si>
  <si>
    <t>ICTL（煤基+CCS）汽车</t>
    <phoneticPr fontId="1" type="noConversion"/>
  </si>
  <si>
    <t>纯电动汽车（网电）</t>
    <phoneticPr fontId="1" type="noConversion"/>
  </si>
  <si>
    <t>纯电动汽车（煤电）</t>
    <phoneticPr fontId="1" type="noConversion"/>
  </si>
  <si>
    <t>纯电动汽车（油电）</t>
    <phoneticPr fontId="1" type="noConversion"/>
  </si>
  <si>
    <t>纯电动汽车（气电）</t>
    <phoneticPr fontId="1" type="noConversion"/>
  </si>
  <si>
    <t>纯电动汽车（核电）</t>
    <phoneticPr fontId="1" type="noConversion"/>
  </si>
  <si>
    <t>纯电动汽车（大水电）</t>
    <phoneticPr fontId="1" type="noConversion"/>
  </si>
  <si>
    <t>纯电动汽车（生物质电）</t>
    <phoneticPr fontId="1" type="noConversion"/>
  </si>
  <si>
    <t>纯电动汽车（煤电IGCC+CCS）</t>
    <phoneticPr fontId="1" type="noConversion"/>
  </si>
  <si>
    <t>玉米乙醇汽车</t>
    <phoneticPr fontId="1" type="noConversion"/>
  </si>
  <si>
    <t>木薯乙醇汽车</t>
    <phoneticPr fontId="1" type="noConversion"/>
  </si>
  <si>
    <t>甜高粱乙醇汽车</t>
    <phoneticPr fontId="1" type="noConversion"/>
  </si>
  <si>
    <t>草本二代生物燃料汽车</t>
    <phoneticPr fontId="1" type="noConversion"/>
  </si>
  <si>
    <t>木本二代生物燃料汽车</t>
    <phoneticPr fontId="1" type="noConversion"/>
  </si>
  <si>
    <t>废弃油生物柴油汽车</t>
    <phoneticPr fontId="1" type="noConversion"/>
  </si>
  <si>
    <t>小桐子生物柴油汽车</t>
    <phoneticPr fontId="1" type="noConversion"/>
  </si>
  <si>
    <t>费托生物柴油汽车</t>
    <phoneticPr fontId="1" type="noConversion"/>
  </si>
  <si>
    <t>GTL车</t>
    <phoneticPr fontId="1" type="noConversion"/>
  </si>
  <si>
    <t>SI ICE-LNG1</t>
    <phoneticPr fontId="1" type="noConversion"/>
  </si>
  <si>
    <t>SI ICE-LNG2</t>
    <phoneticPr fontId="1" type="noConversion"/>
  </si>
  <si>
    <t>SI ICE-LNG3</t>
    <phoneticPr fontId="1" type="noConversion"/>
  </si>
  <si>
    <t>LNG车(海外进口)</t>
    <phoneticPr fontId="1" type="noConversion"/>
  </si>
  <si>
    <t>LNG车(井口液化)</t>
    <phoneticPr fontId="1" type="noConversion"/>
  </si>
  <si>
    <t>LNG车(管道气液化)</t>
    <phoneticPr fontId="1" type="noConversion"/>
  </si>
  <si>
    <t>相对汽油车</t>
    <phoneticPr fontId="1" type="noConversion"/>
  </si>
  <si>
    <t>能耗</t>
    <phoneticPr fontId="1" type="noConversion"/>
  </si>
  <si>
    <t>排放</t>
    <phoneticPr fontId="1" type="noConversion"/>
  </si>
  <si>
    <t>相对柴油车</t>
    <phoneticPr fontId="1" type="noConversion"/>
  </si>
  <si>
    <t>China energy LCA Model (TLCAM)</t>
    <phoneticPr fontId="18" type="noConversion"/>
  </si>
  <si>
    <t>for</t>
    <phoneticPr fontId="18" type="noConversion"/>
  </si>
  <si>
    <t>中海油</t>
    <phoneticPr fontId="18" type="noConversion"/>
  </si>
  <si>
    <t>开发人：</t>
    <phoneticPr fontId="18" type="noConversion"/>
  </si>
  <si>
    <t>清华大学</t>
    <phoneticPr fontId="18" type="noConversion"/>
  </si>
  <si>
    <t>中国车用能源研究中心</t>
    <phoneticPr fontId="18" type="noConversion"/>
  </si>
  <si>
    <t>欧训民</t>
    <phoneticPr fontId="18" type="noConversion"/>
  </si>
  <si>
    <t>博士</t>
    <phoneticPr fontId="18" type="noConversion"/>
  </si>
  <si>
    <r>
      <t>E</t>
    </r>
    <r>
      <rPr>
        <sz val="11"/>
        <color indexed="8"/>
        <rFont val="宋体"/>
        <family val="3"/>
        <charset val="134"/>
      </rPr>
      <t>mail: ouxm@mail.tsinghua.edu.cn</t>
    </r>
    <phoneticPr fontId="18" type="noConversion"/>
  </si>
  <si>
    <t>Sheet Name</t>
    <phoneticPr fontId="18" type="noConversion"/>
  </si>
  <si>
    <t>Description</t>
    <phoneticPr fontId="18" type="noConversion"/>
  </si>
  <si>
    <t>Key Input</t>
    <phoneticPr fontId="18" type="noConversion"/>
  </si>
  <si>
    <t>主要参数输入表</t>
    <phoneticPr fontId="18" type="noConversion"/>
  </si>
  <si>
    <t>Key Output</t>
    <phoneticPr fontId="18" type="noConversion"/>
  </si>
  <si>
    <t>主要结果输出表</t>
    <phoneticPr fontId="18" type="noConversion"/>
  </si>
  <si>
    <r>
      <t>NG</t>
    </r>
    <r>
      <rPr>
        <sz val="11"/>
        <color indexed="8"/>
        <rFont val="宋体"/>
        <family val="3"/>
        <charset val="134"/>
      </rPr>
      <t>-based</t>
    </r>
    <phoneticPr fontId="18" type="noConversion"/>
  </si>
  <si>
    <t>全面比较</t>
    <phoneticPr fontId="1" type="noConversion"/>
  </si>
  <si>
    <t>气体燃料</t>
    <phoneticPr fontId="1" type="noConversion"/>
  </si>
  <si>
    <t>全面比较</t>
    <phoneticPr fontId="1" type="noConversion"/>
  </si>
  <si>
    <t>气体燃料</t>
    <phoneticPr fontId="1" type="noConversion"/>
  </si>
  <si>
    <t>节能</t>
    <phoneticPr fontId="1" type="noConversion"/>
  </si>
  <si>
    <t>减碳</t>
    <phoneticPr fontId="1" type="noConversion"/>
  </si>
  <si>
    <t>Biofuel</t>
    <phoneticPr fontId="1" type="noConversion"/>
  </si>
  <si>
    <t>Coal-based fuel</t>
    <phoneticPr fontId="18" type="noConversion"/>
  </si>
  <si>
    <t>PTW</t>
    <phoneticPr fontId="1" type="noConversion"/>
  </si>
  <si>
    <t>Summary</t>
    <phoneticPr fontId="18" type="noConversion"/>
  </si>
  <si>
    <t>EV</t>
    <phoneticPr fontId="18" type="noConversion"/>
  </si>
  <si>
    <t>Result for LPG，LNG， GTL</t>
    <phoneticPr fontId="18" type="noConversion"/>
  </si>
  <si>
    <t>Result for Biofuel</t>
    <phoneticPr fontId="1" type="noConversion"/>
  </si>
  <si>
    <t>Result for Coal-based fuel</t>
    <phoneticPr fontId="1" type="noConversion"/>
  </si>
  <si>
    <t>Result for EV</t>
    <phoneticPr fontId="1" type="noConversion"/>
  </si>
  <si>
    <t>Parameter for Vehicle</t>
    <phoneticPr fontId="1" type="noConversion"/>
  </si>
  <si>
    <t>Interlinked from fuel cycle</t>
    <phoneticPr fontId="1" type="noConversion"/>
  </si>
  <si>
    <t>关键参数</t>
    <phoneticPr fontId="1" type="noConversion"/>
  </si>
  <si>
    <t>单位距离耗能比</t>
    <phoneticPr fontId="1" type="noConversion"/>
  </si>
  <si>
    <t>LNG：</t>
    <phoneticPr fontId="1" type="noConversion"/>
  </si>
  <si>
    <t>ouxm:</t>
  </si>
  <si>
    <t>如柴油=100</t>
    <phoneticPr fontId="1" type="noConversion"/>
  </si>
  <si>
    <t>如汽油=100</t>
    <phoneticPr fontId="1" type="noConversion"/>
  </si>
  <si>
    <t>LNG</t>
    <phoneticPr fontId="1" type="noConversion"/>
  </si>
  <si>
    <t>ouxm</t>
    <phoneticPr fontId="1" type="noConversion"/>
  </si>
  <si>
    <t>LNG：</t>
    <phoneticPr fontId="1" type="noConversion"/>
  </si>
  <si>
    <t>Concave2004 P 19:汽油1.9MJ/km;柴油1.72MJ/km,得到能柴汽油耗比为0.91</t>
    <phoneticPr fontId="1" type="noConversion"/>
  </si>
  <si>
    <t>汽油=100，则</t>
    <phoneticPr fontId="1" type="noConversion"/>
  </si>
  <si>
    <t>乘用车</t>
    <phoneticPr fontId="1" type="noConversion"/>
  </si>
  <si>
    <t>商用车</t>
    <phoneticPr fontId="1" type="noConversion"/>
  </si>
  <si>
    <t>船用</t>
    <phoneticPr fontId="1" type="noConversion"/>
  </si>
  <si>
    <t>柴油=100，则</t>
    <phoneticPr fontId="1" type="noConversion"/>
  </si>
  <si>
    <t>文献结果上限</t>
    <phoneticPr fontId="1" type="noConversion"/>
  </si>
  <si>
    <t>文献结果下限</t>
    <phoneticPr fontId="1" type="noConversion"/>
  </si>
  <si>
    <t>柴油=100，则</t>
    <phoneticPr fontId="1" type="noConversion"/>
  </si>
  <si>
    <r>
      <t>根据（</t>
    </r>
    <r>
      <rPr>
        <sz val="12"/>
        <color rgb="FFFF0000"/>
        <rFont val="宋体"/>
        <family val="3"/>
        <charset val="134"/>
        <scheme val="minor"/>
      </rPr>
      <t>汤湘华</t>
    </r>
    <r>
      <rPr>
        <sz val="12"/>
        <color rgb="FFFF0000"/>
        <rFont val="Times New Roman"/>
        <family val="1"/>
      </rPr>
      <t xml:space="preserve"> </t>
    </r>
    <r>
      <rPr>
        <sz val="12"/>
        <color rgb="FFFF0000"/>
        <rFont val="宋体"/>
        <family val="3"/>
        <charset val="134"/>
        <scheme val="minor"/>
      </rPr>
      <t>等）</t>
    </r>
    <r>
      <rPr>
        <sz val="12"/>
        <color rgb="FFFF0000"/>
        <rFont val="Times New Roman"/>
        <family val="1"/>
      </rPr>
      <t>2011</t>
    </r>
    <r>
      <rPr>
        <sz val="12"/>
        <color rgb="FFFF0000"/>
        <rFont val="宋体"/>
        <family val="3"/>
        <charset val="134"/>
        <scheme val="minor"/>
      </rPr>
      <t>阐述有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立方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  <scheme val="minor"/>
      </rPr>
      <t>与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吨柴油的对应关系，可以得知油气替代比为</t>
    </r>
    <r>
      <rPr>
        <sz val="12"/>
        <color theme="1"/>
        <rFont val="Times New Roman"/>
        <family val="1"/>
      </rPr>
      <t>90: 100</t>
    </r>
    <r>
      <rPr>
        <sz val="12"/>
        <color theme="1"/>
        <rFont val="宋体"/>
        <family val="3"/>
        <charset val="134"/>
        <scheme val="minor"/>
      </rPr>
      <t>（净能值）。</t>
    </r>
    <phoneticPr fontId="1" type="noConversion"/>
  </si>
  <si>
    <r>
      <t>引用来源：</t>
    </r>
    <r>
      <rPr>
        <u/>
        <sz val="11"/>
        <color theme="10"/>
        <rFont val="宋体"/>
        <family val="3"/>
        <charset val="134"/>
        <scheme val="minor"/>
      </rPr>
      <t>http://wenku.baidu.com/view/75a1357e168884868762d6ba.html###。</t>
    </r>
    <phoneticPr fontId="1" type="noConversion"/>
  </si>
  <si>
    <r>
      <t>如果根据华润项目提到重卡百公里耗柴油</t>
    </r>
    <r>
      <rPr>
        <sz val="12"/>
        <color theme="1"/>
        <rFont val="Times New Roman"/>
        <family val="1"/>
      </rPr>
      <t>38</t>
    </r>
    <r>
      <rPr>
        <sz val="12"/>
        <color theme="1"/>
        <rFont val="宋体"/>
        <family val="3"/>
        <charset val="134"/>
      </rPr>
      <t>升或者</t>
    </r>
    <r>
      <rPr>
        <sz val="12"/>
        <color theme="1"/>
        <rFont val="Times New Roman"/>
        <family val="1"/>
      </rPr>
      <t>LNG 50</t>
    </r>
    <r>
      <rPr>
        <sz val="12"/>
        <color theme="1"/>
        <rFont val="宋体"/>
        <family val="3"/>
        <charset val="134"/>
      </rPr>
      <t>升，可以得知油气替代比为</t>
    </r>
    <r>
      <rPr>
        <sz val="12"/>
        <color theme="1"/>
        <rFont val="Times New Roman"/>
        <family val="1"/>
      </rPr>
      <t>78: 100</t>
    </r>
    <r>
      <rPr>
        <sz val="12"/>
        <color theme="1"/>
        <rFont val="宋体"/>
        <family val="3"/>
        <charset val="134"/>
      </rPr>
      <t>（净能值）。</t>
    </r>
    <phoneticPr fontId="1" type="noConversion"/>
  </si>
  <si>
    <r>
      <t>[1]</t>
    </r>
    <r>
      <rPr>
        <u/>
        <sz val="11"/>
        <color theme="10"/>
        <rFont val="宋体"/>
        <family val="3"/>
        <charset val="134"/>
        <scheme val="minor"/>
      </rPr>
      <t xml:space="preserve"> DNV的分析认为，采用液化天然气作为燃料，是一项耗资成本低、安全环保的最佳路径，LNG作为船用燃油的环境效益非常显著，它几乎可以100%减排硫氧化物、没有颗粒、减少85%-90%氮氧化物和15%-20% CO2的排放。</t>
    </r>
  </si>
  <si>
    <r>
      <t>经过文献分析，一般认为</t>
    </r>
    <r>
      <rPr>
        <u/>
        <sz val="11"/>
        <color theme="10"/>
        <rFont val="宋体"/>
        <family val="3"/>
        <charset val="134"/>
        <scheme val="minor"/>
      </rPr>
      <t>LNG相对柴油，可以减排15%-20%[1]。</t>
    </r>
    <phoneticPr fontId="1" type="noConversion"/>
  </si>
  <si>
    <r>
      <t>根据柴油、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的低热值</t>
    </r>
    <r>
      <rPr>
        <sz val="12"/>
        <color theme="1"/>
        <rFont val="Times New Roman"/>
        <family val="1"/>
      </rPr>
      <t>(42.8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48.6MJ/kg)</t>
    </r>
    <r>
      <rPr>
        <sz val="12"/>
        <color theme="1"/>
        <rFont val="宋体"/>
        <family val="3"/>
        <charset val="134"/>
      </rPr>
      <t>和碳含量（</t>
    </r>
    <r>
      <rPr>
        <sz val="12"/>
        <color theme="1"/>
        <rFont val="Times New Roman"/>
        <family val="1"/>
      </rPr>
      <t>86.5%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75%</t>
    </r>
    <r>
      <rPr>
        <sz val="12"/>
        <color theme="1"/>
        <rFont val="宋体"/>
        <family val="3"/>
        <charset val="134"/>
      </rPr>
      <t>），可以测算出，船用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相对柴油所额外耗能比例为</t>
    </r>
    <r>
      <rPr>
        <sz val="12"/>
        <color theme="1"/>
        <rFont val="Times New Roman"/>
        <family val="1"/>
      </rPr>
      <t>5-15%</t>
    </r>
    <r>
      <rPr>
        <sz val="12"/>
        <color theme="1"/>
        <rFont val="宋体"/>
        <family val="3"/>
        <charset val="134"/>
      </rPr>
      <t>。</t>
    </r>
    <phoneticPr fontId="1" type="noConversion"/>
  </si>
  <si>
    <t>WTW GHG</t>
    <phoneticPr fontId="1" type="noConversion"/>
  </si>
  <si>
    <r>
      <t>g CO</t>
    </r>
    <r>
      <rPr>
        <vertAlign val="subscript"/>
        <sz val="11"/>
        <color theme="1"/>
        <rFont val="宋体"/>
        <family val="3"/>
        <charset val="134"/>
        <scheme val="minor"/>
      </rPr>
      <t>2,e</t>
    </r>
    <r>
      <rPr>
        <sz val="11"/>
        <color theme="1"/>
        <rFont val="宋体"/>
        <family val="2"/>
        <charset val="134"/>
        <scheme val="minor"/>
      </rPr>
      <t>/MJ</t>
    </r>
    <phoneticPr fontId="1" type="noConversion"/>
  </si>
  <si>
    <t>单位距离能耗</t>
    <phoneticPr fontId="1" type="noConversion"/>
  </si>
  <si>
    <t>柴油=100</t>
    <phoneticPr fontId="1" type="noConversion"/>
  </si>
  <si>
    <t>减碳比例</t>
    <phoneticPr fontId="1" type="noConversion"/>
  </si>
  <si>
    <t>柴油车</t>
    <phoneticPr fontId="1" type="noConversion"/>
  </si>
  <si>
    <t>-</t>
    <phoneticPr fontId="1" type="noConversion"/>
  </si>
  <si>
    <t>文献结果上限</t>
    <phoneticPr fontId="1" type="noConversion"/>
  </si>
  <si>
    <t>文献结果下限</t>
    <phoneticPr fontId="1" type="noConversion"/>
  </si>
  <si>
    <t>柴油船</t>
    <phoneticPr fontId="1" type="noConversion"/>
  </si>
  <si>
    <t>LNG船（海外进口）</t>
    <phoneticPr fontId="1" type="noConversion"/>
  </si>
  <si>
    <t>LNG船（进口液化）</t>
    <phoneticPr fontId="1" type="noConversion"/>
  </si>
  <si>
    <t>LNG船（管道气液化）</t>
    <phoneticPr fontId="1" type="noConversion"/>
  </si>
  <si>
    <t xml:space="preserve">LNG商用车结果 </t>
  </si>
  <si>
    <t>LNG船用结果</t>
  </si>
  <si>
    <t>Result for LNG 商用车用</t>
    <phoneticPr fontId="1" type="noConversion"/>
  </si>
  <si>
    <t>Result for LNG 船用</t>
    <phoneticPr fontId="1" type="noConversion"/>
  </si>
  <si>
    <t>LNG分析模块-2</t>
    <phoneticPr fontId="18" type="noConversion"/>
  </si>
  <si>
    <t>王霞2011：公交车32标方天然气（LNG状态）对应28L柴油，得到耗能比为1.11</t>
    <phoneticPr fontId="1" type="noConversion"/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</si>
</sst>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_(* #,##0.00_);_(* \(#,##0.00\);_(* &quot;-&quot;??_);_(@_)"/>
    <numFmt numFmtId="177" formatCode="0.00_ "/>
    <numFmt numFmtId="178" formatCode="0.00_);[Red]\(0.00\)"/>
    <numFmt numFmtId="179" formatCode="0.0%"/>
    <numFmt numFmtId="180" formatCode="0.00000000000000%"/>
    <numFmt numFmtId="181" formatCode="0.0"/>
    <numFmt numFmtId="182" formatCode="0.000"/>
    <numFmt numFmtId="183" formatCode="0.0_ "/>
    <numFmt numFmtId="184" formatCode="0_ 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7.5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name val="Gill Sans MT"/>
      <family val="2"/>
    </font>
    <font>
      <b/>
      <sz val="10"/>
      <name val="Gill Sans MT"/>
      <family val="2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1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2" borderId="0" xfId="0" applyNumberFormat="1" applyFill="1" applyAlignment="1">
      <alignment vertical="center" wrapText="1"/>
    </xf>
    <xf numFmtId="178" fontId="0" fillId="0" borderId="0" xfId="0" applyNumberFormat="1" applyAlignment="1">
      <alignment vertical="center" wrapText="1"/>
    </xf>
    <xf numFmtId="177" fontId="0" fillId="2" borderId="0" xfId="0" applyNumberFormat="1" applyFill="1" applyAlignment="1">
      <alignment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79" fontId="0" fillId="2" borderId="2" xfId="0" applyNumberFormat="1" applyFill="1" applyBorder="1">
      <alignment vertical="center"/>
    </xf>
    <xf numFmtId="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0" fillId="3" borderId="0" xfId="0" applyFill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177" fontId="0" fillId="3" borderId="2" xfId="0" applyNumberFormat="1" applyFill="1" applyBorder="1">
      <alignment vertical="center"/>
    </xf>
    <xf numFmtId="177" fontId="8" fillId="4" borderId="2" xfId="0" applyNumberFormat="1" applyFont="1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177" fontId="0" fillId="4" borderId="2" xfId="0" applyNumberFormat="1" applyFill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177" fontId="10" fillId="0" borderId="0" xfId="0" applyNumberFormat="1" applyFont="1">
      <alignment vertical="center"/>
    </xf>
    <xf numFmtId="178" fontId="10" fillId="0" borderId="0" xfId="0" applyNumberFormat="1" applyFont="1" applyFill="1">
      <alignment vertical="center"/>
    </xf>
    <xf numFmtId="177" fontId="10" fillId="0" borderId="0" xfId="0" applyNumberFormat="1" applyFont="1" applyAlignment="1">
      <alignment vertical="center" wrapText="1"/>
    </xf>
    <xf numFmtId="0" fontId="11" fillId="0" borderId="0" xfId="0" applyFont="1" applyAlignment="1"/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 applyAlignment="1"/>
    <xf numFmtId="181" fontId="0" fillId="0" borderId="0" xfId="0" applyNumberFormat="1" applyFont="1" applyAlignment="1"/>
    <xf numFmtId="182" fontId="0" fillId="0" borderId="0" xfId="0" applyNumberFormat="1" applyFont="1" applyAlignment="1"/>
    <xf numFmtId="177" fontId="10" fillId="2" borderId="0" xfId="0" applyNumberFormat="1" applyFont="1" applyFill="1">
      <alignment vertical="center"/>
    </xf>
    <xf numFmtId="0" fontId="13" fillId="4" borderId="0" xfId="0" applyFont="1" applyFill="1">
      <alignment vertical="center"/>
    </xf>
    <xf numFmtId="0" fontId="14" fillId="4" borderId="0" xfId="0" applyFont="1" applyFill="1">
      <alignment vertical="center"/>
    </xf>
    <xf numFmtId="9" fontId="14" fillId="4" borderId="0" xfId="0" applyNumberFormat="1" applyFont="1" applyFill="1">
      <alignment vertical="center"/>
    </xf>
    <xf numFmtId="177" fontId="14" fillId="4" borderId="0" xfId="0" applyNumberFormat="1" applyFont="1" applyFill="1">
      <alignment vertical="center"/>
    </xf>
    <xf numFmtId="178" fontId="14" fillId="4" borderId="0" xfId="0" applyNumberFormat="1" applyFont="1" applyFill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177" fontId="10" fillId="4" borderId="0" xfId="0" applyNumberFormat="1" applyFont="1" applyFill="1">
      <alignment vertical="center"/>
    </xf>
    <xf numFmtId="10" fontId="0" fillId="4" borderId="0" xfId="0" applyNumberFormat="1" applyFill="1">
      <alignment vertical="center"/>
    </xf>
    <xf numFmtId="0" fontId="10" fillId="4" borderId="0" xfId="0" applyFont="1" applyFill="1">
      <alignment vertical="center"/>
    </xf>
    <xf numFmtId="177" fontId="0" fillId="4" borderId="0" xfId="0" applyNumberFormat="1" applyFill="1" applyBorder="1">
      <alignment vertical="center"/>
    </xf>
    <xf numFmtId="178" fontId="0" fillId="4" borderId="0" xfId="0" applyNumberFormat="1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181" fontId="10" fillId="0" borderId="0" xfId="0" applyNumberFormat="1" applyFont="1">
      <alignment vertical="center"/>
    </xf>
    <xf numFmtId="181" fontId="14" fillId="4" borderId="0" xfId="0" applyNumberFormat="1" applyFont="1" applyFill="1">
      <alignment vertical="center"/>
    </xf>
    <xf numFmtId="181" fontId="10" fillId="4" borderId="0" xfId="0" applyNumberFormat="1" applyFont="1" applyFill="1">
      <alignment vertical="center"/>
    </xf>
    <xf numFmtId="2" fontId="10" fillId="0" borderId="0" xfId="0" applyNumberFormat="1" applyFont="1">
      <alignment vertical="center"/>
    </xf>
    <xf numFmtId="177" fontId="9" fillId="2" borderId="2" xfId="0" applyNumberFormat="1" applyFont="1" applyFill="1" applyBorder="1">
      <alignment vertical="center"/>
    </xf>
    <xf numFmtId="177" fontId="0" fillId="0" borderId="3" xfId="0" applyNumberFormat="1" applyFill="1" applyBorder="1">
      <alignment vertical="center"/>
    </xf>
    <xf numFmtId="179" fontId="0" fillId="0" borderId="0" xfId="8" applyNumberFormat="1" applyFont="1">
      <alignment vertical="center"/>
    </xf>
    <xf numFmtId="0" fontId="0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83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84" fontId="0" fillId="0" borderId="0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83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84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83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184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3" fontId="0" fillId="0" borderId="13" xfId="0" applyNumberFormat="1" applyBorder="1">
      <alignment vertical="center"/>
    </xf>
    <xf numFmtId="177" fontId="0" fillId="0" borderId="13" xfId="0" applyNumberFormat="1" applyBorder="1">
      <alignment vertical="center"/>
    </xf>
    <xf numFmtId="184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6" xfId="0" applyBorder="1">
      <alignment vertical="center"/>
    </xf>
    <xf numFmtId="181" fontId="0" fillId="0" borderId="0" xfId="0" applyNumberFormat="1" applyBorder="1">
      <alignment vertical="center"/>
    </xf>
    <xf numFmtId="181" fontId="0" fillId="0" borderId="8" xfId="0" applyNumberFormat="1" applyBorder="1">
      <alignment vertical="center"/>
    </xf>
    <xf numFmtId="181" fontId="0" fillId="0" borderId="10" xfId="0" applyNumberFormat="1" applyBorder="1">
      <alignment vertical="center"/>
    </xf>
    <xf numFmtId="181" fontId="0" fillId="0" borderId="11" xfId="0" applyNumberFormat="1" applyBorder="1">
      <alignment vertical="center"/>
    </xf>
    <xf numFmtId="179" fontId="0" fillId="0" borderId="0" xfId="8" applyNumberFormat="1" applyFont="1" applyBorder="1">
      <alignment vertical="center"/>
    </xf>
    <xf numFmtId="179" fontId="0" fillId="0" borderId="0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10" xfId="8" applyNumberFormat="1" applyFont="1" applyBorder="1">
      <alignment vertical="center"/>
    </xf>
    <xf numFmtId="179" fontId="0" fillId="0" borderId="10" xfId="0" applyNumberFormat="1" applyBorder="1">
      <alignment vertical="center"/>
    </xf>
    <xf numFmtId="179" fontId="0" fillId="0" borderId="11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2" borderId="11" xfId="0" applyNumberFormat="1" applyFill="1" applyBorder="1">
      <alignment vertical="center"/>
    </xf>
    <xf numFmtId="0" fontId="0" fillId="0" borderId="0" xfId="0" applyFill="1" applyBorder="1">
      <alignment vertical="center"/>
    </xf>
    <xf numFmtId="1" fontId="0" fillId="0" borderId="0" xfId="0" applyNumberFormat="1">
      <alignment vertical="center"/>
    </xf>
    <xf numFmtId="0" fontId="20" fillId="0" borderId="0" xfId="0" applyFont="1">
      <alignment vertical="center"/>
    </xf>
    <xf numFmtId="0" fontId="17" fillId="0" borderId="0" xfId="9">
      <alignment vertical="center"/>
    </xf>
    <xf numFmtId="2" fontId="0" fillId="0" borderId="7" xfId="0" applyNumberFormat="1" applyBorder="1">
      <alignment vertical="center"/>
    </xf>
    <xf numFmtId="179" fontId="0" fillId="0" borderId="8" xfId="8" applyNumberFormat="1" applyFont="1" applyBorder="1">
      <alignment vertical="center"/>
    </xf>
    <xf numFmtId="2" fontId="0" fillId="0" borderId="10" xfId="0" applyNumberFormat="1" applyBorder="1">
      <alignment vertical="center"/>
    </xf>
    <xf numFmtId="181" fontId="0" fillId="0" borderId="7" xfId="0" applyNumberFormat="1" applyBorder="1">
      <alignment vertical="center"/>
    </xf>
    <xf numFmtId="181" fontId="0" fillId="0" borderId="9" xfId="0" applyNumberFormat="1" applyBorder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57" fontId="0" fillId="5" borderId="0" xfId="0" applyNumberFormat="1" applyFill="1">
      <alignment vertical="center"/>
    </xf>
    <xf numFmtId="0" fontId="10" fillId="2" borderId="0" xfId="0" applyFont="1" applyFill="1">
      <alignment vertical="center"/>
    </xf>
    <xf numFmtId="178" fontId="9" fillId="0" borderId="0" xfId="0" applyNumberFormat="1" applyFont="1" applyAlignment="1">
      <alignment vertical="center" wrapText="1"/>
    </xf>
    <xf numFmtId="178" fontId="10" fillId="0" borderId="0" xfId="0" applyNumberFormat="1" applyFont="1">
      <alignment vertical="center"/>
    </xf>
    <xf numFmtId="178" fontId="10" fillId="4" borderId="0" xfId="0" applyNumberFormat="1" applyFont="1" applyFill="1">
      <alignment vertical="center"/>
    </xf>
    <xf numFmtId="178" fontId="10" fillId="4" borderId="0" xfId="0" applyNumberFormat="1" applyFont="1" applyFill="1" applyBorder="1">
      <alignment vertical="center"/>
    </xf>
  </cellXfs>
  <cellStyles count="10">
    <cellStyle name="百分比" xfId="8" builtinId="5"/>
    <cellStyle name="百分比 2" xfId="4"/>
    <cellStyle name="常规" xfId="0" builtinId="0"/>
    <cellStyle name="常规 2" xfId="2"/>
    <cellStyle name="常规 3" xfId="3"/>
    <cellStyle name="常规 4" xfId="1"/>
    <cellStyle name="超链接" xfId="9" builtinId="8"/>
    <cellStyle name="超链接 2" xfId="5"/>
    <cellStyle name="千位分隔 2" xfId="6"/>
    <cellStyle name="千位分隔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8.6464370570814242E-2"/>
          <c:y val="0.1431209874982558"/>
          <c:w val="0.88991781270276749"/>
          <c:h val="0.42216519957287513"/>
        </c:manualLayout>
      </c:layout>
      <c:barChart>
        <c:barDir val="col"/>
        <c:grouping val="clustered"/>
        <c:ser>
          <c:idx val="0"/>
          <c:order val="0"/>
          <c:tx>
            <c:strRef>
              <c:f>'Key Output'!$D$36:$D$37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2"/>
              <c:layout>
                <c:manualLayout>
                  <c:x val="4.8959602031682127E-3"/>
                  <c:y val="-3.0690537084399012E-2"/>
                </c:manualLayout>
              </c:layout>
              <c:showVal val="1"/>
            </c:dLbl>
            <c:dLbl>
              <c:idx val="4"/>
              <c:layout>
                <c:manualLayout>
                  <c:x val="3.2635467813722313E-2"/>
                  <c:y val="-3.8361806019236995E-3"/>
                </c:manualLayout>
              </c:layout>
              <c:showVal val="1"/>
            </c:dLbl>
            <c:dLbl>
              <c:idx val="5"/>
              <c:layout>
                <c:manualLayout>
                  <c:x val="-1.717770101765029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3.4355402035300582E-3"/>
                  <c:y val="-1.5534845146951075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'Key Output'!$E$38:$E$80</c:f>
                <c:numCache>
                  <c:formatCode>General</c:formatCode>
                  <c:ptCount val="43"/>
                  <c:pt idx="0">
                    <c:v>0.1697189037281526</c:v>
                  </c:pt>
                  <c:pt idx="1">
                    <c:v>0.15306008951412703</c:v>
                  </c:pt>
                  <c:pt idx="4">
                    <c:v>0.16796176132874041</c:v>
                  </c:pt>
                  <c:pt idx="5">
                    <c:v>0.35108912397365794</c:v>
                  </c:pt>
                  <c:pt idx="6">
                    <c:v>0.1674419086078896</c:v>
                  </c:pt>
                  <c:pt idx="7">
                    <c:v>0.16493849416478751</c:v>
                  </c:pt>
                  <c:pt idx="8">
                    <c:v>0.1669304289099304</c:v>
                  </c:pt>
                  <c:pt idx="9">
                    <c:v>0.86225450875231702</c:v>
                  </c:pt>
                  <c:pt idx="12">
                    <c:v>0.92417205052731077</c:v>
                  </c:pt>
                  <c:pt idx="13">
                    <c:v>0.95085126887247029</c:v>
                  </c:pt>
                  <c:pt idx="14">
                    <c:v>0.68291847343769474</c:v>
                  </c:pt>
                  <c:pt idx="15">
                    <c:v>0.68575664905940137</c:v>
                  </c:pt>
                  <c:pt idx="17">
                    <c:v>1.6652986925578288</c:v>
                  </c:pt>
                  <c:pt idx="18">
                    <c:v>1.6337662337662338</c:v>
                  </c:pt>
                  <c:pt idx="19">
                    <c:v>1.0694884791002439</c:v>
                  </c:pt>
                  <c:pt idx="20">
                    <c:v>1.2143091565474238</c:v>
                  </c:pt>
                  <c:pt idx="23">
                    <c:v>0.20353727374959418</c:v>
                  </c:pt>
                  <c:pt idx="25">
                    <c:v>0.25445666158030356</c:v>
                  </c:pt>
                  <c:pt idx="26">
                    <c:v>0.32741912844402715</c:v>
                  </c:pt>
                  <c:pt idx="27">
                    <c:v>0.20983340183978341</c:v>
                  </c:pt>
                  <c:pt idx="28">
                    <c:v>5.0320000000000009E-3</c:v>
                  </c:pt>
                  <c:pt idx="29">
                    <c:v>0</c:v>
                  </c:pt>
                  <c:pt idx="30">
                    <c:v>6.0703492063492069E-3</c:v>
                  </c:pt>
                  <c:pt idx="31">
                    <c:v>0.45255932424820922</c:v>
                  </c:pt>
                  <c:pt idx="34">
                    <c:v>0.40031691847548456</c:v>
                  </c:pt>
                  <c:pt idx="35">
                    <c:v>0.22770210286958875</c:v>
                  </c:pt>
                  <c:pt idx="36">
                    <c:v>2.5500831975581639</c:v>
                  </c:pt>
                  <c:pt idx="37">
                    <c:v>0.10380947994344818</c:v>
                  </c:pt>
                  <c:pt idx="38">
                    <c:v>5.747870953957377E-2</c:v>
                  </c:pt>
                  <c:pt idx="40">
                    <c:v>0.24676284386868683</c:v>
                  </c:pt>
                  <c:pt idx="41">
                    <c:v>5.4802537642004649E-2</c:v>
                  </c:pt>
                  <c:pt idx="42">
                    <c:v>3.3165454545454547E-2</c:v>
                  </c:pt>
                </c:numCache>
              </c:numRef>
            </c:plus>
            <c:minus>
              <c:numRef>
                <c:f>'Key Output'!$F$38:$F$80</c:f>
                <c:numCache>
                  <c:formatCode>General</c:formatCode>
                  <c:ptCount val="43"/>
                  <c:pt idx="0">
                    <c:v>0.1697189037281526</c:v>
                  </c:pt>
                  <c:pt idx="1">
                    <c:v>0.15306008951412703</c:v>
                  </c:pt>
                  <c:pt idx="4">
                    <c:v>0.16796176132874041</c:v>
                  </c:pt>
                  <c:pt idx="5">
                    <c:v>0.35108912397365794</c:v>
                  </c:pt>
                  <c:pt idx="6">
                    <c:v>0.16744190860788963</c:v>
                  </c:pt>
                  <c:pt idx="7">
                    <c:v>0.16493849416478751</c:v>
                  </c:pt>
                  <c:pt idx="8">
                    <c:v>0.1669304289099304</c:v>
                  </c:pt>
                  <c:pt idx="9">
                    <c:v>0.86225450875231702</c:v>
                  </c:pt>
                  <c:pt idx="12">
                    <c:v>1.3092437382470234</c:v>
                  </c:pt>
                  <c:pt idx="13">
                    <c:v>1.3470392975693328</c:v>
                  </c:pt>
                  <c:pt idx="14">
                    <c:v>1.0846352225186915</c:v>
                  </c:pt>
                  <c:pt idx="15">
                    <c:v>1.0891429132119901</c:v>
                  </c:pt>
                  <c:pt idx="17">
                    <c:v>2.2203982567437719</c:v>
                  </c:pt>
                  <c:pt idx="18">
                    <c:v>2.1783549783549785</c:v>
                  </c:pt>
                  <c:pt idx="19">
                    <c:v>1.5151086787253454</c:v>
                  </c:pt>
                  <c:pt idx="20">
                    <c:v>1.7202713051088503</c:v>
                  </c:pt>
                  <c:pt idx="23">
                    <c:v>0.20353727374959416</c:v>
                  </c:pt>
                  <c:pt idx="25">
                    <c:v>0.25445666158030356</c:v>
                  </c:pt>
                  <c:pt idx="26">
                    <c:v>0.3274191284440271</c:v>
                  </c:pt>
                  <c:pt idx="27">
                    <c:v>0.20983340183978344</c:v>
                  </c:pt>
                  <c:pt idx="28">
                    <c:v>5.032E-3</c:v>
                  </c:pt>
                  <c:pt idx="29">
                    <c:v>0</c:v>
                  </c:pt>
                  <c:pt idx="30">
                    <c:v>6.070349206349206E-3</c:v>
                  </c:pt>
                  <c:pt idx="31">
                    <c:v>0.45255932424820922</c:v>
                  </c:pt>
                  <c:pt idx="34">
                    <c:v>0.90071306656984018</c:v>
                  </c:pt>
                  <c:pt idx="35">
                    <c:v>0.51232973145657468</c:v>
                  </c:pt>
                  <c:pt idx="36">
                    <c:v>0.42501386625969406</c:v>
                  </c:pt>
                  <c:pt idx="37">
                    <c:v>0.10380947994344818</c:v>
                  </c:pt>
                  <c:pt idx="38">
                    <c:v>5.7478709539573763E-2</c:v>
                  </c:pt>
                  <c:pt idx="40">
                    <c:v>0.95179954063636341</c:v>
                  </c:pt>
                  <c:pt idx="41">
                    <c:v>5.4802537642004649E-2</c:v>
                  </c:pt>
                  <c:pt idx="42">
                    <c:v>3.3165454545454547E-2</c:v>
                  </c:pt>
                </c:numCache>
              </c:numRef>
            </c:minus>
          </c:errBars>
          <c:cat>
            <c:strRef>
              <c:f>'Key Output'!$C$38:$C$80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'Key Output'!$D$38:$D$80</c:f>
              <c:numCache>
                <c:formatCode>0.0_ </c:formatCode>
                <c:ptCount val="43"/>
                <c:pt idx="0">
                  <c:v>3.2246591708348991</c:v>
                </c:pt>
                <c:pt idx="1">
                  <c:v>2.9081417007684132</c:v>
                </c:pt>
                <c:pt idx="4">
                  <c:v>3.1912734652460677</c:v>
                </c:pt>
                <c:pt idx="5">
                  <c:v>3.159802115762921</c:v>
                </c:pt>
                <c:pt idx="6">
                  <c:v>3.1813962635499022</c:v>
                </c:pt>
                <c:pt idx="7">
                  <c:v>3.1338313891309624</c:v>
                </c:pt>
                <c:pt idx="8">
                  <c:v>3.1716781492886774</c:v>
                </c:pt>
                <c:pt idx="9">
                  <c:v>4.8861088829297961</c:v>
                </c:pt>
                <c:pt idx="12">
                  <c:v>5.2369749529880938</c:v>
                </c:pt>
                <c:pt idx="13">
                  <c:v>5.3881571902773313</c:v>
                </c:pt>
                <c:pt idx="14">
                  <c:v>6.1462662609392522</c:v>
                </c:pt>
                <c:pt idx="15">
                  <c:v>6.1718098415346114</c:v>
                </c:pt>
                <c:pt idx="17">
                  <c:v>6.6611947702313152</c:v>
                </c:pt>
                <c:pt idx="18">
                  <c:v>6.535064935064935</c:v>
                </c:pt>
                <c:pt idx="19">
                  <c:v>6.0604347149013806</c:v>
                </c:pt>
                <c:pt idx="20">
                  <c:v>6.8810852204354003</c:v>
                </c:pt>
                <c:pt idx="23">
                  <c:v>1.8318354637463474</c:v>
                </c:pt>
                <c:pt idx="25">
                  <c:v>2.2901099542227317</c:v>
                </c:pt>
                <c:pt idx="26">
                  <c:v>2.9467721559962441</c:v>
                </c:pt>
                <c:pt idx="27">
                  <c:v>1.8885006165580507</c:v>
                </c:pt>
                <c:pt idx="28">
                  <c:v>4.5288000000000002E-2</c:v>
                </c:pt>
                <c:pt idx="29">
                  <c:v>0</c:v>
                </c:pt>
                <c:pt idx="30">
                  <c:v>5.4633142857142859E-2</c:v>
                </c:pt>
                <c:pt idx="31">
                  <c:v>2.5645028374065189</c:v>
                </c:pt>
                <c:pt idx="34">
                  <c:v>3.6028522662793607</c:v>
                </c:pt>
                <c:pt idx="35">
                  <c:v>2.0493189258262987</c:v>
                </c:pt>
                <c:pt idx="36">
                  <c:v>1.7000554650387762</c:v>
                </c:pt>
                <c:pt idx="37">
                  <c:v>0.93428531949103355</c:v>
                </c:pt>
                <c:pt idx="38">
                  <c:v>0.5173083858561639</c:v>
                </c:pt>
                <c:pt idx="40">
                  <c:v>2.2208655948181812</c:v>
                </c:pt>
                <c:pt idx="41">
                  <c:v>0.49322283877804179</c:v>
                </c:pt>
                <c:pt idx="42">
                  <c:v>0.13266181818181819</c:v>
                </c:pt>
              </c:numCache>
            </c:numRef>
          </c:val>
        </c:ser>
        <c:dLbls/>
        <c:axId val="112764032"/>
        <c:axId val="112765568"/>
      </c:barChart>
      <c:catAx>
        <c:axId val="112764032"/>
        <c:scaling>
          <c:orientation val="minMax"/>
        </c:scaling>
        <c:axPos val="b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112765568"/>
        <c:crosses val="autoZero"/>
        <c:auto val="1"/>
        <c:lblAlgn val="ctr"/>
        <c:lblOffset val="100"/>
      </c:catAx>
      <c:valAx>
        <c:axId val="112765568"/>
        <c:scaling>
          <c:orientation val="minMax"/>
        </c:scaling>
        <c:axPos val="l"/>
        <c:majorGridlines/>
        <c:numFmt formatCode="0.0_ " sourceLinked="0"/>
        <c:tickLblPos val="nextTo"/>
        <c:crossAx val="11276403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'NG-based'!$F$1:$F$2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65E-2"/>
                </c:manualLayout>
              </c:layout>
              <c:showVal val="1"/>
            </c:dLbl>
            <c:dLbl>
              <c:idx val="3"/>
              <c:layout>
                <c:manualLayout>
                  <c:x val="-7.6150025127794047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numFmt formatCode="#,##0;[Red]\-#,##0" sourceLinked="0"/>
            <c:showVal val="1"/>
          </c:dLbls>
          <c:errBars>
            <c:errBarType val="both"/>
            <c:errValType val="cust"/>
            <c:plus>
              <c:numRef>
                <c:f>'NG-based'!$G$3:$G$11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58.45503115903734</c:v>
                  </c:pt>
                </c:numCache>
              </c:numRef>
            </c:plus>
            <c:minus>
              <c:numRef>
                <c:f>'NG-based'!$H$3:$H$11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58.455031159037333</c:v>
                  </c:pt>
                </c:numCache>
              </c:numRef>
            </c:minus>
          </c:errBars>
          <c:cat>
            <c:strRef>
              <c:f>('NG-based'!$B$3:$B$5,'NG-based'!$B$7:$B$11)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('NG-based'!$F$3:$F$5,'NG-based'!$F$7:$F$11)</c:f>
              <c:numCache>
                <c:formatCode>0.00_ </c:formatCode>
                <c:ptCount val="8"/>
                <c:pt idx="0">
                  <c:v>235.62100914587327</c:v>
                </c:pt>
                <c:pt idx="1">
                  <c:v>212.40482859058892</c:v>
                </c:pt>
                <c:pt idx="3">
                  <c:v>205.20844234425346</c:v>
                </c:pt>
                <c:pt idx="4">
                  <c:v>191.11390199824376</c:v>
                </c:pt>
                <c:pt idx="5">
                  <c:v>195.55523695489578</c:v>
                </c:pt>
                <c:pt idx="6">
                  <c:v>198.04654989186992</c:v>
                </c:pt>
                <c:pt idx="7">
                  <c:v>331.24517656787822</c:v>
                </c:pt>
              </c:numCache>
            </c:numRef>
          </c:val>
        </c:ser>
        <c:dLbls/>
        <c:axId val="161236096"/>
        <c:axId val="161237632"/>
      </c:barChart>
      <c:catAx>
        <c:axId val="1612360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237632"/>
        <c:crosses val="autoZero"/>
        <c:auto val="1"/>
        <c:lblAlgn val="ctr"/>
        <c:lblOffset val="100"/>
      </c:catAx>
      <c:valAx>
        <c:axId val="161237632"/>
        <c:scaling>
          <c:orientation val="minMax"/>
        </c:scaling>
        <c:axPos val="l"/>
        <c:majorGridlines/>
        <c:numFmt formatCode="0_ " sourceLinked="0"/>
        <c:tickLblPos val="nextTo"/>
        <c:crossAx val="161236096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8.6464370570814242E-2"/>
          <c:y val="0.1431209874982558"/>
          <c:w val="0.88991781270276749"/>
          <c:h val="0.42216519957287513"/>
        </c:manualLayout>
      </c:layout>
      <c:barChart>
        <c:barDir val="col"/>
        <c:grouping val="clustered"/>
        <c:ser>
          <c:idx val="0"/>
          <c:order val="0"/>
          <c:tx>
            <c:strRef>
              <c:f>Biofuel!$C$1:$C$2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2"/>
              <c:layout>
                <c:manualLayout>
                  <c:x val="4.8959602031682127E-3"/>
                  <c:y val="-3.0690537084399012E-2"/>
                </c:manualLayout>
              </c:layout>
              <c:showVal val="1"/>
            </c:dLbl>
            <c:dLbl>
              <c:idx val="4"/>
              <c:layout>
                <c:manualLayout>
                  <c:x val="3.4353187965699604E-2"/>
                  <c:y val="-2.3809530186279491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Biofuel!$D$3:$D$14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0.40031691847548456</c:v>
                  </c:pt>
                  <c:pt idx="4">
                    <c:v>0.22770210286958875</c:v>
                  </c:pt>
                  <c:pt idx="5">
                    <c:v>2.5500831975581639</c:v>
                  </c:pt>
                  <c:pt idx="6">
                    <c:v>0.10380947994344818</c:v>
                  </c:pt>
                  <c:pt idx="7">
                    <c:v>5.747870953957377E-2</c:v>
                  </c:pt>
                  <c:pt idx="9">
                    <c:v>0.24676284386868683</c:v>
                  </c:pt>
                  <c:pt idx="10">
                    <c:v>5.4802537642004649E-2</c:v>
                  </c:pt>
                  <c:pt idx="11">
                    <c:v>3.3165454545454547E-2</c:v>
                  </c:pt>
                </c:numCache>
              </c:numRef>
            </c:plus>
            <c:minus>
              <c:numRef>
                <c:f>Biofuel!$E$3:$E$14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0.90071306656984018</c:v>
                  </c:pt>
                  <c:pt idx="4">
                    <c:v>0.51232973145657468</c:v>
                  </c:pt>
                  <c:pt idx="5">
                    <c:v>0.42501386625969406</c:v>
                  </c:pt>
                  <c:pt idx="6">
                    <c:v>0.10380947994344818</c:v>
                  </c:pt>
                  <c:pt idx="7">
                    <c:v>5.7478709539573763E-2</c:v>
                  </c:pt>
                  <c:pt idx="9">
                    <c:v>0.95179954063636341</c:v>
                  </c:pt>
                  <c:pt idx="10">
                    <c:v>5.4802537642004649E-2</c:v>
                  </c:pt>
                  <c:pt idx="11">
                    <c:v>3.3165454545454547E-2</c:v>
                  </c:pt>
                </c:numCache>
              </c:numRef>
            </c:minus>
          </c:errBars>
          <c:cat>
            <c:strRef>
              <c:f>Biofuel!$B$3:$B$14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Biofuel!$C$3:$C$14</c:f>
              <c:numCache>
                <c:formatCode>0.00_ </c:formatCode>
                <c:ptCount val="12"/>
                <c:pt idx="0">
                  <c:v>3.2246591708348991</c:v>
                </c:pt>
                <c:pt idx="1">
                  <c:v>2.9081417007684132</c:v>
                </c:pt>
                <c:pt idx="3">
                  <c:v>3.6028522662793607</c:v>
                </c:pt>
                <c:pt idx="4">
                  <c:v>2.0493189258262987</c:v>
                </c:pt>
                <c:pt idx="5">
                  <c:v>1.7000554650387762</c:v>
                </c:pt>
                <c:pt idx="6">
                  <c:v>0.93428531949103355</c:v>
                </c:pt>
                <c:pt idx="7">
                  <c:v>0.5173083858561639</c:v>
                </c:pt>
                <c:pt idx="9">
                  <c:v>2.2208655948181812</c:v>
                </c:pt>
                <c:pt idx="10">
                  <c:v>0.49322283877804179</c:v>
                </c:pt>
                <c:pt idx="11">
                  <c:v>0.13266181818181819</c:v>
                </c:pt>
              </c:numCache>
            </c:numRef>
          </c:val>
        </c:ser>
        <c:dLbls/>
        <c:axId val="161328128"/>
        <c:axId val="161329920"/>
      </c:barChart>
      <c:catAx>
        <c:axId val="161328128"/>
        <c:scaling>
          <c:orientation val="minMax"/>
        </c:scaling>
        <c:axPos val="b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161329920"/>
        <c:crosses val="autoZero"/>
        <c:auto val="1"/>
        <c:lblAlgn val="ctr"/>
        <c:lblOffset val="100"/>
      </c:catAx>
      <c:valAx>
        <c:axId val="161329920"/>
        <c:scaling>
          <c:orientation val="minMax"/>
        </c:scaling>
        <c:axPos val="l"/>
        <c:majorGridlines/>
        <c:numFmt formatCode="0.0_ " sourceLinked="0"/>
        <c:tickLblPos val="nextTo"/>
        <c:crossAx val="1613281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Biofuel!$F$1:$F$2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2"/>
              <c:layout>
                <c:manualLayout>
                  <c:x val="-3.0932030932030931E-2"/>
                  <c:y val="2.7100271002710064E-2"/>
                </c:manualLayout>
              </c:layout>
              <c:showVal val="1"/>
            </c:dLbl>
            <c:dLbl>
              <c:idx val="3"/>
              <c:layout>
                <c:manualLayout>
                  <c:x val="-3.2560032560032558E-2"/>
                  <c:y val="8.130081300813009E-3"/>
                </c:manualLayout>
              </c:layout>
              <c:showVal val="1"/>
            </c:dLbl>
            <c:dLbl>
              <c:idx val="7"/>
              <c:layout>
                <c:manualLayout>
                  <c:x val="-3.0932030932030931E-2"/>
                  <c:y val="1.6260162601626021E-2"/>
                </c:manualLayout>
              </c:layout>
              <c:showVal val="1"/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Biofuel!$G$3:$G$14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54.80662900285315</c:v>
                  </c:pt>
                  <c:pt idx="4">
                    <c:v>24.976120589621662</c:v>
                  </c:pt>
                  <c:pt idx="5">
                    <c:v>240.40431506392642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43.831311342933063</c:v>
                  </c:pt>
                  <c:pt idx="10">
                    <c:v>4.4994906797823964</c:v>
                  </c:pt>
                  <c:pt idx="11">
                    <c:v>4.1399636363636327</c:v>
                  </c:pt>
                </c:numCache>
              </c:numRef>
            </c:plus>
            <c:minus>
              <c:numRef>
                <c:f>Biofuel!$H$3:$H$14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123.31491525641958</c:v>
                  </c:pt>
                  <c:pt idx="4">
                    <c:v>56.196271326648741</c:v>
                  </c:pt>
                  <c:pt idx="5">
                    <c:v>40.067385843987736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169.06362946559895</c:v>
                  </c:pt>
                  <c:pt idx="10">
                    <c:v>4.4994906797823955</c:v>
                  </c:pt>
                  <c:pt idx="11">
                    <c:v>4.1399636363636327</c:v>
                  </c:pt>
                </c:numCache>
              </c:numRef>
            </c:minus>
          </c:errBars>
          <c:cat>
            <c:strRef>
              <c:f>Biofuel!$B$3:$B$14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Biofuel!$F$3:$F$14</c:f>
              <c:numCache>
                <c:formatCode>0.00_ </c:formatCode>
                <c:ptCount val="12"/>
                <c:pt idx="0">
                  <c:v>235.62100914587327</c:v>
                </c:pt>
                <c:pt idx="1">
                  <c:v>212.40482859058892</c:v>
                </c:pt>
                <c:pt idx="3">
                  <c:v>493.25966102567833</c:v>
                </c:pt>
                <c:pt idx="4">
                  <c:v>224.78508530659494</c:v>
                </c:pt>
                <c:pt idx="5">
                  <c:v>160.26954337595097</c:v>
                </c:pt>
                <c:pt idx="6">
                  <c:v>79.7318078857746</c:v>
                </c:pt>
                <c:pt idx="7">
                  <c:v>9.5174561427939821</c:v>
                </c:pt>
                <c:pt idx="9">
                  <c:v>394.48180208639752</c:v>
                </c:pt>
                <c:pt idx="10">
                  <c:v>40.495416118041561</c:v>
                </c:pt>
                <c:pt idx="11">
                  <c:v>16.559854545454531</c:v>
                </c:pt>
              </c:numCache>
            </c:numRef>
          </c:val>
        </c:ser>
        <c:dLbls/>
        <c:axId val="161506048"/>
        <c:axId val="161507584"/>
      </c:barChart>
      <c:catAx>
        <c:axId val="161506048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507584"/>
        <c:crossesAt val="0"/>
        <c:auto val="1"/>
        <c:lblAlgn val="ctr"/>
        <c:lblOffset val="100"/>
      </c:catAx>
      <c:valAx>
        <c:axId val="161507584"/>
        <c:scaling>
          <c:orientation val="minMax"/>
        </c:scaling>
        <c:axPos val="l"/>
        <c:majorGridlines/>
        <c:numFmt formatCode="0_ " sourceLinked="0"/>
        <c:tickLblPos val="nextTo"/>
        <c:crossAx val="161506048"/>
        <c:crossesAt val="1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'Coal-based'!$C$1:$C$2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showVal val="1"/>
          </c:dLbls>
          <c:errBars>
            <c:errBarType val="both"/>
            <c:errValType val="cust"/>
            <c:plus>
              <c:numRef>
                <c:f>'Coal-based'!$D$3:$D$14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0.92417205052731077</c:v>
                  </c:pt>
                  <c:pt idx="4">
                    <c:v>0.95085126887247029</c:v>
                  </c:pt>
                  <c:pt idx="5">
                    <c:v>0.68291847343769474</c:v>
                  </c:pt>
                  <c:pt idx="6">
                    <c:v>0.68575664905940137</c:v>
                  </c:pt>
                  <c:pt idx="8">
                    <c:v>1.6652986925578288</c:v>
                  </c:pt>
                  <c:pt idx="9">
                    <c:v>1.6337662337662338</c:v>
                  </c:pt>
                  <c:pt idx="10">
                    <c:v>1.0694884791002439</c:v>
                  </c:pt>
                  <c:pt idx="11">
                    <c:v>1.2143091565474238</c:v>
                  </c:pt>
                </c:numCache>
              </c:numRef>
            </c:plus>
            <c:minus>
              <c:numRef>
                <c:f>'Coal-based'!$E$3:$E$14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1.3092437382470234</c:v>
                  </c:pt>
                  <c:pt idx="4">
                    <c:v>1.3470392975693328</c:v>
                  </c:pt>
                  <c:pt idx="5">
                    <c:v>1.0846352225186915</c:v>
                  </c:pt>
                  <c:pt idx="6">
                    <c:v>1.0891429132119901</c:v>
                  </c:pt>
                  <c:pt idx="8">
                    <c:v>2.2203982567437719</c:v>
                  </c:pt>
                  <c:pt idx="9">
                    <c:v>2.1783549783549785</c:v>
                  </c:pt>
                  <c:pt idx="10">
                    <c:v>1.5151086787253454</c:v>
                  </c:pt>
                  <c:pt idx="11">
                    <c:v>1.7202713051088503</c:v>
                  </c:pt>
                </c:numCache>
              </c:numRef>
            </c:minus>
          </c:errBars>
          <c:cat>
            <c:strRef>
              <c:f>'Coal-based'!$B$3:$B$14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'Coal-based'!$C$3:$C$14</c:f>
              <c:numCache>
                <c:formatCode>0.00_ </c:formatCode>
                <c:ptCount val="12"/>
                <c:pt idx="0">
                  <c:v>3.2246591708348991</c:v>
                </c:pt>
                <c:pt idx="1">
                  <c:v>2.9081417007684132</c:v>
                </c:pt>
                <c:pt idx="3">
                  <c:v>5.2369749529880938</c:v>
                </c:pt>
                <c:pt idx="4">
                  <c:v>5.3881571902773313</c:v>
                </c:pt>
                <c:pt idx="5">
                  <c:v>6.1462662609392522</c:v>
                </c:pt>
                <c:pt idx="6">
                  <c:v>6.1718098415346114</c:v>
                </c:pt>
                <c:pt idx="8">
                  <c:v>6.6611947702313152</c:v>
                </c:pt>
                <c:pt idx="9">
                  <c:v>6.535064935064935</c:v>
                </c:pt>
                <c:pt idx="10">
                  <c:v>6.0604347149013806</c:v>
                </c:pt>
                <c:pt idx="11">
                  <c:v>6.8810852204354003</c:v>
                </c:pt>
              </c:numCache>
            </c:numRef>
          </c:val>
        </c:ser>
        <c:dLbls/>
        <c:axId val="161364608"/>
        <c:axId val="161382784"/>
      </c:barChart>
      <c:catAx>
        <c:axId val="1613646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382784"/>
        <c:crosses val="autoZero"/>
        <c:auto val="1"/>
        <c:lblAlgn val="ctr"/>
        <c:lblOffset val="100"/>
      </c:catAx>
      <c:valAx>
        <c:axId val="161382784"/>
        <c:scaling>
          <c:orientation val="minMax"/>
        </c:scaling>
        <c:axPos val="l"/>
        <c:majorGridlines/>
        <c:numFmt formatCode="0.0_ " sourceLinked="0"/>
        <c:tickLblPos val="nextTo"/>
        <c:crossAx val="16136460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'Coal-based'!$F$1:$F$2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showVal val="1"/>
          </c:dLbls>
          <c:errBars>
            <c:errBarType val="both"/>
            <c:errValType val="cust"/>
            <c:plus>
              <c:numRef>
                <c:f>'Coal-based'!$G$3:$G$14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107.72186387828356</c:v>
                  </c:pt>
                  <c:pt idx="4">
                    <c:v>110.75781818181817</c:v>
                  </c:pt>
                  <c:pt idx="5">
                    <c:v>64.942662186537433</c:v>
                  </c:pt>
                  <c:pt idx="6">
                    <c:v>73.726424242424258</c:v>
                  </c:pt>
                  <c:pt idx="8">
                    <c:v>100.87513524195195</c:v>
                  </c:pt>
                  <c:pt idx="9">
                    <c:v>111.39018181818182</c:v>
                  </c:pt>
                  <c:pt idx="10">
                    <c:v>64.047774282846134</c:v>
                  </c:pt>
                  <c:pt idx="11">
                    <c:v>101.43381818181821</c:v>
                  </c:pt>
                </c:numCache>
              </c:numRef>
            </c:plus>
            <c:minus>
              <c:numRef>
                <c:f>'Coal-based'!$H$3:$H$14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152.60597382756836</c:v>
                  </c:pt>
                  <c:pt idx="4">
                    <c:v>156.90690909090907</c:v>
                  </c:pt>
                  <c:pt idx="5">
                    <c:v>103.14422817861828</c:v>
                  </c:pt>
                  <c:pt idx="6">
                    <c:v>117.0949090909091</c:v>
                  </c:pt>
                  <c:pt idx="8">
                    <c:v>134.5001803226026</c:v>
                  </c:pt>
                  <c:pt idx="9">
                    <c:v>148.52024242424241</c:v>
                  </c:pt>
                  <c:pt idx="10">
                    <c:v>90.734346900698668</c:v>
                  </c:pt>
                  <c:pt idx="11">
                    <c:v>143.69790909090909</c:v>
                  </c:pt>
                </c:numCache>
              </c:numRef>
            </c:minus>
          </c:errBars>
          <c:cat>
            <c:strRef>
              <c:f>'Coal-based'!$B$3:$B$14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'Coal-based'!$F$3:$F$14</c:f>
              <c:numCache>
                <c:formatCode>0.00_ </c:formatCode>
                <c:ptCount val="12"/>
                <c:pt idx="0">
                  <c:v>235.62100914587327</c:v>
                </c:pt>
                <c:pt idx="1">
                  <c:v>212.40482859058892</c:v>
                </c:pt>
                <c:pt idx="3">
                  <c:v>610.42389531027345</c:v>
                </c:pt>
                <c:pt idx="4">
                  <c:v>627.62763636363627</c:v>
                </c:pt>
                <c:pt idx="5">
                  <c:v>584.48395967883687</c:v>
                </c:pt>
                <c:pt idx="6">
                  <c:v>663.53781818181824</c:v>
                </c:pt>
                <c:pt idx="8">
                  <c:v>403.50054096780781</c:v>
                </c:pt>
                <c:pt idx="9">
                  <c:v>445.56072727272726</c:v>
                </c:pt>
                <c:pt idx="10">
                  <c:v>362.93738760279467</c:v>
                </c:pt>
                <c:pt idx="11">
                  <c:v>574.79163636363637</c:v>
                </c:pt>
              </c:numCache>
            </c:numRef>
          </c:val>
        </c:ser>
        <c:dLbls/>
        <c:axId val="161395072"/>
        <c:axId val="161396608"/>
      </c:barChart>
      <c:catAx>
        <c:axId val="1613950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396608"/>
        <c:crosses val="autoZero"/>
        <c:auto val="1"/>
        <c:lblAlgn val="ctr"/>
        <c:lblOffset val="100"/>
      </c:catAx>
      <c:valAx>
        <c:axId val="161396608"/>
        <c:scaling>
          <c:orientation val="minMax"/>
        </c:scaling>
        <c:axPos val="l"/>
        <c:majorGridlines/>
        <c:numFmt formatCode="0_ " sourceLinked="0"/>
        <c:tickLblPos val="nextTo"/>
        <c:crossAx val="16139507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EV!$C$1:$C$2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5"/>
              <c:layout>
                <c:manualLayout>
                  <c:x val="0"/>
                  <c:y val="-5.1708217913204124E-2"/>
                </c:manualLayout>
              </c:layout>
              <c:showVal val="1"/>
            </c:dLbl>
            <c:dLbl>
              <c:idx val="9"/>
              <c:layout>
                <c:manualLayout>
                  <c:x val="1.6792609030642041E-3"/>
                  <c:y val="-3.3240997229916983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EV!$D$3:$D$14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0.20353727374959418</c:v>
                  </c:pt>
                  <c:pt idx="5">
                    <c:v>0.25445666158030356</c:v>
                  </c:pt>
                  <c:pt idx="6">
                    <c:v>0.32741912844402715</c:v>
                  </c:pt>
                  <c:pt idx="7">
                    <c:v>0.20983340183978341</c:v>
                  </c:pt>
                  <c:pt idx="8">
                    <c:v>5.0320000000000009E-3</c:v>
                  </c:pt>
                  <c:pt idx="9">
                    <c:v>0</c:v>
                  </c:pt>
                  <c:pt idx="10">
                    <c:v>6.0703492063492069E-3</c:v>
                  </c:pt>
                  <c:pt idx="11">
                    <c:v>0.45255932424820922</c:v>
                  </c:pt>
                </c:numCache>
              </c:numRef>
            </c:plus>
            <c:minus>
              <c:numRef>
                <c:f>EV!$E$3:$E$14</c:f>
                <c:numCache>
                  <c:formatCode>General</c:formatCode>
                  <c:ptCount val="12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0.20353727374959416</c:v>
                  </c:pt>
                  <c:pt idx="5">
                    <c:v>0.25445666158030356</c:v>
                  </c:pt>
                  <c:pt idx="6">
                    <c:v>0.3274191284440271</c:v>
                  </c:pt>
                  <c:pt idx="7">
                    <c:v>0.20983340183978344</c:v>
                  </c:pt>
                  <c:pt idx="8">
                    <c:v>5.032E-3</c:v>
                  </c:pt>
                  <c:pt idx="9">
                    <c:v>0</c:v>
                  </c:pt>
                  <c:pt idx="10">
                    <c:v>6.070349206349206E-3</c:v>
                  </c:pt>
                  <c:pt idx="11">
                    <c:v>0.45255932424820922</c:v>
                  </c:pt>
                </c:numCache>
              </c:numRef>
            </c:minus>
          </c:errBars>
          <c:cat>
            <c:strRef>
              <c:f>EV!$B$3:$B$14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EV!$C$3:$C$14</c:f>
              <c:numCache>
                <c:formatCode>0.00_ </c:formatCode>
                <c:ptCount val="12"/>
                <c:pt idx="0">
                  <c:v>3.2246591708348991</c:v>
                </c:pt>
                <c:pt idx="1">
                  <c:v>2.9081417007684132</c:v>
                </c:pt>
                <c:pt idx="3">
                  <c:v>1.8318354637463474</c:v>
                </c:pt>
                <c:pt idx="5">
                  <c:v>2.2901099542227317</c:v>
                </c:pt>
                <c:pt idx="6">
                  <c:v>2.9467721559962441</c:v>
                </c:pt>
                <c:pt idx="7">
                  <c:v>1.8885006165580507</c:v>
                </c:pt>
                <c:pt idx="8">
                  <c:v>4.5288000000000002E-2</c:v>
                </c:pt>
                <c:pt idx="9">
                  <c:v>0</c:v>
                </c:pt>
                <c:pt idx="10">
                  <c:v>5.4633142857142859E-2</c:v>
                </c:pt>
                <c:pt idx="11">
                  <c:v>2.5645028374065189</c:v>
                </c:pt>
              </c:numCache>
            </c:numRef>
          </c:val>
        </c:ser>
        <c:dLbls/>
        <c:axId val="168753408"/>
        <c:axId val="168759296"/>
      </c:barChart>
      <c:catAx>
        <c:axId val="1687534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8759296"/>
        <c:crosses val="autoZero"/>
        <c:auto val="1"/>
        <c:lblAlgn val="ctr"/>
        <c:lblOffset val="100"/>
      </c:catAx>
      <c:valAx>
        <c:axId val="168759296"/>
        <c:scaling>
          <c:orientation val="minMax"/>
        </c:scaling>
        <c:axPos val="l"/>
        <c:majorGridlines/>
        <c:numFmt formatCode="0.0_ " sourceLinked="0"/>
        <c:tickLblPos val="nextTo"/>
        <c:crossAx val="16875340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EV!$F$1:$F$2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8834951456310746E-2"/>
                </c:manualLayout>
              </c:layout>
              <c:showVal val="1"/>
            </c:dLbl>
            <c:dLbl>
              <c:idx val="1"/>
              <c:layout>
                <c:manualLayout>
                  <c:x val="1.6750418760469049E-3"/>
                  <c:y val="-2.9126213592233007E-2"/>
                </c:manualLayout>
              </c:layout>
              <c:showVal val="1"/>
            </c:dLbl>
            <c:dLbl>
              <c:idx val="2"/>
              <c:layout>
                <c:manualLayout>
                  <c:x val="5.0251256281406975E-3"/>
                  <c:y val="-4.2071197411003299E-2"/>
                </c:manualLayout>
              </c:layout>
              <c:showVal val="1"/>
            </c:dLbl>
            <c:dLbl>
              <c:idx val="3"/>
              <c:layout>
                <c:manualLayout>
                  <c:x val="5.0251256281406975E-3"/>
                  <c:y val="-2.9126213592233007E-2"/>
                </c:manualLayout>
              </c:layout>
              <c:showVal val="1"/>
            </c:dLbl>
            <c:dLbl>
              <c:idx val="4"/>
              <c:layout>
                <c:manualLayout>
                  <c:x val="1.6750418760469049E-3"/>
                  <c:y val="-3.5598705501618151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2.2653721682847926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1.9417475728155317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EV!$G$3:$G$14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18.006553439714509</c:v>
                  </c:pt>
                  <c:pt idx="5">
                    <c:v>23.127874333396306</c:v>
                  </c:pt>
                  <c:pt idx="6">
                    <c:v>24.812961930095305</c:v>
                  </c:pt>
                  <c:pt idx="7">
                    <c:v>12.496450237193555</c:v>
                  </c:pt>
                  <c:pt idx="8">
                    <c:v>0.51917460317460318</c:v>
                  </c:pt>
                  <c:pt idx="9">
                    <c:v>0</c:v>
                  </c:pt>
                  <c:pt idx="10">
                    <c:v>0.46326349206349204</c:v>
                  </c:pt>
                  <c:pt idx="11">
                    <c:v>11.938170995806258</c:v>
                  </c:pt>
                </c:numCache>
              </c:numRef>
            </c:plus>
            <c:minus>
              <c:numRef>
                <c:f>EV!$H$3:$H$14</c:f>
                <c:numCache>
                  <c:formatCode>General</c:formatCode>
                  <c:ptCount val="12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18.006553439714509</c:v>
                  </c:pt>
                  <c:pt idx="5">
                    <c:v>23.127874333396303</c:v>
                  </c:pt>
                  <c:pt idx="6">
                    <c:v>24.812961930095305</c:v>
                  </c:pt>
                  <c:pt idx="7">
                    <c:v>12.496450237193553</c:v>
                  </c:pt>
                  <c:pt idx="8">
                    <c:v>0.51917460317460318</c:v>
                  </c:pt>
                  <c:pt idx="9">
                    <c:v>0</c:v>
                  </c:pt>
                  <c:pt idx="10">
                    <c:v>0.46326349206349204</c:v>
                  </c:pt>
                  <c:pt idx="11">
                    <c:v>11.938170995806258</c:v>
                  </c:pt>
                </c:numCache>
              </c:numRef>
            </c:minus>
          </c:errBars>
          <c:cat>
            <c:strRef>
              <c:f>EV!$B$3:$B$14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EV!$F$3:$F$14</c:f>
              <c:numCache>
                <c:formatCode>0.00_ </c:formatCode>
                <c:ptCount val="12"/>
                <c:pt idx="0">
                  <c:v>235.62100914587327</c:v>
                </c:pt>
                <c:pt idx="1">
                  <c:v>212.40482859058892</c:v>
                </c:pt>
                <c:pt idx="3">
                  <c:v>162.05898095743058</c:v>
                </c:pt>
                <c:pt idx="5">
                  <c:v>208.15086900056673</c:v>
                </c:pt>
                <c:pt idx="6">
                  <c:v>223.31665737085774</c:v>
                </c:pt>
                <c:pt idx="7">
                  <c:v>112.46805213474198</c:v>
                </c:pt>
                <c:pt idx="8">
                  <c:v>4.6725714285714286</c:v>
                </c:pt>
                <c:pt idx="9">
                  <c:v>3.5942857142857143</c:v>
                </c:pt>
                <c:pt idx="10">
                  <c:v>4.1693714285714281</c:v>
                </c:pt>
                <c:pt idx="11">
                  <c:v>67.649635642902126</c:v>
                </c:pt>
              </c:numCache>
            </c:numRef>
          </c:val>
        </c:ser>
        <c:dLbls/>
        <c:axId val="168800256"/>
        <c:axId val="168801792"/>
      </c:barChart>
      <c:catAx>
        <c:axId val="1688002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8801792"/>
        <c:crosses val="autoZero"/>
        <c:auto val="1"/>
        <c:lblAlgn val="ctr"/>
        <c:lblOffset val="100"/>
      </c:catAx>
      <c:valAx>
        <c:axId val="168801792"/>
        <c:scaling>
          <c:orientation val="minMax"/>
        </c:scaling>
        <c:axPos val="l"/>
        <c:majorGridlines/>
        <c:numFmt formatCode="0_ " sourceLinked="0"/>
        <c:tickLblPos val="nextTo"/>
        <c:crossAx val="168800256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'Summary from fuel'!$AA$1:$AA$2</c:f>
              <c:strCache>
                <c:ptCount val="1"/>
                <c:pt idx="0">
                  <c:v>WTW fossil energy use (MJ/km)</c:v>
                </c:pt>
              </c:strCache>
            </c:strRef>
          </c:tx>
          <c:cat>
            <c:strRef>
              <c:f>'Summary from fuel'!$A$3:$A$71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'Summary from fuel'!$AA$3:$AA$71</c:f>
              <c:numCache>
                <c:formatCode>0.00_);[Red]\(0.00\)</c:formatCode>
                <c:ptCount val="69"/>
                <c:pt idx="0">
                  <c:v>3.2246591708348991</c:v>
                </c:pt>
                <c:pt idx="1">
                  <c:v>3.1037344519285903</c:v>
                </c:pt>
                <c:pt idx="2">
                  <c:v>3.3052756501057714</c:v>
                </c:pt>
                <c:pt idx="3">
                  <c:v>2.2975696592198656</c:v>
                </c:pt>
                <c:pt idx="4">
                  <c:v>2.3781861384907383</c:v>
                </c:pt>
                <c:pt idx="5">
                  <c:v>1.8138707835946308</c:v>
                </c:pt>
                <c:pt idx="6">
                  <c:v>2.9081417007684132</c:v>
                </c:pt>
                <c:pt idx="7">
                  <c:v>3.1912734652460677</c:v>
                </c:pt>
                <c:pt idx="9">
                  <c:v>3.159802115762921</c:v>
                </c:pt>
                <c:pt idx="10">
                  <c:v>3.1813962635499022</c:v>
                </c:pt>
                <c:pt idx="11">
                  <c:v>3.1338313891309624</c:v>
                </c:pt>
                <c:pt idx="12">
                  <c:v>3.1716781492886774</c:v>
                </c:pt>
                <c:pt idx="13">
                  <c:v>4.8861088829297961</c:v>
                </c:pt>
                <c:pt idx="15">
                  <c:v>5.2369749529880938</c:v>
                </c:pt>
                <c:pt idx="16">
                  <c:v>5.3881571902773313</c:v>
                </c:pt>
                <c:pt idx="17">
                  <c:v>6.1462662609392522</c:v>
                </c:pt>
                <c:pt idx="18">
                  <c:v>6.1718098415346114</c:v>
                </c:pt>
                <c:pt idx="20">
                  <c:v>6.6611947702313152</c:v>
                </c:pt>
                <c:pt idx="21">
                  <c:v>6.535064935064935</c:v>
                </c:pt>
                <c:pt idx="22">
                  <c:v>6.0604347149013806</c:v>
                </c:pt>
                <c:pt idx="23">
                  <c:v>6.8810852204354003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2.2208655948181812</c:v>
                </c:pt>
                <c:pt idx="33">
                  <c:v>0.49322283877804179</c:v>
                </c:pt>
                <c:pt idx="34">
                  <c:v>0.13266181818181819</c:v>
                </c:pt>
                <c:pt idx="36">
                  <c:v>1.8318354637463474</c:v>
                </c:pt>
                <c:pt idx="37">
                  <c:v>1.2633348025836879</c:v>
                </c:pt>
                <c:pt idx="38">
                  <c:v>1.4438112029527861</c:v>
                </c:pt>
                <c:pt idx="39">
                  <c:v>2.0303595041523552</c:v>
                </c:pt>
                <c:pt idx="41">
                  <c:v>2.2901099542227317</c:v>
                </c:pt>
                <c:pt idx="42">
                  <c:v>2.9467721559962441</c:v>
                </c:pt>
                <c:pt idx="43">
                  <c:v>1.8885006165580507</c:v>
                </c:pt>
                <c:pt idx="44">
                  <c:v>4.5288000000000002E-2</c:v>
                </c:pt>
                <c:pt idx="45">
                  <c:v>0</c:v>
                </c:pt>
                <c:pt idx="46">
                  <c:v>5.4633142857142859E-2</c:v>
                </c:pt>
                <c:pt idx="48">
                  <c:v>2.5645028374065189</c:v>
                </c:pt>
                <c:pt idx="50">
                  <c:v>2.1756044565115946</c:v>
                </c:pt>
                <c:pt idx="51">
                  <c:v>2.2443077551382768</c:v>
                </c:pt>
                <c:pt idx="52">
                  <c:v>1.7633846647515032</c:v>
                </c:pt>
                <c:pt idx="53">
                  <c:v>1.6946813661248215</c:v>
                </c:pt>
                <c:pt idx="54">
                  <c:v>2.0175611597160037</c:v>
                </c:pt>
                <c:pt idx="55">
                  <c:v>1.4908358702447757</c:v>
                </c:pt>
                <c:pt idx="57">
                  <c:v>2.05444419968841</c:v>
                </c:pt>
                <c:pt idx="58">
                  <c:v>2.7551139922752483</c:v>
                </c:pt>
                <c:pt idx="59">
                  <c:v>4.2625500935992502</c:v>
                </c:pt>
                <c:pt idx="60">
                  <c:v>0.32478515205792674</c:v>
                </c:pt>
                <c:pt idx="61">
                  <c:v>0.30952119741560624</c:v>
                </c:pt>
                <c:pt idx="62">
                  <c:v>2.9217957622257877</c:v>
                </c:pt>
                <c:pt idx="64">
                  <c:v>3.358064579869469</c:v>
                </c:pt>
                <c:pt idx="65">
                  <c:v>4.0587343724563025</c:v>
                </c:pt>
                <c:pt idx="66">
                  <c:v>5.5661704737803044</c:v>
                </c:pt>
                <c:pt idx="67">
                  <c:v>1.6284055322389808</c:v>
                </c:pt>
                <c:pt idx="68">
                  <c:v>1.6131415775966602</c:v>
                </c:pt>
              </c:numCache>
            </c:numRef>
          </c:val>
        </c:ser>
        <c:dLbls/>
        <c:axId val="170369792"/>
        <c:axId val="170371328"/>
      </c:barChart>
      <c:catAx>
        <c:axId val="170369792"/>
        <c:scaling>
          <c:orientation val="minMax"/>
        </c:scaling>
        <c:axPos val="b"/>
        <c:tickLblPos val="nextTo"/>
        <c:crossAx val="170371328"/>
        <c:crosses val="autoZero"/>
        <c:auto val="1"/>
        <c:lblAlgn val="ctr"/>
        <c:lblOffset val="100"/>
      </c:catAx>
      <c:valAx>
        <c:axId val="170371328"/>
        <c:scaling>
          <c:orientation val="minMax"/>
        </c:scaling>
        <c:axPos val="l"/>
        <c:majorGridlines/>
        <c:numFmt formatCode="0.00_);[Red]\(0.00\)" sourceLinked="1"/>
        <c:tickLblPos val="nextTo"/>
        <c:crossAx val="17036979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'Summary from fuel'!$AD$1:$AD$2</c:f>
              <c:strCache>
                <c:ptCount val="1"/>
                <c:pt idx="0">
                  <c:v>WTW GHG emission (g CO2e/km)</c:v>
                </c:pt>
              </c:strCache>
            </c:strRef>
          </c:tx>
          <c:cat>
            <c:strRef>
              <c:f>'Summary from fuel'!$A$3:$A$71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'Summary from fuel'!$AD$3:$AD$71</c:f>
              <c:numCache>
                <c:formatCode>0.00_ </c:formatCode>
                <c:ptCount val="69"/>
                <c:pt idx="0">
                  <c:v>235.62100914587327</c:v>
                </c:pt>
                <c:pt idx="1">
                  <c:v>226.78522130290304</c:v>
                </c:pt>
                <c:pt idx="2">
                  <c:v>241.5115343745201</c:v>
                </c:pt>
                <c:pt idx="3">
                  <c:v>167.87996901643473</c:v>
                </c:pt>
                <c:pt idx="4">
                  <c:v>173.77049424508155</c:v>
                </c:pt>
                <c:pt idx="5">
                  <c:v>132.53681764455374</c:v>
                </c:pt>
                <c:pt idx="6">
                  <c:v>212.40482859058892</c:v>
                </c:pt>
                <c:pt idx="7">
                  <c:v>227.69800000000001</c:v>
                </c:pt>
                <c:pt idx="9">
                  <c:v>205.20844234425346</c:v>
                </c:pt>
                <c:pt idx="10">
                  <c:v>191.11390199824376</c:v>
                </c:pt>
                <c:pt idx="11">
                  <c:v>195.55523695489578</c:v>
                </c:pt>
                <c:pt idx="12">
                  <c:v>198.04654989186992</c:v>
                </c:pt>
                <c:pt idx="13">
                  <c:v>331.24517656787822</c:v>
                </c:pt>
                <c:pt idx="15">
                  <c:v>610.42389531027345</c:v>
                </c:pt>
                <c:pt idx="16">
                  <c:v>627.62763636363627</c:v>
                </c:pt>
                <c:pt idx="17">
                  <c:v>584.48395967883687</c:v>
                </c:pt>
                <c:pt idx="18">
                  <c:v>663.53781818181824</c:v>
                </c:pt>
                <c:pt idx="20">
                  <c:v>403.50054096780781</c:v>
                </c:pt>
                <c:pt idx="21">
                  <c:v>445.56072727272726</c:v>
                </c:pt>
                <c:pt idx="22">
                  <c:v>362.93738760279467</c:v>
                </c:pt>
                <c:pt idx="23">
                  <c:v>574.79163636363637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394.48180208639752</c:v>
                </c:pt>
                <c:pt idx="33">
                  <c:v>40.495416118041561</c:v>
                </c:pt>
                <c:pt idx="34">
                  <c:v>16.559854545454531</c:v>
                </c:pt>
                <c:pt idx="36">
                  <c:v>162.05898095743058</c:v>
                </c:pt>
                <c:pt idx="37">
                  <c:v>111.76481445340038</c:v>
                </c:pt>
                <c:pt idx="38">
                  <c:v>127.73121651817188</c:v>
                </c:pt>
                <c:pt idx="39">
                  <c:v>179.62202322867918</c:v>
                </c:pt>
                <c:pt idx="41">
                  <c:v>208.15086900056673</c:v>
                </c:pt>
                <c:pt idx="42">
                  <c:v>223.31665737085774</c:v>
                </c:pt>
                <c:pt idx="43">
                  <c:v>112.46805213474198</c:v>
                </c:pt>
                <c:pt idx="44">
                  <c:v>4.6725714285714286</c:v>
                </c:pt>
                <c:pt idx="45">
                  <c:v>3.5942857142857143</c:v>
                </c:pt>
                <c:pt idx="46">
                  <c:v>4.1693714285714281</c:v>
                </c:pt>
                <c:pt idx="48">
                  <c:v>67.649635642902126</c:v>
                </c:pt>
                <c:pt idx="50">
                  <c:v>197.8870969791098</c:v>
                </c:pt>
                <c:pt idx="51">
                  <c:v>204.02379447769823</c:v>
                </c:pt>
                <c:pt idx="52">
                  <c:v>161.06691198757923</c:v>
                </c:pt>
                <c:pt idx="53">
                  <c:v>154.96615734613366</c:v>
                </c:pt>
                <c:pt idx="54">
                  <c:v>183.65799329192726</c:v>
                </c:pt>
                <c:pt idx="55">
                  <c:v>136.60997913608264</c:v>
                </c:pt>
                <c:pt idx="57">
                  <c:v>139.11407404419882</c:v>
                </c:pt>
                <c:pt idx="58">
                  <c:v>249.0260850744385</c:v>
                </c:pt>
                <c:pt idx="59">
                  <c:v>434.12971702514426</c:v>
                </c:pt>
                <c:pt idx="60">
                  <c:v>31.604884061621615</c:v>
                </c:pt>
                <c:pt idx="61">
                  <c:v>27.101173250639565</c:v>
                </c:pt>
                <c:pt idx="62">
                  <c:v>94.248399772409613</c:v>
                </c:pt>
                <c:pt idx="64">
                  <c:v>271.68499379343609</c:v>
                </c:pt>
                <c:pt idx="65">
                  <c:v>381.59700482367577</c:v>
                </c:pt>
                <c:pt idx="66">
                  <c:v>566.70063677438145</c:v>
                </c:pt>
                <c:pt idx="67">
                  <c:v>164.17580381085892</c:v>
                </c:pt>
                <c:pt idx="68">
                  <c:v>159.67209299987687</c:v>
                </c:pt>
              </c:numCache>
            </c:numRef>
          </c:val>
        </c:ser>
        <c:dLbls/>
        <c:axId val="170391424"/>
        <c:axId val="170392960"/>
      </c:barChart>
      <c:catAx>
        <c:axId val="170391424"/>
        <c:scaling>
          <c:orientation val="minMax"/>
        </c:scaling>
        <c:axPos val="b"/>
        <c:tickLblPos val="nextTo"/>
        <c:crossAx val="170392960"/>
        <c:crosses val="autoZero"/>
        <c:auto val="1"/>
        <c:lblAlgn val="ctr"/>
        <c:lblOffset val="100"/>
      </c:catAx>
      <c:valAx>
        <c:axId val="170392960"/>
        <c:scaling>
          <c:orientation val="minMax"/>
        </c:scaling>
        <c:axPos val="l"/>
        <c:majorGridlines/>
        <c:numFmt formatCode="0.00_ " sourceLinked="1"/>
        <c:tickLblPos val="nextTo"/>
        <c:crossAx val="17039142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'Summary from fuel'!$AA$1:$AA$2</c:f>
              <c:strCache>
                <c:ptCount val="1"/>
                <c:pt idx="0">
                  <c:v>WTW fossil energy use (MJ/km)</c:v>
                </c:pt>
              </c:strCache>
            </c:strRef>
          </c:tx>
          <c:cat>
            <c:strRef>
              <c:f>'Summary from fuel'!$A$3:$A$71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'Summary from fuel'!$AA$3:$AA$71</c:f>
              <c:numCache>
                <c:formatCode>0.00_);[Red]\(0.00\)</c:formatCode>
                <c:ptCount val="69"/>
                <c:pt idx="0">
                  <c:v>3.2246591708348991</c:v>
                </c:pt>
                <c:pt idx="1">
                  <c:v>3.1037344519285903</c:v>
                </c:pt>
                <c:pt idx="2">
                  <c:v>3.3052756501057714</c:v>
                </c:pt>
                <c:pt idx="3">
                  <c:v>2.2975696592198656</c:v>
                </c:pt>
                <c:pt idx="4">
                  <c:v>2.3781861384907383</c:v>
                </c:pt>
                <c:pt idx="5">
                  <c:v>1.8138707835946308</c:v>
                </c:pt>
                <c:pt idx="6">
                  <c:v>2.9081417007684132</c:v>
                </c:pt>
                <c:pt idx="7">
                  <c:v>3.1912734652460677</c:v>
                </c:pt>
                <c:pt idx="9">
                  <c:v>3.159802115762921</c:v>
                </c:pt>
                <c:pt idx="10">
                  <c:v>3.1813962635499022</c:v>
                </c:pt>
                <c:pt idx="11">
                  <c:v>3.1338313891309624</c:v>
                </c:pt>
                <c:pt idx="12">
                  <c:v>3.1716781492886774</c:v>
                </c:pt>
                <c:pt idx="13">
                  <c:v>4.8861088829297961</c:v>
                </c:pt>
                <c:pt idx="15">
                  <c:v>5.2369749529880938</c:v>
                </c:pt>
                <c:pt idx="16">
                  <c:v>5.3881571902773313</c:v>
                </c:pt>
                <c:pt idx="17">
                  <c:v>6.1462662609392522</c:v>
                </c:pt>
                <c:pt idx="18">
                  <c:v>6.1718098415346114</c:v>
                </c:pt>
                <c:pt idx="20">
                  <c:v>6.6611947702313152</c:v>
                </c:pt>
                <c:pt idx="21">
                  <c:v>6.535064935064935</c:v>
                </c:pt>
                <c:pt idx="22">
                  <c:v>6.0604347149013806</c:v>
                </c:pt>
                <c:pt idx="23">
                  <c:v>6.8810852204354003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2.2208655948181812</c:v>
                </c:pt>
                <c:pt idx="33">
                  <c:v>0.49322283877804179</c:v>
                </c:pt>
                <c:pt idx="34">
                  <c:v>0.13266181818181819</c:v>
                </c:pt>
                <c:pt idx="36">
                  <c:v>1.8318354637463474</c:v>
                </c:pt>
                <c:pt idx="37">
                  <c:v>1.2633348025836879</c:v>
                </c:pt>
                <c:pt idx="38">
                  <c:v>1.4438112029527861</c:v>
                </c:pt>
                <c:pt idx="39">
                  <c:v>2.0303595041523552</c:v>
                </c:pt>
                <c:pt idx="41">
                  <c:v>2.2901099542227317</c:v>
                </c:pt>
                <c:pt idx="42">
                  <c:v>2.9467721559962441</c:v>
                </c:pt>
                <c:pt idx="43">
                  <c:v>1.8885006165580507</c:v>
                </c:pt>
                <c:pt idx="44">
                  <c:v>4.5288000000000002E-2</c:v>
                </c:pt>
                <c:pt idx="45">
                  <c:v>0</c:v>
                </c:pt>
                <c:pt idx="46">
                  <c:v>5.4633142857142859E-2</c:v>
                </c:pt>
                <c:pt idx="48">
                  <c:v>2.5645028374065189</c:v>
                </c:pt>
                <c:pt idx="50">
                  <c:v>2.1756044565115946</c:v>
                </c:pt>
                <c:pt idx="51">
                  <c:v>2.2443077551382768</c:v>
                </c:pt>
                <c:pt idx="52">
                  <c:v>1.7633846647515032</c:v>
                </c:pt>
                <c:pt idx="53">
                  <c:v>1.6946813661248215</c:v>
                </c:pt>
                <c:pt idx="54">
                  <c:v>2.0175611597160037</c:v>
                </c:pt>
                <c:pt idx="55">
                  <c:v>1.4908358702447757</c:v>
                </c:pt>
                <c:pt idx="57">
                  <c:v>2.05444419968841</c:v>
                </c:pt>
                <c:pt idx="58">
                  <c:v>2.7551139922752483</c:v>
                </c:pt>
                <c:pt idx="59">
                  <c:v>4.2625500935992502</c:v>
                </c:pt>
                <c:pt idx="60">
                  <c:v>0.32478515205792674</c:v>
                </c:pt>
                <c:pt idx="61">
                  <c:v>0.30952119741560624</c:v>
                </c:pt>
                <c:pt idx="62">
                  <c:v>2.9217957622257877</c:v>
                </c:pt>
                <c:pt idx="64">
                  <c:v>3.358064579869469</c:v>
                </c:pt>
                <c:pt idx="65">
                  <c:v>4.0587343724563025</c:v>
                </c:pt>
                <c:pt idx="66">
                  <c:v>5.5661704737803044</c:v>
                </c:pt>
                <c:pt idx="67">
                  <c:v>1.6284055322389808</c:v>
                </c:pt>
                <c:pt idx="68">
                  <c:v>1.6131415775966602</c:v>
                </c:pt>
              </c:numCache>
            </c:numRef>
          </c:val>
        </c:ser>
        <c:dLbls/>
        <c:axId val="170638336"/>
        <c:axId val="170648320"/>
      </c:barChart>
      <c:catAx>
        <c:axId val="170638336"/>
        <c:scaling>
          <c:orientation val="minMax"/>
        </c:scaling>
        <c:axPos val="b"/>
        <c:tickLblPos val="nextTo"/>
        <c:crossAx val="170648320"/>
        <c:crosses val="autoZero"/>
        <c:auto val="1"/>
        <c:lblAlgn val="ctr"/>
        <c:lblOffset val="100"/>
      </c:catAx>
      <c:valAx>
        <c:axId val="170648320"/>
        <c:scaling>
          <c:orientation val="minMax"/>
        </c:scaling>
        <c:axPos val="l"/>
        <c:majorGridlines/>
        <c:numFmt formatCode="0.00_);[Red]\(0.00\)" sourceLinked="1"/>
        <c:tickLblPos val="nextTo"/>
        <c:crossAx val="170638336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'Key Output'!$G$36:$G$37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2"/>
              <c:layout>
                <c:manualLayout>
                  <c:x val="-3.0932030932030931E-2"/>
                  <c:y val="2.7100271002710064E-2"/>
                </c:manualLayout>
              </c:layout>
              <c:showVal val="1"/>
            </c:dLbl>
            <c:dLbl>
              <c:idx val="3"/>
              <c:layout>
                <c:manualLayout>
                  <c:x val="-3.3353227053311276E-3"/>
                  <c:y val="8.1301103143913422E-3"/>
                </c:manualLayout>
              </c:layout>
              <c:showVal val="1"/>
            </c:dLbl>
            <c:dLbl>
              <c:idx val="7"/>
              <c:layout>
                <c:manualLayout>
                  <c:x val="1.7308754640044369E-3"/>
                  <c:y val="-1.0053453580523219E-3"/>
                </c:manualLayout>
              </c:layout>
              <c:showVal val="1"/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'Key Output'!$H$38:$H$80</c:f>
                <c:numCache>
                  <c:formatCode>General</c:formatCode>
                  <c:ptCount val="43"/>
                  <c:pt idx="0">
                    <c:v>12.401105744519647</c:v>
                  </c:pt>
                  <c:pt idx="1">
                    <c:v>11.179201504767839</c:v>
                  </c:pt>
                  <c:pt idx="4">
                    <c:v>11.984105263157897</c:v>
                  </c:pt>
                  <c:pt idx="5">
                    <c:v>22.800938038250386</c:v>
                  </c:pt>
                  <c:pt idx="6">
                    <c:v>10.058626420960199</c:v>
                  </c:pt>
                  <c:pt idx="7">
                    <c:v>10.292380892362937</c:v>
                  </c:pt>
                  <c:pt idx="8">
                    <c:v>10.423502625887892</c:v>
                  </c:pt>
                  <c:pt idx="9">
                    <c:v>58.45503115903734</c:v>
                  </c:pt>
                  <c:pt idx="12">
                    <c:v>107.72186387828356</c:v>
                  </c:pt>
                  <c:pt idx="13">
                    <c:v>110.75781818181817</c:v>
                  </c:pt>
                  <c:pt idx="14">
                    <c:v>64.942662186537433</c:v>
                  </c:pt>
                  <c:pt idx="15">
                    <c:v>73.726424242424258</c:v>
                  </c:pt>
                  <c:pt idx="17">
                    <c:v>100.87513524195195</c:v>
                  </c:pt>
                  <c:pt idx="18">
                    <c:v>111.39018181818182</c:v>
                  </c:pt>
                  <c:pt idx="19">
                    <c:v>64.047774282846134</c:v>
                  </c:pt>
                  <c:pt idx="20">
                    <c:v>101.43381818181821</c:v>
                  </c:pt>
                  <c:pt idx="23">
                    <c:v>18.006553439714509</c:v>
                  </c:pt>
                  <c:pt idx="25">
                    <c:v>23.127874333396306</c:v>
                  </c:pt>
                  <c:pt idx="26">
                    <c:v>24.812961930095305</c:v>
                  </c:pt>
                  <c:pt idx="27">
                    <c:v>12.496450237193555</c:v>
                  </c:pt>
                  <c:pt idx="28">
                    <c:v>0.51917460317460318</c:v>
                  </c:pt>
                  <c:pt idx="29">
                    <c:v>0</c:v>
                  </c:pt>
                  <c:pt idx="30">
                    <c:v>0.46326349206349204</c:v>
                  </c:pt>
                  <c:pt idx="31">
                    <c:v>11.938170995806258</c:v>
                  </c:pt>
                  <c:pt idx="34">
                    <c:v>54.80662900285315</c:v>
                  </c:pt>
                  <c:pt idx="35">
                    <c:v>24.976120589621662</c:v>
                  </c:pt>
                  <c:pt idx="36">
                    <c:v>240.40431506392642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43.831311342933063</c:v>
                  </c:pt>
                  <c:pt idx="41">
                    <c:v>4.4994906797823964</c:v>
                  </c:pt>
                  <c:pt idx="42">
                    <c:v>4.1399636363636327</c:v>
                  </c:pt>
                </c:numCache>
              </c:numRef>
            </c:plus>
            <c:minus>
              <c:numRef>
                <c:f>'Key Output'!$I$38:$I$80</c:f>
                <c:numCache>
                  <c:formatCode>General</c:formatCode>
                  <c:ptCount val="43"/>
                  <c:pt idx="0">
                    <c:v>12.401105744519647</c:v>
                  </c:pt>
                  <c:pt idx="1">
                    <c:v>11.179201504767839</c:v>
                  </c:pt>
                  <c:pt idx="4">
                    <c:v>11.984105263157897</c:v>
                  </c:pt>
                  <c:pt idx="5">
                    <c:v>22.800938038250386</c:v>
                  </c:pt>
                  <c:pt idx="6">
                    <c:v>10.058626420960199</c:v>
                  </c:pt>
                  <c:pt idx="7">
                    <c:v>10.292380892362937</c:v>
                  </c:pt>
                  <c:pt idx="8">
                    <c:v>10.423502625887892</c:v>
                  </c:pt>
                  <c:pt idx="9">
                    <c:v>58.455031159037333</c:v>
                  </c:pt>
                  <c:pt idx="12">
                    <c:v>152.60597382756836</c:v>
                  </c:pt>
                  <c:pt idx="13">
                    <c:v>156.90690909090907</c:v>
                  </c:pt>
                  <c:pt idx="14">
                    <c:v>103.14422817861828</c:v>
                  </c:pt>
                  <c:pt idx="15">
                    <c:v>117.0949090909091</c:v>
                  </c:pt>
                  <c:pt idx="17">
                    <c:v>134.5001803226026</c:v>
                  </c:pt>
                  <c:pt idx="18">
                    <c:v>148.52024242424241</c:v>
                  </c:pt>
                  <c:pt idx="19">
                    <c:v>90.734346900698668</c:v>
                  </c:pt>
                  <c:pt idx="20">
                    <c:v>143.69790909090909</c:v>
                  </c:pt>
                  <c:pt idx="23">
                    <c:v>18.006553439714509</c:v>
                  </c:pt>
                  <c:pt idx="25">
                    <c:v>23.127874333396303</c:v>
                  </c:pt>
                  <c:pt idx="26">
                    <c:v>24.812961930095305</c:v>
                  </c:pt>
                  <c:pt idx="27">
                    <c:v>12.496450237193553</c:v>
                  </c:pt>
                  <c:pt idx="28">
                    <c:v>0.51917460317460318</c:v>
                  </c:pt>
                  <c:pt idx="29">
                    <c:v>0</c:v>
                  </c:pt>
                  <c:pt idx="30">
                    <c:v>0.46326349206349204</c:v>
                  </c:pt>
                  <c:pt idx="31">
                    <c:v>11.938170995806258</c:v>
                  </c:pt>
                  <c:pt idx="34">
                    <c:v>123.31491525641958</c:v>
                  </c:pt>
                  <c:pt idx="35">
                    <c:v>56.196271326648741</c:v>
                  </c:pt>
                  <c:pt idx="36">
                    <c:v>40.067385843987736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169.06362946559895</c:v>
                  </c:pt>
                  <c:pt idx="41">
                    <c:v>4.4994906797823955</c:v>
                  </c:pt>
                  <c:pt idx="42">
                    <c:v>4.1399636363636327</c:v>
                  </c:pt>
                </c:numCache>
              </c:numRef>
            </c:minus>
          </c:errBars>
          <c:cat>
            <c:strRef>
              <c:f>'Key Output'!$C$38:$C$80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'Key Output'!$G$38:$G$80</c:f>
              <c:numCache>
                <c:formatCode>0_ </c:formatCode>
                <c:ptCount val="43"/>
                <c:pt idx="0">
                  <c:v>235.62100914587327</c:v>
                </c:pt>
                <c:pt idx="1">
                  <c:v>212.40482859058892</c:v>
                </c:pt>
                <c:pt idx="4">
                  <c:v>227.69800000000001</c:v>
                </c:pt>
                <c:pt idx="5">
                  <c:v>205.20844234425346</c:v>
                </c:pt>
                <c:pt idx="6">
                  <c:v>191.11390199824376</c:v>
                </c:pt>
                <c:pt idx="7">
                  <c:v>195.55523695489578</c:v>
                </c:pt>
                <c:pt idx="8">
                  <c:v>198.04654989186992</c:v>
                </c:pt>
                <c:pt idx="9">
                  <c:v>331.24517656787822</c:v>
                </c:pt>
                <c:pt idx="12">
                  <c:v>610.42389531027345</c:v>
                </c:pt>
                <c:pt idx="13">
                  <c:v>627.62763636363627</c:v>
                </c:pt>
                <c:pt idx="14">
                  <c:v>584.48395967883687</c:v>
                </c:pt>
                <c:pt idx="15">
                  <c:v>663.53781818181824</c:v>
                </c:pt>
                <c:pt idx="17">
                  <c:v>403.50054096780781</c:v>
                </c:pt>
                <c:pt idx="18">
                  <c:v>445.56072727272726</c:v>
                </c:pt>
                <c:pt idx="19">
                  <c:v>362.93738760279467</c:v>
                </c:pt>
                <c:pt idx="20">
                  <c:v>574.79163636363637</c:v>
                </c:pt>
                <c:pt idx="23">
                  <c:v>162.05898095743058</c:v>
                </c:pt>
                <c:pt idx="25">
                  <c:v>208.15086900056673</c:v>
                </c:pt>
                <c:pt idx="26">
                  <c:v>223.31665737085774</c:v>
                </c:pt>
                <c:pt idx="27">
                  <c:v>112.46805213474198</c:v>
                </c:pt>
                <c:pt idx="28">
                  <c:v>4.6725714285714286</c:v>
                </c:pt>
                <c:pt idx="29">
                  <c:v>3.5942857142857143</c:v>
                </c:pt>
                <c:pt idx="30">
                  <c:v>4.1693714285714281</c:v>
                </c:pt>
                <c:pt idx="31">
                  <c:v>67.649635642902126</c:v>
                </c:pt>
                <c:pt idx="34">
                  <c:v>493.25966102567833</c:v>
                </c:pt>
                <c:pt idx="35">
                  <c:v>224.78508530659494</c:v>
                </c:pt>
                <c:pt idx="36">
                  <c:v>160.26954337595097</c:v>
                </c:pt>
                <c:pt idx="37">
                  <c:v>79.7318078857746</c:v>
                </c:pt>
                <c:pt idx="38">
                  <c:v>9.5174561427939821</c:v>
                </c:pt>
                <c:pt idx="40">
                  <c:v>394.48180208639752</c:v>
                </c:pt>
                <c:pt idx="41">
                  <c:v>40.495416118041561</c:v>
                </c:pt>
                <c:pt idx="42">
                  <c:v>16.559854545454531</c:v>
                </c:pt>
              </c:numCache>
            </c:numRef>
          </c:val>
        </c:ser>
        <c:dLbls/>
        <c:axId val="112791552"/>
        <c:axId val="112793088"/>
      </c:barChart>
      <c:catAx>
        <c:axId val="112791552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12793088"/>
        <c:crossesAt val="0"/>
        <c:auto val="1"/>
        <c:lblAlgn val="ctr"/>
        <c:lblOffset val="100"/>
      </c:catAx>
      <c:valAx>
        <c:axId val="112793088"/>
        <c:scaling>
          <c:orientation val="minMax"/>
        </c:scaling>
        <c:axPos val="l"/>
        <c:majorGridlines/>
        <c:numFmt formatCode="0_ " sourceLinked="0"/>
        <c:tickLblPos val="nextTo"/>
        <c:crossAx val="112791552"/>
        <c:crossesAt val="1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'Summary from fuel'!$AD$1:$AD$2</c:f>
              <c:strCache>
                <c:ptCount val="1"/>
                <c:pt idx="0">
                  <c:v>WTW GHG emission (g CO2e/km)</c:v>
                </c:pt>
              </c:strCache>
            </c:strRef>
          </c:tx>
          <c:cat>
            <c:strRef>
              <c:f>'Summary from fuel'!$A$3:$A$71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'Summary from fuel'!$AD$3:$AD$71</c:f>
              <c:numCache>
                <c:formatCode>0.00_ </c:formatCode>
                <c:ptCount val="69"/>
                <c:pt idx="0">
                  <c:v>235.62100914587327</c:v>
                </c:pt>
                <c:pt idx="1">
                  <c:v>226.78522130290304</c:v>
                </c:pt>
                <c:pt idx="2">
                  <c:v>241.5115343745201</c:v>
                </c:pt>
                <c:pt idx="3">
                  <c:v>167.87996901643473</c:v>
                </c:pt>
                <c:pt idx="4">
                  <c:v>173.77049424508155</c:v>
                </c:pt>
                <c:pt idx="5">
                  <c:v>132.53681764455374</c:v>
                </c:pt>
                <c:pt idx="6">
                  <c:v>212.40482859058892</c:v>
                </c:pt>
                <c:pt idx="7">
                  <c:v>227.69800000000001</c:v>
                </c:pt>
                <c:pt idx="9">
                  <c:v>205.20844234425346</c:v>
                </c:pt>
                <c:pt idx="10">
                  <c:v>191.11390199824376</c:v>
                </c:pt>
                <c:pt idx="11">
                  <c:v>195.55523695489578</c:v>
                </c:pt>
                <c:pt idx="12">
                  <c:v>198.04654989186992</c:v>
                </c:pt>
                <c:pt idx="13">
                  <c:v>331.24517656787822</c:v>
                </c:pt>
                <c:pt idx="15">
                  <c:v>610.42389531027345</c:v>
                </c:pt>
                <c:pt idx="16">
                  <c:v>627.62763636363627</c:v>
                </c:pt>
                <c:pt idx="17">
                  <c:v>584.48395967883687</c:v>
                </c:pt>
                <c:pt idx="18">
                  <c:v>663.53781818181824</c:v>
                </c:pt>
                <c:pt idx="20">
                  <c:v>403.50054096780781</c:v>
                </c:pt>
                <c:pt idx="21">
                  <c:v>445.56072727272726</c:v>
                </c:pt>
                <c:pt idx="22">
                  <c:v>362.93738760279467</c:v>
                </c:pt>
                <c:pt idx="23">
                  <c:v>574.79163636363637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394.48180208639752</c:v>
                </c:pt>
                <c:pt idx="33">
                  <c:v>40.495416118041561</c:v>
                </c:pt>
                <c:pt idx="34">
                  <c:v>16.559854545454531</c:v>
                </c:pt>
                <c:pt idx="36">
                  <c:v>162.05898095743058</c:v>
                </c:pt>
                <c:pt idx="37">
                  <c:v>111.76481445340038</c:v>
                </c:pt>
                <c:pt idx="38">
                  <c:v>127.73121651817188</c:v>
                </c:pt>
                <c:pt idx="39">
                  <c:v>179.62202322867918</c:v>
                </c:pt>
                <c:pt idx="41">
                  <c:v>208.15086900056673</c:v>
                </c:pt>
                <c:pt idx="42">
                  <c:v>223.31665737085774</c:v>
                </c:pt>
                <c:pt idx="43">
                  <c:v>112.46805213474198</c:v>
                </c:pt>
                <c:pt idx="44">
                  <c:v>4.6725714285714286</c:v>
                </c:pt>
                <c:pt idx="45">
                  <c:v>3.5942857142857143</c:v>
                </c:pt>
                <c:pt idx="46">
                  <c:v>4.1693714285714281</c:v>
                </c:pt>
                <c:pt idx="48">
                  <c:v>67.649635642902126</c:v>
                </c:pt>
                <c:pt idx="50">
                  <c:v>197.8870969791098</c:v>
                </c:pt>
                <c:pt idx="51">
                  <c:v>204.02379447769823</c:v>
                </c:pt>
                <c:pt idx="52">
                  <c:v>161.06691198757923</c:v>
                </c:pt>
                <c:pt idx="53">
                  <c:v>154.96615734613366</c:v>
                </c:pt>
                <c:pt idx="54">
                  <c:v>183.65799329192726</c:v>
                </c:pt>
                <c:pt idx="55">
                  <c:v>136.60997913608264</c:v>
                </c:pt>
                <c:pt idx="57">
                  <c:v>139.11407404419882</c:v>
                </c:pt>
                <c:pt idx="58">
                  <c:v>249.0260850744385</c:v>
                </c:pt>
                <c:pt idx="59">
                  <c:v>434.12971702514426</c:v>
                </c:pt>
                <c:pt idx="60">
                  <c:v>31.604884061621615</c:v>
                </c:pt>
                <c:pt idx="61">
                  <c:v>27.101173250639565</c:v>
                </c:pt>
                <c:pt idx="62">
                  <c:v>94.248399772409613</c:v>
                </c:pt>
                <c:pt idx="64">
                  <c:v>271.68499379343609</c:v>
                </c:pt>
                <c:pt idx="65">
                  <c:v>381.59700482367577</c:v>
                </c:pt>
                <c:pt idx="66">
                  <c:v>566.70063677438145</c:v>
                </c:pt>
                <c:pt idx="67">
                  <c:v>164.17580381085892</c:v>
                </c:pt>
                <c:pt idx="68">
                  <c:v>159.67209299987687</c:v>
                </c:pt>
              </c:numCache>
            </c:numRef>
          </c:val>
        </c:ser>
        <c:dLbls/>
        <c:axId val="170545536"/>
        <c:axId val="170547072"/>
      </c:barChart>
      <c:catAx>
        <c:axId val="170545536"/>
        <c:scaling>
          <c:orientation val="minMax"/>
        </c:scaling>
        <c:axPos val="b"/>
        <c:tickLblPos val="nextTo"/>
        <c:crossAx val="170547072"/>
        <c:crosses val="autoZero"/>
        <c:auto val="1"/>
        <c:lblAlgn val="ctr"/>
        <c:lblOffset val="100"/>
      </c:catAx>
      <c:valAx>
        <c:axId val="170547072"/>
        <c:scaling>
          <c:orientation val="minMax"/>
        </c:scaling>
        <c:axPos val="l"/>
        <c:majorGridlines/>
        <c:numFmt formatCode="0.00_ " sourceLinked="1"/>
        <c:tickLblPos val="nextTo"/>
        <c:crossAx val="170545536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FCV!$B$1:$B$2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showVal val="1"/>
          </c:dLbls>
          <c:errBars>
            <c:errBarType val="both"/>
            <c:errValType val="cust"/>
            <c:plus>
              <c:numRef>
                <c:f>FCV!$C$3:$C$18</c:f>
                <c:numCache>
                  <c:formatCode>General</c:formatCode>
                  <c:ptCount val="16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0.22827157774315668</c:v>
                  </c:pt>
                  <c:pt idx="4">
                    <c:v>0.30612377691947207</c:v>
                  </c:pt>
                  <c:pt idx="5">
                    <c:v>0.47361667706658339</c:v>
                  </c:pt>
                  <c:pt idx="6">
                    <c:v>3.6087239117547416E-2</c:v>
                  </c:pt>
                  <c:pt idx="7">
                    <c:v>3.4391244157289586E-2</c:v>
                  </c:pt>
                  <c:pt idx="8">
                    <c:v>0.51561101686337429</c:v>
                  </c:pt>
                  <c:pt idx="10">
                    <c:v>0.37311828665216323</c:v>
                  </c:pt>
                  <c:pt idx="11">
                    <c:v>0.4509704858284781</c:v>
                  </c:pt>
                  <c:pt idx="12">
                    <c:v>0.61846338597558936</c:v>
                  </c:pt>
                  <c:pt idx="13">
                    <c:v>0.18093394802655344</c:v>
                  </c:pt>
                  <c:pt idx="14">
                    <c:v>0.17923795306629559</c:v>
                  </c:pt>
                  <c:pt idx="15">
                    <c:v>0.75957951751836272</c:v>
                  </c:pt>
                </c:numCache>
              </c:numRef>
            </c:plus>
            <c:minus>
              <c:numRef>
                <c:f>FCV!$D$3:$D$18</c:f>
                <c:numCache>
                  <c:formatCode>General</c:formatCode>
                  <c:ptCount val="16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0.22827157774315665</c:v>
                  </c:pt>
                  <c:pt idx="4">
                    <c:v>0.30612377691947201</c:v>
                  </c:pt>
                  <c:pt idx="5">
                    <c:v>0.47361667706658339</c:v>
                  </c:pt>
                  <c:pt idx="6">
                    <c:v>3.6087239117547416E-2</c:v>
                  </c:pt>
                  <c:pt idx="7">
                    <c:v>3.4391244157289586E-2</c:v>
                  </c:pt>
                  <c:pt idx="8">
                    <c:v>0.51561101686337429</c:v>
                  </c:pt>
                  <c:pt idx="10">
                    <c:v>0.37311828665216323</c:v>
                  </c:pt>
                  <c:pt idx="11">
                    <c:v>0.4509704858284781</c:v>
                  </c:pt>
                  <c:pt idx="12">
                    <c:v>0.61846338597558936</c:v>
                  </c:pt>
                  <c:pt idx="13">
                    <c:v>0.18093394802655344</c:v>
                  </c:pt>
                  <c:pt idx="14">
                    <c:v>0.17923795306629559</c:v>
                  </c:pt>
                  <c:pt idx="15">
                    <c:v>0.75957951751836272</c:v>
                  </c:pt>
                </c:numCache>
              </c:numRef>
            </c:minus>
          </c:errBars>
          <c:cat>
            <c:strRef>
              <c:f>FCV!$A$3:$A$18</c:f>
              <c:strCache>
                <c:ptCount val="16"/>
                <c:pt idx="0">
                  <c:v>SI ICE-Gasoline (8L/100km)</c:v>
                </c:pt>
                <c:pt idx="1">
                  <c:v>CI ICE-Diesel</c:v>
                </c:pt>
                <c:pt idx="3">
                  <c:v>FCV-Hydrogen from natural gas</c:v>
                </c:pt>
                <c:pt idx="4">
                  <c:v>FCV-Hydrogen from coal</c:v>
                </c:pt>
                <c:pt idx="5">
                  <c:v>FCV-Hydrogen from water electrolysis</c:v>
                </c:pt>
                <c:pt idx="6">
                  <c:v>FCV-Hydrogen from biomass</c:v>
                </c:pt>
                <c:pt idx="7">
                  <c:v>FCV-Hydrogen from nuclear</c:v>
                </c:pt>
                <c:pt idx="8">
                  <c:v>FCV-Hydrogen from coal (CCS)</c:v>
                </c:pt>
                <c:pt idx="10">
                  <c:v>FCV-Hydrogen from natural gas</c:v>
                </c:pt>
                <c:pt idx="11">
                  <c:v>FCV-Hydrogen from coal</c:v>
                </c:pt>
                <c:pt idx="12">
                  <c:v>FCV-Hydrogen from water electrolysis</c:v>
                </c:pt>
                <c:pt idx="13">
                  <c:v>FCV-Hydrogen from biomass</c:v>
                </c:pt>
                <c:pt idx="14">
                  <c:v>FCV-Hydrogen from nuclear</c:v>
                </c:pt>
                <c:pt idx="15">
                  <c:v>FCV-Hydrogen from coal (CCS)</c:v>
                </c:pt>
              </c:strCache>
            </c:strRef>
          </c:cat>
          <c:val>
            <c:numRef>
              <c:f>FCV!$B$3:$B$18</c:f>
              <c:numCache>
                <c:formatCode>0.00_ </c:formatCode>
                <c:ptCount val="16"/>
                <c:pt idx="0">
                  <c:v>3.2246591708348991</c:v>
                </c:pt>
                <c:pt idx="1">
                  <c:v>2.9081417007684132</c:v>
                </c:pt>
                <c:pt idx="3">
                  <c:v>2.05444419968841</c:v>
                </c:pt>
                <c:pt idx="4">
                  <c:v>2.7551139922752483</c:v>
                </c:pt>
                <c:pt idx="5">
                  <c:v>4.2625500935992502</c:v>
                </c:pt>
                <c:pt idx="6">
                  <c:v>0.32478515205792674</c:v>
                </c:pt>
                <c:pt idx="7">
                  <c:v>0.30952119741560624</c:v>
                </c:pt>
                <c:pt idx="8">
                  <c:v>2.9217957622257877</c:v>
                </c:pt>
                <c:pt idx="10">
                  <c:v>3.358064579869469</c:v>
                </c:pt>
                <c:pt idx="11">
                  <c:v>4.0587343724563025</c:v>
                </c:pt>
                <c:pt idx="12">
                  <c:v>5.5661704737803044</c:v>
                </c:pt>
                <c:pt idx="13">
                  <c:v>1.6284055322389808</c:v>
                </c:pt>
                <c:pt idx="14">
                  <c:v>1.6131415775966602</c:v>
                </c:pt>
                <c:pt idx="15">
                  <c:v>4.3042839326040552</c:v>
                </c:pt>
              </c:numCache>
            </c:numRef>
          </c:val>
        </c:ser>
        <c:dLbls/>
        <c:axId val="161206272"/>
        <c:axId val="161207808"/>
      </c:barChart>
      <c:catAx>
        <c:axId val="1612062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207808"/>
        <c:crosses val="autoZero"/>
        <c:auto val="1"/>
        <c:lblAlgn val="ctr"/>
        <c:lblOffset val="100"/>
      </c:catAx>
      <c:valAx>
        <c:axId val="161207808"/>
        <c:scaling>
          <c:orientation val="minMax"/>
        </c:scaling>
        <c:axPos val="l"/>
        <c:majorGridlines/>
        <c:numFmt formatCode="0.0_ " sourceLinked="0"/>
        <c:tickLblPos val="nextTo"/>
        <c:crossAx val="16120627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FCV!$E$1:$E$2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5"/>
              <c:layout>
                <c:manualLayout>
                  <c:x val="1.756697408871325E-3"/>
                  <c:y val="-2.4691351166839935E-2"/>
                </c:manualLayout>
              </c:layout>
              <c:showVal val="1"/>
            </c:dLbl>
            <c:dLbl>
              <c:idx val="12"/>
              <c:layout>
                <c:manualLayout>
                  <c:x val="-5.2700922266139738E-3"/>
                  <c:y val="-3.17460229287942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FCV!$F$3:$F$18</c:f>
                <c:numCache>
                  <c:formatCode>General</c:formatCode>
                  <c:ptCount val="16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15.457119338244313</c:v>
                  </c:pt>
                  <c:pt idx="4">
                    <c:v>27.669565008270947</c:v>
                  </c:pt>
                  <c:pt idx="5">
                    <c:v>48.23663522501603</c:v>
                  </c:pt>
                  <c:pt idx="6">
                    <c:v>3.5116537846246243</c:v>
                  </c:pt>
                  <c:pt idx="7">
                    <c:v>3.0112414722932854</c:v>
                  </c:pt>
                  <c:pt idx="8">
                    <c:v>16.632070548072285</c:v>
                  </c:pt>
                  <c:pt idx="10">
                    <c:v>30.187221532604013</c:v>
                  </c:pt>
                  <c:pt idx="11">
                    <c:v>42.399667202630646</c:v>
                  </c:pt>
                  <c:pt idx="12">
                    <c:v>62.966737419375718</c:v>
                  </c:pt>
                  <c:pt idx="13">
                    <c:v>18.241755978984326</c:v>
                  </c:pt>
                  <c:pt idx="14">
                    <c:v>17.741343666652988</c:v>
                  </c:pt>
                  <c:pt idx="15">
                    <c:v>25.48627909105705</c:v>
                  </c:pt>
                </c:numCache>
              </c:numRef>
            </c:plus>
            <c:minus>
              <c:numRef>
                <c:f>FCV!$G$3:$G$18</c:f>
                <c:numCache>
                  <c:formatCode>General</c:formatCode>
                  <c:ptCount val="16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15.457119338244315</c:v>
                  </c:pt>
                  <c:pt idx="4">
                    <c:v>27.669565008270943</c:v>
                  </c:pt>
                  <c:pt idx="5">
                    <c:v>48.23663522501603</c:v>
                  </c:pt>
                  <c:pt idx="6">
                    <c:v>3.5116537846246239</c:v>
                  </c:pt>
                  <c:pt idx="7">
                    <c:v>3.011241472293285</c:v>
                  </c:pt>
                  <c:pt idx="8">
                    <c:v>16.632070548072285</c:v>
                  </c:pt>
                  <c:pt idx="10">
                    <c:v>30.187221532604013</c:v>
                  </c:pt>
                  <c:pt idx="11">
                    <c:v>42.399667202630638</c:v>
                  </c:pt>
                  <c:pt idx="12">
                    <c:v>62.966737419375718</c:v>
                  </c:pt>
                  <c:pt idx="13">
                    <c:v>18.241755978984326</c:v>
                  </c:pt>
                  <c:pt idx="14">
                    <c:v>17.741343666652984</c:v>
                  </c:pt>
                  <c:pt idx="15">
                    <c:v>25.486279091057046</c:v>
                  </c:pt>
                </c:numCache>
              </c:numRef>
            </c:minus>
          </c:errBars>
          <c:cat>
            <c:strRef>
              <c:f>FCV!$A$3:$A$18</c:f>
              <c:strCache>
                <c:ptCount val="16"/>
                <c:pt idx="0">
                  <c:v>SI ICE-Gasoline (8L/100km)</c:v>
                </c:pt>
                <c:pt idx="1">
                  <c:v>CI ICE-Diesel</c:v>
                </c:pt>
                <c:pt idx="3">
                  <c:v>FCV-Hydrogen from natural gas</c:v>
                </c:pt>
                <c:pt idx="4">
                  <c:v>FCV-Hydrogen from coal</c:v>
                </c:pt>
                <c:pt idx="5">
                  <c:v>FCV-Hydrogen from water electrolysis</c:v>
                </c:pt>
                <c:pt idx="6">
                  <c:v>FCV-Hydrogen from biomass</c:v>
                </c:pt>
                <c:pt idx="7">
                  <c:v>FCV-Hydrogen from nuclear</c:v>
                </c:pt>
                <c:pt idx="8">
                  <c:v>FCV-Hydrogen from coal (CCS)</c:v>
                </c:pt>
                <c:pt idx="10">
                  <c:v>FCV-Hydrogen from natural gas</c:v>
                </c:pt>
                <c:pt idx="11">
                  <c:v>FCV-Hydrogen from coal</c:v>
                </c:pt>
                <c:pt idx="12">
                  <c:v>FCV-Hydrogen from water electrolysis</c:v>
                </c:pt>
                <c:pt idx="13">
                  <c:v>FCV-Hydrogen from biomass</c:v>
                </c:pt>
                <c:pt idx="14">
                  <c:v>FCV-Hydrogen from nuclear</c:v>
                </c:pt>
                <c:pt idx="15">
                  <c:v>FCV-Hydrogen from coal (CCS)</c:v>
                </c:pt>
              </c:strCache>
            </c:strRef>
          </c:cat>
          <c:val>
            <c:numRef>
              <c:f>FCV!$E$3:$E$18</c:f>
              <c:numCache>
                <c:formatCode>0.00_ </c:formatCode>
                <c:ptCount val="16"/>
                <c:pt idx="0">
                  <c:v>235.62100914587327</c:v>
                </c:pt>
                <c:pt idx="1">
                  <c:v>212.40482859058892</c:v>
                </c:pt>
                <c:pt idx="3">
                  <c:v>139.11407404419882</c:v>
                </c:pt>
                <c:pt idx="4">
                  <c:v>249.0260850744385</c:v>
                </c:pt>
                <c:pt idx="5">
                  <c:v>434.12971702514426</c:v>
                </c:pt>
                <c:pt idx="6">
                  <c:v>31.604884061621615</c:v>
                </c:pt>
                <c:pt idx="7">
                  <c:v>27.101173250639565</c:v>
                </c:pt>
                <c:pt idx="8">
                  <c:v>94.248399772409613</c:v>
                </c:pt>
                <c:pt idx="10">
                  <c:v>271.68499379343609</c:v>
                </c:pt>
                <c:pt idx="11">
                  <c:v>381.59700482367577</c:v>
                </c:pt>
                <c:pt idx="12">
                  <c:v>566.70063677438145</c:v>
                </c:pt>
                <c:pt idx="13">
                  <c:v>164.17580381085892</c:v>
                </c:pt>
                <c:pt idx="14">
                  <c:v>159.67209299987687</c:v>
                </c:pt>
                <c:pt idx="15">
                  <c:v>144.4222481826566</c:v>
                </c:pt>
              </c:numCache>
            </c:numRef>
          </c:val>
        </c:ser>
        <c:dLbls/>
        <c:axId val="170825216"/>
        <c:axId val="170826752"/>
      </c:barChart>
      <c:catAx>
        <c:axId val="1708252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70826752"/>
        <c:crosses val="autoZero"/>
        <c:auto val="1"/>
        <c:lblAlgn val="ctr"/>
        <c:lblOffset val="100"/>
      </c:catAx>
      <c:valAx>
        <c:axId val="170826752"/>
        <c:scaling>
          <c:orientation val="minMax"/>
        </c:scaling>
        <c:axPos val="l"/>
        <c:majorGridlines/>
        <c:numFmt formatCode="0_ " sourceLinked="0"/>
        <c:tickLblPos val="nextTo"/>
        <c:crossAx val="170825216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'Gasoline,HEV,PHEV'!$B$1:$B$2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0"/>
              <c:layout>
                <c:manualLayout>
                  <c:x val="1.5968063872255488E-2"/>
                  <c:y val="-4.2759961127308149E-2"/>
                </c:manualLayout>
              </c:layout>
              <c:showVal val="1"/>
            </c:dLbl>
            <c:dLbl>
              <c:idx val="1"/>
              <c:layout>
                <c:manualLayout>
                  <c:x val="7.9840319361277438E-3"/>
                  <c:y val="-5.0534499514091426E-2"/>
                </c:manualLayout>
              </c:layout>
              <c:showVal val="1"/>
            </c:dLbl>
            <c:dLbl>
              <c:idx val="2"/>
              <c:layout>
                <c:manualLayout>
                  <c:x val="3.9920159680638719E-3"/>
                  <c:y val="-5.4421768707482956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4.6647230320699708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'Gasoline,HEV,PHEV'!$C$3:$C$6</c:f>
                <c:numCache>
                  <c:formatCode>General</c:formatCode>
                  <c:ptCount val="4"/>
                  <c:pt idx="0">
                    <c:v>0.1697189037281526</c:v>
                  </c:pt>
                  <c:pt idx="1">
                    <c:v>0.11880323260970681</c:v>
                  </c:pt>
                  <c:pt idx="2">
                    <c:v>0.16392649175529456</c:v>
                  </c:pt>
                  <c:pt idx="3">
                    <c:v>0.20353727374959418</c:v>
                  </c:pt>
                </c:numCache>
              </c:numRef>
            </c:plus>
            <c:minus>
              <c:numRef>
                <c:f>'Gasoline,HEV,PHEV'!$D$3:$D$6</c:f>
                <c:numCache>
                  <c:formatCode>General</c:formatCode>
                  <c:ptCount val="4"/>
                  <c:pt idx="0">
                    <c:v>0.1697189037281526</c:v>
                  </c:pt>
                  <c:pt idx="1">
                    <c:v>0.11880323260970681</c:v>
                  </c:pt>
                  <c:pt idx="2">
                    <c:v>0.16392649175529456</c:v>
                  </c:pt>
                  <c:pt idx="3">
                    <c:v>0.20353727374959416</c:v>
                  </c:pt>
                </c:numCache>
              </c:numRef>
            </c:minus>
          </c:errBars>
          <c:cat>
            <c:strRef>
              <c:f>'Gasoline,HEV,PHEV'!$A$3:$A$6</c:f>
              <c:strCache>
                <c:ptCount val="4"/>
                <c:pt idx="0">
                  <c:v>SI ICE-Gasoline (8L/100km)</c:v>
                </c:pt>
                <c:pt idx="1">
                  <c:v>SI ICE(HEV)-gasoline</c:v>
                </c:pt>
                <c:pt idx="2">
                  <c:v>PHEV-Gasoline: Grid power(60:40)</c:v>
                </c:pt>
                <c:pt idx="3">
                  <c:v>BEV-Grid power (20.3KWh/100km)</c:v>
                </c:pt>
              </c:strCache>
            </c:strRef>
          </c:cat>
          <c:val>
            <c:numRef>
              <c:f>'Gasoline,HEV,PHEV'!$B$3:$B$6</c:f>
              <c:numCache>
                <c:formatCode>0.00_ </c:formatCode>
                <c:ptCount val="4"/>
                <c:pt idx="0">
                  <c:v>3.2246591708348991</c:v>
                </c:pt>
                <c:pt idx="1">
                  <c:v>2.2572614195844292</c:v>
                </c:pt>
                <c:pt idx="2">
                  <c:v>2.1881578214558917</c:v>
                </c:pt>
                <c:pt idx="3">
                  <c:v>1.8318354637463474</c:v>
                </c:pt>
              </c:numCache>
            </c:numRef>
          </c:val>
        </c:ser>
        <c:dLbls/>
        <c:axId val="170838272"/>
        <c:axId val="170872832"/>
      </c:barChart>
      <c:catAx>
        <c:axId val="170838272"/>
        <c:scaling>
          <c:orientation val="minMax"/>
        </c:scaling>
        <c:axPos val="l"/>
        <c:tickLblPos val="nextTo"/>
        <c:crossAx val="170872832"/>
        <c:crosses val="autoZero"/>
        <c:auto val="1"/>
        <c:lblAlgn val="ctr"/>
        <c:lblOffset val="100"/>
      </c:catAx>
      <c:valAx>
        <c:axId val="170872832"/>
        <c:scaling>
          <c:orientation val="minMax"/>
        </c:scaling>
        <c:axPos val="b"/>
        <c:majorGridlines/>
        <c:numFmt formatCode="0.0_ " sourceLinked="0"/>
        <c:tickLblPos val="nextTo"/>
        <c:crossAx val="17083827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'Gasoline,HEV,PHEV'!$E$1:$E$2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-1.2084592145015121E-2"/>
                  <c:y val="-9.3023255813953501E-2"/>
                </c:manualLayout>
              </c:layout>
              <c:showVal val="1"/>
            </c:dLbl>
            <c:dLbl>
              <c:idx val="1"/>
              <c:layout>
                <c:manualLayout>
                  <c:x val="3.4239677744209544E-2"/>
                  <c:y val="-3.875968992248062E-3"/>
                </c:manualLayout>
              </c:layout>
              <c:showVal val="1"/>
            </c:dLbl>
            <c:dLbl>
              <c:idx val="2"/>
              <c:layout>
                <c:manualLayout>
                  <c:x val="3.4095350021545852E-2"/>
                  <c:y val="-1.937984496124031E-2"/>
                </c:manualLayout>
              </c:layout>
              <c:showVal val="1"/>
            </c:dLbl>
            <c:dLbl>
              <c:idx val="3"/>
              <c:layout>
                <c:manualLayout>
                  <c:x val="7.0493454179254803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'Gasoline,HEV,PHEV'!$F$3:$F$6</c:f>
                <c:numCache>
                  <c:formatCode>General</c:formatCode>
                  <c:ptCount val="4"/>
                  <c:pt idx="0">
                    <c:v>12.401105744519647</c:v>
                  </c:pt>
                  <c:pt idx="1">
                    <c:v>8.680774021163753</c:v>
                  </c:pt>
                  <c:pt idx="2">
                    <c:v>13.404550805947617</c:v>
                  </c:pt>
                  <c:pt idx="3">
                    <c:v>18.006553439714509</c:v>
                  </c:pt>
                </c:numCache>
              </c:numRef>
            </c:plus>
            <c:minus>
              <c:numRef>
                <c:f>'Gasoline,HEV,PHEV'!$G$3:$G$6</c:f>
                <c:numCache>
                  <c:formatCode>General</c:formatCode>
                  <c:ptCount val="4"/>
                  <c:pt idx="0">
                    <c:v>12.401105744519647</c:v>
                  </c:pt>
                  <c:pt idx="1">
                    <c:v>8.680774021163753</c:v>
                  </c:pt>
                  <c:pt idx="2">
                    <c:v>13.404550805947617</c:v>
                  </c:pt>
                  <c:pt idx="3">
                    <c:v>18.006553439714509</c:v>
                  </c:pt>
                </c:numCache>
              </c:numRef>
            </c:minus>
          </c:errBars>
          <c:cat>
            <c:strRef>
              <c:f>'Gasoline,HEV,PHEV'!$A$3:$A$6</c:f>
              <c:strCache>
                <c:ptCount val="4"/>
                <c:pt idx="0">
                  <c:v>SI ICE-Gasoline (8L/100km)</c:v>
                </c:pt>
                <c:pt idx="1">
                  <c:v>SI ICE(HEV)-gasoline</c:v>
                </c:pt>
                <c:pt idx="2">
                  <c:v>PHEV-Gasoline: Grid power(60:40)</c:v>
                </c:pt>
                <c:pt idx="3">
                  <c:v>BEV-Grid power (20.3KWh/100km)</c:v>
                </c:pt>
              </c:strCache>
            </c:strRef>
          </c:cat>
          <c:val>
            <c:numRef>
              <c:f>'Gasoline,HEV,PHEV'!$E$3:$E$6</c:f>
              <c:numCache>
                <c:formatCode>0.00_ </c:formatCode>
                <c:ptCount val="4"/>
                <c:pt idx="0">
                  <c:v>235.62100914587327</c:v>
                </c:pt>
                <c:pt idx="1">
                  <c:v>164.93470640211129</c:v>
                </c:pt>
                <c:pt idx="2">
                  <c:v>172.72560138051105</c:v>
                </c:pt>
                <c:pt idx="3">
                  <c:v>162.05898095743058</c:v>
                </c:pt>
              </c:numCache>
            </c:numRef>
          </c:val>
        </c:ser>
        <c:dLbls/>
        <c:axId val="170897408"/>
        <c:axId val="170898944"/>
      </c:barChart>
      <c:catAx>
        <c:axId val="170897408"/>
        <c:scaling>
          <c:orientation val="minMax"/>
        </c:scaling>
        <c:axPos val="l"/>
        <c:tickLblPos val="nextTo"/>
        <c:crossAx val="170898944"/>
        <c:crosses val="autoZero"/>
        <c:auto val="1"/>
        <c:lblAlgn val="ctr"/>
        <c:lblOffset val="100"/>
      </c:catAx>
      <c:valAx>
        <c:axId val="170898944"/>
        <c:scaling>
          <c:orientation val="minMax"/>
        </c:scaling>
        <c:axPos val="b"/>
        <c:majorGridlines/>
        <c:numFmt formatCode="0_ " sourceLinked="0"/>
        <c:tickLblPos val="nextTo"/>
        <c:crossAx val="17089740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sz="1800"/>
          </a:pPr>
          <a:endParaRPr lang="zh-CN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'SI ICE based, FFV, Fuel blend'!$B$1:$B$2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0"/>
              <c:layout>
                <c:manualLayout>
                  <c:x val="-6.7712350440289356E-17"/>
                  <c:y val="-1.6129025430096762E-2"/>
                </c:manualLayout>
              </c:layout>
              <c:showVal val="1"/>
            </c:dLbl>
            <c:dLbl>
              <c:idx val="1"/>
              <c:layout>
                <c:manualLayout>
                  <c:x val="1.4773774398357626E-2"/>
                  <c:y val="-1.3440854525080752E-2"/>
                </c:manualLayout>
              </c:layout>
              <c:showVal val="1"/>
            </c:dLbl>
            <c:dLbl>
              <c:idx val="2"/>
              <c:layout>
                <c:manualLayout>
                  <c:x val="3.6934435995894213E-3"/>
                  <c:y val="-1.6129025430096762E-2"/>
                </c:manualLayout>
              </c:layout>
              <c:showVal val="1"/>
            </c:dLbl>
            <c:dLbl>
              <c:idx val="3"/>
              <c:layout>
                <c:manualLayout>
                  <c:x val="1.8467217997946408E-3"/>
                  <c:y val="-1.8817196335112901E-2"/>
                </c:manualLayout>
              </c:layout>
              <c:showVal val="1"/>
            </c:dLbl>
            <c:dLbl>
              <c:idx val="4"/>
              <c:layout>
                <c:manualLayout>
                  <c:x val="1.8467217997946408E-3"/>
                  <c:y val="-1.6129025430096762E-2"/>
                </c:manualLayout>
              </c:layout>
              <c:showVal val="1"/>
            </c:dLbl>
            <c:dLbl>
              <c:idx val="5"/>
              <c:layout>
                <c:manualLayout>
                  <c:x val="6.7712350440289356E-17"/>
                  <c:y val="-1.6129025430096762E-2"/>
                </c:manualLayout>
              </c:layout>
              <c:showVal val="1"/>
            </c:dLbl>
            <c:dLbl>
              <c:idx val="6"/>
              <c:layout>
                <c:manualLayout>
                  <c:x val="2.2160661597536477E-2"/>
                  <c:y val="-2.150536724012907E-2"/>
                </c:manualLayout>
              </c:layout>
              <c:showVal val="1"/>
            </c:dLbl>
            <c:dLbl>
              <c:idx val="7"/>
              <c:layout>
                <c:manualLayout>
                  <c:x val="3.6934435995894213E-3"/>
                  <c:y val="-1.8817196335112901E-2"/>
                </c:manualLayout>
              </c:layout>
              <c:showVal val="1"/>
            </c:dLbl>
            <c:dLbl>
              <c:idx val="8"/>
              <c:layout>
                <c:manualLayout>
                  <c:x val="-5.5401653993841409E-3"/>
                  <c:y val="2.150536724012907E-2"/>
                </c:manualLayout>
              </c:layout>
              <c:showVal val="1"/>
            </c:dLbl>
            <c:dLbl>
              <c:idx val="9"/>
              <c:layout>
                <c:manualLayout>
                  <c:x val="-1.6620496198152399E-2"/>
                  <c:y val="-3.2258050860193552E-2"/>
                </c:manualLayout>
              </c:layout>
              <c:showVal val="1"/>
            </c:dLbl>
            <c:dLbl>
              <c:idx val="10"/>
              <c:layout>
                <c:manualLayout>
                  <c:x val="-7.3868871991788479E-3"/>
                  <c:y val="-2.4193538145145143E-2"/>
                </c:manualLayout>
              </c:layout>
              <c:showVal val="1"/>
            </c:dLbl>
            <c:dLbl>
              <c:idx val="11"/>
              <c:layout>
                <c:manualLayout>
                  <c:x val="9.2336089989735418E-3"/>
                  <c:y val="-1.3440854525080653E-2"/>
                </c:manualLayout>
              </c:layout>
              <c:showVal val="1"/>
            </c:dLbl>
            <c:dLbl>
              <c:idx val="12"/>
              <c:layout>
                <c:manualLayout>
                  <c:x val="1.2927052598562961E-2"/>
                  <c:y val="-2.1505367240129098E-2"/>
                </c:manualLayout>
              </c:layout>
              <c:showVal val="1"/>
            </c:dLbl>
            <c:dLbl>
              <c:idx val="13"/>
              <c:layout>
                <c:manualLayout>
                  <c:x val="5.5401653993841409E-3"/>
                  <c:y val="0"/>
                </c:manualLayout>
              </c:layout>
              <c:showVal val="1"/>
            </c:dLbl>
            <c:dLbl>
              <c:idx val="14"/>
              <c:layout>
                <c:manualLayout>
                  <c:x val="2.7700826996920631E-2"/>
                  <c:y val="-2.6881709050161312E-3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Val val="1"/>
          </c:dLbls>
          <c:errBars>
            <c:errBarType val="both"/>
            <c:errValType val="cust"/>
            <c:plus>
              <c:numRef>
                <c:f>'SI ICE based, FFV, Fuel blend'!$C$3:$C$17</c:f>
                <c:numCache>
                  <c:formatCode>General</c:formatCode>
                  <c:ptCount val="15"/>
                  <c:pt idx="0">
                    <c:v>0.1697189037281526</c:v>
                  </c:pt>
                  <c:pt idx="1">
                    <c:v>0.28288687574802629</c:v>
                  </c:pt>
                  <c:pt idx="2">
                    <c:v>0.39405587205260401</c:v>
                  </c:pt>
                  <c:pt idx="3">
                    <c:v>0.19277870520288579</c:v>
                  </c:pt>
                  <c:pt idx="4">
                    <c:v>0.17551722364229622</c:v>
                  </c:pt>
                  <c:pt idx="5">
                    <c:v>0.40775533311115375</c:v>
                  </c:pt>
                  <c:pt idx="6">
                    <c:v>0.16312796134968216</c:v>
                  </c:pt>
                  <c:pt idx="7">
                    <c:v>0.1584948843092947</c:v>
                  </c:pt>
                  <c:pt idx="8">
                    <c:v>0.92417205052731077</c:v>
                  </c:pt>
                  <c:pt idx="9">
                    <c:v>1.6652986925578288</c:v>
                  </c:pt>
                  <c:pt idx="10">
                    <c:v>0.40031691847548456</c:v>
                  </c:pt>
                  <c:pt idx="11">
                    <c:v>0.22770210286958875</c:v>
                  </c:pt>
                  <c:pt idx="12">
                    <c:v>2.5500831975581639</c:v>
                  </c:pt>
                  <c:pt idx="13">
                    <c:v>0.10380947994344818</c:v>
                  </c:pt>
                  <c:pt idx="14">
                    <c:v>5.747870953957377E-2</c:v>
                  </c:pt>
                </c:numCache>
              </c:numRef>
            </c:plus>
            <c:minus>
              <c:numRef>
                <c:f>'SI ICE based, FFV, Fuel blend'!$D$3:$D$17</c:f>
                <c:numCache>
                  <c:formatCode>General</c:formatCode>
                  <c:ptCount val="15"/>
                  <c:pt idx="0">
                    <c:v>0.1697189037281526</c:v>
                  </c:pt>
                  <c:pt idx="1">
                    <c:v>0.34064762890598321</c:v>
                  </c:pt>
                  <c:pt idx="2">
                    <c:v>0.47732080668049548</c:v>
                  </c:pt>
                  <c:pt idx="3">
                    <c:v>0.24281832001232134</c:v>
                  </c:pt>
                  <c:pt idx="4">
                    <c:v>0.2039799865009948</c:v>
                  </c:pt>
                  <c:pt idx="5">
                    <c:v>0.19524839998130675</c:v>
                  </c:pt>
                  <c:pt idx="6">
                    <c:v>0.16312796134968216</c:v>
                  </c:pt>
                  <c:pt idx="7">
                    <c:v>0.1584948843092947</c:v>
                  </c:pt>
                  <c:pt idx="8">
                    <c:v>1.3092437382470234</c:v>
                  </c:pt>
                  <c:pt idx="9">
                    <c:v>2.2203982567437719</c:v>
                  </c:pt>
                  <c:pt idx="10">
                    <c:v>0.90071306656984018</c:v>
                  </c:pt>
                  <c:pt idx="11">
                    <c:v>0.51232973145657468</c:v>
                  </c:pt>
                  <c:pt idx="12">
                    <c:v>0.42501386625969406</c:v>
                  </c:pt>
                  <c:pt idx="13">
                    <c:v>0.10380947994344818</c:v>
                  </c:pt>
                  <c:pt idx="14">
                    <c:v>5.7478709539573763E-2</c:v>
                  </c:pt>
                </c:numCache>
              </c:numRef>
            </c:minus>
          </c:errBars>
          <c:cat>
            <c:strRef>
              <c:f>'SI ICE based, FFV, Fuel blend'!$A$3:$A$17</c:f>
              <c:strCache>
                <c:ptCount val="15"/>
                <c:pt idx="0">
                  <c:v>SI ICE-Gasoline (8L/100km)</c:v>
                </c:pt>
                <c:pt idx="1">
                  <c:v>SI ICE-Methanol from coal(M15)</c:v>
                </c:pt>
                <c:pt idx="2">
                  <c:v>SI ICE-Methanol from coal+CCS(M15)</c:v>
                </c:pt>
                <c:pt idx="3">
                  <c:v>SI ICE-Corn ethanol (E10)</c:v>
                </c:pt>
                <c:pt idx="4">
                  <c:v>SI ICE-Cassava ethanol (E10)</c:v>
                </c:pt>
                <c:pt idx="5">
                  <c:v>SI ICE-Sweet sorghum (E10)</c:v>
                </c:pt>
                <c:pt idx="6">
                  <c:v>SI ICE-Woody ethanol (E10)</c:v>
                </c:pt>
                <c:pt idx="7">
                  <c:v>SI ICE-Herbaceous ethanol (E10)</c:v>
                </c:pt>
                <c:pt idx="8">
                  <c:v>FFV-Methanol from coal</c:v>
                </c:pt>
                <c:pt idx="9">
                  <c:v>FFV-Methanol from coal+CCS</c:v>
                </c:pt>
                <c:pt idx="10">
                  <c:v>FFV-Corn ethanol</c:v>
                </c:pt>
                <c:pt idx="11">
                  <c:v>FFV-Cassava ethanol</c:v>
                </c:pt>
                <c:pt idx="12">
                  <c:v>FFV-Sweet sorghum ethanol</c:v>
                </c:pt>
                <c:pt idx="13">
                  <c:v>FFV-Woody ethanol</c:v>
                </c:pt>
                <c:pt idx="14">
                  <c:v>FFV-Herbaceous ethanol</c:v>
                </c:pt>
              </c:strCache>
            </c:strRef>
          </c:cat>
          <c:val>
            <c:numRef>
              <c:f>'SI ICE based, FFV, Fuel blend'!$B$3:$B$17</c:f>
              <c:numCache>
                <c:formatCode>0.00_ </c:formatCode>
                <c:ptCount val="15"/>
                <c:pt idx="0">
                  <c:v>3.2246591708348991</c:v>
                </c:pt>
                <c:pt idx="1">
                  <c:v>3.5265065381578782</c:v>
                </c:pt>
                <c:pt idx="2">
                  <c:v>3.7401395107443616</c:v>
                </c:pt>
                <c:pt idx="3">
                  <c:v>3.2624784803793454</c:v>
                </c:pt>
                <c:pt idx="4">
                  <c:v>3.107125146334039</c:v>
                </c:pt>
                <c:pt idx="5">
                  <c:v>3.0721988002552867</c:v>
                </c:pt>
                <c:pt idx="6">
                  <c:v>2.9956217857005125</c:v>
                </c:pt>
                <c:pt idx="7">
                  <c:v>2.9539240923370258</c:v>
                </c:pt>
                <c:pt idx="8">
                  <c:v>5.2369749529880938</c:v>
                </c:pt>
                <c:pt idx="9">
                  <c:v>6.6611947702313152</c:v>
                </c:pt>
                <c:pt idx="10">
                  <c:v>3.6028522662793607</c:v>
                </c:pt>
                <c:pt idx="11">
                  <c:v>2.0493189258262987</c:v>
                </c:pt>
                <c:pt idx="12">
                  <c:v>1.7000554650387762</c:v>
                </c:pt>
                <c:pt idx="13">
                  <c:v>0.93428531949103355</c:v>
                </c:pt>
                <c:pt idx="14">
                  <c:v>0.5173083858561639</c:v>
                </c:pt>
              </c:numCache>
            </c:numRef>
          </c:val>
        </c:ser>
        <c:dLbls/>
        <c:axId val="171142144"/>
        <c:axId val="171156224"/>
      </c:barChart>
      <c:catAx>
        <c:axId val="171142144"/>
        <c:scaling>
          <c:orientation val="minMax"/>
        </c:scaling>
        <c:axPos val="l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156224"/>
        <c:crosses val="autoZero"/>
        <c:auto val="1"/>
        <c:lblAlgn val="ctr"/>
        <c:lblOffset val="100"/>
      </c:catAx>
      <c:valAx>
        <c:axId val="171156224"/>
        <c:scaling>
          <c:orientation val="minMax"/>
        </c:scaling>
        <c:axPos val="b"/>
        <c:majorGridlines/>
        <c:numFmt formatCode="0.0_ " sourceLinked="0"/>
        <c:tickLblPos val="nextTo"/>
        <c:crossAx val="1711421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900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'SI ICE based, FFV, Fuel blend'!$E$1:$E$2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1.2968965222457803E-2"/>
                  <c:y val="-8.5775553967119555E-3"/>
                </c:manualLayout>
              </c:layout>
              <c:showVal val="1"/>
            </c:dLbl>
            <c:dLbl>
              <c:idx val="1"/>
              <c:layout>
                <c:manualLayout>
                  <c:x val="3.7054186349880312E-3"/>
                  <c:y val="-1.4295925661186561E-2"/>
                </c:manualLayout>
              </c:layout>
              <c:showVal val="1"/>
            </c:dLbl>
            <c:dLbl>
              <c:idx val="2"/>
              <c:layout>
                <c:manualLayout>
                  <c:x val="9.26354658746994E-3"/>
                  <c:y val="-1.4295925661186461E-2"/>
                </c:manualLayout>
              </c:layout>
              <c:showVal val="1"/>
            </c:dLbl>
            <c:dLbl>
              <c:idx val="3"/>
              <c:layout>
                <c:manualLayout>
                  <c:x val="1.111625590496396E-2"/>
                  <c:y val="-1.4295925661186561E-2"/>
                </c:manualLayout>
              </c:layout>
              <c:showVal val="1"/>
            </c:dLbl>
            <c:dLbl>
              <c:idx val="4"/>
              <c:layout>
                <c:manualLayout>
                  <c:x val="1.1116255904963891E-2"/>
                  <c:y val="-1.7155110793423873E-2"/>
                </c:manualLayout>
              </c:layout>
              <c:showVal val="1"/>
            </c:dLbl>
            <c:dLbl>
              <c:idx val="5"/>
              <c:layout>
                <c:manualLayout>
                  <c:x val="3.7054186349879652E-3"/>
                  <c:y val="-1.7155110793423873E-2"/>
                </c:manualLayout>
              </c:layout>
              <c:showVal val="1"/>
            </c:dLbl>
            <c:dLbl>
              <c:idx val="6"/>
              <c:layout>
                <c:manualLayout>
                  <c:x val="6.7931890219787119E-17"/>
                  <c:y val="-1.1436740528949238E-2"/>
                </c:manualLayout>
              </c:layout>
              <c:showVal val="1"/>
            </c:dLbl>
            <c:dLbl>
              <c:idx val="7"/>
              <c:layout>
                <c:manualLayout>
                  <c:x val="1.8527093174939815E-3"/>
                  <c:y val="-1.1436740528949238E-2"/>
                </c:manualLayout>
              </c:layout>
              <c:showVal val="1"/>
            </c:dLbl>
            <c:dLbl>
              <c:idx val="8"/>
              <c:layout>
                <c:manualLayout>
                  <c:x val="-5.5581279524819453E-3"/>
                  <c:y val="-2.8591851322373161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1.4295925661186561E-2"/>
                </c:manualLayout>
              </c:layout>
              <c:showVal val="1"/>
            </c:dLbl>
            <c:dLbl>
              <c:idx val="10"/>
              <c:layout>
                <c:manualLayout>
                  <c:x val="-5.5581279524819463E-2"/>
                  <c:y val="-4.2887776983559694E-2"/>
                </c:manualLayout>
              </c:layout>
              <c:showVal val="1"/>
            </c:dLbl>
            <c:dLbl>
              <c:idx val="11"/>
              <c:layout>
                <c:manualLayout>
                  <c:x val="-6.7618695750652048E-17"/>
                  <c:y val="-2.3289665211062592E-2"/>
                </c:manualLayout>
              </c:layout>
              <c:showVal val="1"/>
            </c:dLbl>
            <c:dLbl>
              <c:idx val="12"/>
              <c:layout>
                <c:manualLayout>
                  <c:x val="-2.7662513272197972E-2"/>
                  <c:y val="-3.4934497816593871E-2"/>
                </c:manualLayout>
              </c:layout>
              <c:showVal val="1"/>
            </c:dLbl>
            <c:dLbl>
              <c:idx val="13"/>
              <c:layout>
                <c:manualLayout>
                  <c:x val="-6.8234199404754975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Val val="1"/>
          </c:dLbls>
          <c:errBars>
            <c:errBarType val="both"/>
            <c:errValType val="cust"/>
            <c:plus>
              <c:numRef>
                <c:f>'SI ICE based, FFV, Fuel blend'!$F$3:$F$17</c:f>
                <c:numCache>
                  <c:formatCode>General</c:formatCode>
                  <c:ptCount val="15"/>
                  <c:pt idx="0">
                    <c:v>12.401105744519647</c:v>
                  </c:pt>
                  <c:pt idx="1">
                    <c:v>26.699219464584232</c:v>
                  </c:pt>
                  <c:pt idx="2">
                    <c:v>25.672210169134495</c:v>
                  </c:pt>
                  <c:pt idx="3">
                    <c:v>16.641658070352996</c:v>
                  </c:pt>
                  <c:pt idx="4">
                    <c:v>13.658607229029849</c:v>
                  </c:pt>
                  <c:pt idx="5">
                    <c:v>35.201426676460329</c:v>
                  </c:pt>
                  <c:pt idx="6">
                    <c:v>10.275086193559076</c:v>
                  </c:pt>
                  <c:pt idx="7">
                    <c:v>11.266744682765394</c:v>
                  </c:pt>
                  <c:pt idx="8">
                    <c:v>107.72186387828356</c:v>
                  </c:pt>
                  <c:pt idx="9">
                    <c:v>100.87513524195195</c:v>
                  </c:pt>
                  <c:pt idx="10">
                    <c:v>54.80662900285315</c:v>
                  </c:pt>
                  <c:pt idx="11">
                    <c:v>24.976120589621662</c:v>
                  </c:pt>
                  <c:pt idx="12">
                    <c:v>240.40431506392642</c:v>
                  </c:pt>
                  <c:pt idx="13">
                    <c:v>-8.8590897650860665</c:v>
                  </c:pt>
                  <c:pt idx="14">
                    <c:v>1.0574951269771091</c:v>
                  </c:pt>
                </c:numCache>
              </c:numRef>
            </c:plus>
            <c:minus>
              <c:numRef>
                <c:f>'SI ICE based, FFV, Fuel blend'!$G$3:$G$17</c:f>
                <c:numCache>
                  <c:formatCode>General</c:formatCode>
                  <c:ptCount val="15"/>
                  <c:pt idx="0">
                    <c:v>12.401105744519647</c:v>
                  </c:pt>
                  <c:pt idx="1">
                    <c:v>33.431835956976954</c:v>
                  </c:pt>
                  <c:pt idx="2">
                    <c:v>30.715966931232089</c:v>
                  </c:pt>
                  <c:pt idx="3">
                    <c:v>23.492486695709641</c:v>
                  </c:pt>
                  <c:pt idx="4">
                    <c:v>16.780622302732557</c:v>
                  </c:pt>
                  <c:pt idx="5">
                    <c:v>15.167733754466457</c:v>
                  </c:pt>
                  <c:pt idx="6">
                    <c:v>10.275086193559076</c:v>
                  </c:pt>
                  <c:pt idx="7">
                    <c:v>11.266744682765394</c:v>
                  </c:pt>
                  <c:pt idx="8">
                    <c:v>152.60597382756836</c:v>
                  </c:pt>
                  <c:pt idx="9">
                    <c:v>134.5001803226026</c:v>
                  </c:pt>
                  <c:pt idx="10">
                    <c:v>123.31491525641958</c:v>
                  </c:pt>
                  <c:pt idx="11">
                    <c:v>56.196271326648741</c:v>
                  </c:pt>
                  <c:pt idx="12">
                    <c:v>40.067385843987736</c:v>
                  </c:pt>
                  <c:pt idx="13">
                    <c:v>-8.8590897650860665</c:v>
                  </c:pt>
                  <c:pt idx="14">
                    <c:v>1.0574951269771091</c:v>
                  </c:pt>
                </c:numCache>
              </c:numRef>
            </c:minus>
          </c:errBars>
          <c:cat>
            <c:strRef>
              <c:f>'SI ICE based, FFV, Fuel blend'!$A$3:$A$17</c:f>
              <c:strCache>
                <c:ptCount val="15"/>
                <c:pt idx="0">
                  <c:v>SI ICE-Gasoline (8L/100km)</c:v>
                </c:pt>
                <c:pt idx="1">
                  <c:v>SI ICE-Methanol from coal(M15)</c:v>
                </c:pt>
                <c:pt idx="2">
                  <c:v>SI ICE-Methanol from coal+CCS(M15)</c:v>
                </c:pt>
                <c:pt idx="3">
                  <c:v>SI ICE-Corn ethanol (E10)</c:v>
                </c:pt>
                <c:pt idx="4">
                  <c:v>SI ICE-Cassava ethanol (E10)</c:v>
                </c:pt>
                <c:pt idx="5">
                  <c:v>SI ICE-Sweet sorghum (E10)</c:v>
                </c:pt>
                <c:pt idx="6">
                  <c:v>SI ICE-Woody ethanol (E10)</c:v>
                </c:pt>
                <c:pt idx="7">
                  <c:v>SI ICE-Herbaceous ethanol (E10)</c:v>
                </c:pt>
                <c:pt idx="8">
                  <c:v>FFV-Methanol from coal</c:v>
                </c:pt>
                <c:pt idx="9">
                  <c:v>FFV-Methanol from coal+CCS</c:v>
                </c:pt>
                <c:pt idx="10">
                  <c:v>FFV-Corn ethanol</c:v>
                </c:pt>
                <c:pt idx="11">
                  <c:v>FFV-Cassava ethanol</c:v>
                </c:pt>
                <c:pt idx="12">
                  <c:v>FFV-Sweet sorghum ethanol</c:v>
                </c:pt>
                <c:pt idx="13">
                  <c:v>FFV-Woody ethanol</c:v>
                </c:pt>
                <c:pt idx="14">
                  <c:v>FFV-Herbaceous ethanol</c:v>
                </c:pt>
              </c:strCache>
            </c:strRef>
          </c:cat>
          <c:val>
            <c:numRef>
              <c:f>'SI ICE based, FFV, Fuel blend'!$E$3:$E$17</c:f>
              <c:numCache>
                <c:formatCode>0.00_ </c:formatCode>
                <c:ptCount val="15"/>
                <c:pt idx="0">
                  <c:v>235.62100914587327</c:v>
                </c:pt>
                <c:pt idx="1">
                  <c:v>291.84144207053328</c:v>
                </c:pt>
                <c:pt idx="2">
                  <c:v>260.80293891916347</c:v>
                </c:pt>
                <c:pt idx="3">
                  <c:v>261.38487433385376</c:v>
                </c:pt>
                <c:pt idx="4">
                  <c:v>234.53741676194545</c:v>
                </c:pt>
                <c:pt idx="5">
                  <c:v>228.08586256888105</c:v>
                </c:pt>
                <c:pt idx="6">
                  <c:v>220.03208901986341</c:v>
                </c:pt>
                <c:pt idx="7">
                  <c:v>213.01065384556534</c:v>
                </c:pt>
                <c:pt idx="8">
                  <c:v>610.42389531027345</c:v>
                </c:pt>
                <c:pt idx="9">
                  <c:v>403.50054096780781</c:v>
                </c:pt>
                <c:pt idx="10">
                  <c:v>493.25966102567833</c:v>
                </c:pt>
                <c:pt idx="11">
                  <c:v>224.78508530659494</c:v>
                </c:pt>
                <c:pt idx="12">
                  <c:v>160.26954337595097</c:v>
                </c:pt>
                <c:pt idx="13">
                  <c:v>79.7318078857746</c:v>
                </c:pt>
                <c:pt idx="14">
                  <c:v>9.5174561427939821</c:v>
                </c:pt>
              </c:numCache>
            </c:numRef>
          </c:val>
        </c:ser>
        <c:dLbls/>
        <c:axId val="171197184"/>
        <c:axId val="171198720"/>
      </c:barChart>
      <c:catAx>
        <c:axId val="171197184"/>
        <c:scaling>
          <c:orientation val="minMax"/>
        </c:scaling>
        <c:axPos val="l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198720"/>
        <c:crosses val="autoZero"/>
        <c:auto val="1"/>
        <c:lblAlgn val="ctr"/>
        <c:lblOffset val="100"/>
      </c:catAx>
      <c:valAx>
        <c:axId val="171198720"/>
        <c:scaling>
          <c:orientation val="minMax"/>
        </c:scaling>
        <c:axPos val="b"/>
        <c:majorGridlines/>
        <c:numFmt formatCode="0_ " sourceLinked="0"/>
        <c:tickLblPos val="nextTo"/>
        <c:crossAx val="171197184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'CI ICE based, Fuel blend'!$B$1:$B$2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2407407407407461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3.2407771945173587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0925925925925923E-2"/>
                </c:manualLayout>
              </c:layout>
              <c:showVal val="1"/>
            </c:dLbl>
            <c:dLbl>
              <c:idx val="3"/>
              <c:layout>
                <c:manualLayout>
                  <c:x val="5.9701492537313572E-3"/>
                  <c:y val="-5.5555555555555469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4.1666666666666664E-2"/>
                </c:manualLayout>
              </c:layout>
              <c:showVal val="1"/>
            </c:dLbl>
            <c:dLbl>
              <c:idx val="5"/>
              <c:layout>
                <c:manualLayout>
                  <c:x val="7.2967647950443556E-17"/>
                  <c:y val="-2.7777777777777853E-2"/>
                </c:manualLayout>
              </c:layout>
              <c:showVal val="1"/>
            </c:dLbl>
            <c:dLbl>
              <c:idx val="6"/>
              <c:layout>
                <c:manualLayout>
                  <c:x val="1.1940298507462704E-2"/>
                  <c:y val="-1.8518518518518563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'CI ICE based, Fuel blend'!$C$3:$C$9</c:f>
                <c:numCache>
                  <c:formatCode>General</c:formatCode>
                  <c:ptCount val="7"/>
                  <c:pt idx="0">
                    <c:v>0.15306008951412703</c:v>
                  </c:pt>
                  <c:pt idx="1">
                    <c:v>0.15774522723185502</c:v>
                  </c:pt>
                  <c:pt idx="2">
                    <c:v>0.14814721192052091</c:v>
                  </c:pt>
                  <c:pt idx="3">
                    <c:v>0.14706535776569341</c:v>
                  </c:pt>
                  <c:pt idx="4">
                    <c:v>0.24676284386868683</c:v>
                  </c:pt>
                  <c:pt idx="5">
                    <c:v>5.4802537642004649E-2</c:v>
                  </c:pt>
                  <c:pt idx="6">
                    <c:v>3.3165454545454547E-2</c:v>
                  </c:pt>
                </c:numCache>
              </c:numRef>
            </c:plus>
            <c:minus>
              <c:numRef>
                <c:f>'CI ICE based, Fuel blend'!$D$3:$D$9</c:f>
                <c:numCache>
                  <c:formatCode>General</c:formatCode>
                  <c:ptCount val="7"/>
                  <c:pt idx="0">
                    <c:v>0.15306008951412703</c:v>
                  </c:pt>
                  <c:pt idx="1">
                    <c:v>0.19299706207023884</c:v>
                  </c:pt>
                  <c:pt idx="2">
                    <c:v>0.14814721192052091</c:v>
                  </c:pt>
                  <c:pt idx="3">
                    <c:v>0.14706535776569341</c:v>
                  </c:pt>
                  <c:pt idx="4">
                    <c:v>0.95179954063636341</c:v>
                  </c:pt>
                  <c:pt idx="5">
                    <c:v>5.4802537642004649E-2</c:v>
                  </c:pt>
                  <c:pt idx="6">
                    <c:v>3.3165454545454547E-2</c:v>
                  </c:pt>
                </c:numCache>
              </c:numRef>
            </c:minus>
          </c:errBars>
          <c:cat>
            <c:strRef>
              <c:f>'CI ICE based, Fuel blend'!$A$3:$A$9</c:f>
              <c:strCache>
                <c:ptCount val="7"/>
                <c:pt idx="0">
                  <c:v>CI ICE-Diesel</c:v>
                </c:pt>
                <c:pt idx="1">
                  <c:v>CI ICE-Waste oil biodiesel (BD5)</c:v>
                </c:pt>
                <c:pt idx="2">
                  <c:v>CI ICE-Jatropha biodiesel (BD5)</c:v>
                </c:pt>
                <c:pt idx="3">
                  <c:v>CI ICE-BTL (F-T) biodiesel (BD5)</c:v>
                </c:pt>
                <c:pt idx="4">
                  <c:v>CI ICE-Waste oil biodiesel</c:v>
                </c:pt>
                <c:pt idx="5">
                  <c:v>CI ICE-Jatropha biodiesel</c:v>
                </c:pt>
                <c:pt idx="6">
                  <c:v>CI ICE-BTL (F-T) biodiesel</c:v>
                </c:pt>
              </c:strCache>
            </c:strRef>
          </c:cat>
          <c:val>
            <c:numRef>
              <c:f>'CI ICE based, Fuel blend'!$B$3:$B$9</c:f>
              <c:numCache>
                <c:formatCode>0.00_ </c:formatCode>
                <c:ptCount val="7"/>
                <c:pt idx="0">
                  <c:v>2.9081417007684132</c:v>
                </c:pt>
                <c:pt idx="1">
                  <c:v>2.8737778954709015</c:v>
                </c:pt>
                <c:pt idx="2">
                  <c:v>2.7873957576688944</c:v>
                </c:pt>
                <c:pt idx="3">
                  <c:v>2.7693677066390832</c:v>
                </c:pt>
                <c:pt idx="4">
                  <c:v>2.2208655948181812</c:v>
                </c:pt>
                <c:pt idx="5">
                  <c:v>0.49322283877804179</c:v>
                </c:pt>
                <c:pt idx="6">
                  <c:v>0.13266181818181819</c:v>
                </c:pt>
              </c:numCache>
            </c:numRef>
          </c:val>
        </c:ser>
        <c:dLbls/>
        <c:axId val="171244160"/>
        <c:axId val="171065728"/>
      </c:barChart>
      <c:catAx>
        <c:axId val="171244160"/>
        <c:scaling>
          <c:orientation val="minMax"/>
        </c:scaling>
        <c:axPos val="l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065728"/>
        <c:crosses val="autoZero"/>
        <c:auto val="1"/>
        <c:lblAlgn val="ctr"/>
        <c:lblOffset val="100"/>
      </c:catAx>
      <c:valAx>
        <c:axId val="171065728"/>
        <c:scaling>
          <c:orientation val="minMax"/>
        </c:scaling>
        <c:axPos val="b"/>
        <c:majorGridlines/>
        <c:numFmt formatCode="0.0_ " sourceLinked="0"/>
        <c:tickLblPos val="nextTo"/>
        <c:crossAx val="171244160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sz="1800"/>
          </a:pPr>
          <a:endParaRPr lang="zh-CN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'CI ICE based, Fuel blend'!$E$1:$E$2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798600699650175E-2"/>
                  <c:y val="-1.7969446846659215E-2"/>
                </c:manualLayout>
              </c:layout>
              <c:showVal val="1"/>
            </c:dLbl>
            <c:dLbl>
              <c:idx val="1"/>
              <c:layout>
                <c:manualLayout>
                  <c:x val="2.798600699650175E-2"/>
                  <c:y val="-2.1563336215991054E-2"/>
                </c:manualLayout>
              </c:layout>
              <c:showVal val="1"/>
            </c:dLbl>
            <c:dLbl>
              <c:idx val="2"/>
              <c:layout>
                <c:manualLayout>
                  <c:x val="3.3983008495752171E-2"/>
                  <c:y val="-7.1877787386637514E-3"/>
                </c:manualLayout>
              </c:layout>
              <c:showVal val="1"/>
            </c:dLbl>
            <c:dLbl>
              <c:idx val="3"/>
              <c:layout>
                <c:manualLayout>
                  <c:x val="4.3978010994502763E-2"/>
                  <c:y val="-1.4375557477327435E-2"/>
                </c:manualLayout>
              </c:layout>
              <c:showVal val="1"/>
            </c:dLbl>
            <c:dLbl>
              <c:idx val="4"/>
              <c:layout>
                <c:manualLayout>
                  <c:x val="-5.9970014992503859E-3"/>
                  <c:y val="-5.3908340539977617E-2"/>
                </c:manualLayout>
              </c:layout>
              <c:showVal val="1"/>
            </c:dLbl>
            <c:dLbl>
              <c:idx val="5"/>
              <c:layout>
                <c:manualLayout>
                  <c:x val="7.3295838271059976E-17"/>
                  <c:y val="-3.593889369331843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3.9532783062650262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'CI ICE based, Fuel blend'!$F$3:$F$9</c:f>
                <c:numCache>
                  <c:formatCode>General</c:formatCode>
                  <c:ptCount val="7"/>
                  <c:pt idx="0">
                    <c:v>11.179201504767839</c:v>
                  </c:pt>
                  <c:pt idx="1">
                    <c:v>12.811806996676101</c:v>
                  </c:pt>
                  <c:pt idx="2">
                    <c:v>10.845215963518566</c:v>
                  </c:pt>
                  <c:pt idx="3">
                    <c:v>10.827239611347629</c:v>
                  </c:pt>
                  <c:pt idx="4">
                    <c:v>43.831311342933063</c:v>
                  </c:pt>
                  <c:pt idx="5">
                    <c:v>4.4994906797823964</c:v>
                  </c:pt>
                  <c:pt idx="6">
                    <c:v>4.1399636363636327</c:v>
                  </c:pt>
                </c:numCache>
              </c:numRef>
            </c:plus>
            <c:minus>
              <c:numRef>
                <c:f>'CI ICE based, Fuel blend'!$G$3:$G$9</c:f>
                <c:numCache>
                  <c:formatCode>General</c:formatCode>
                  <c:ptCount val="7"/>
                  <c:pt idx="0">
                    <c:v>11.179201504767839</c:v>
                  </c:pt>
                  <c:pt idx="1">
                    <c:v>19.073422902809394</c:v>
                  </c:pt>
                  <c:pt idx="2">
                    <c:v>10.845215963518566</c:v>
                  </c:pt>
                  <c:pt idx="3">
                    <c:v>10.827239611347629</c:v>
                  </c:pt>
                  <c:pt idx="4">
                    <c:v>169.06362946559895</c:v>
                  </c:pt>
                  <c:pt idx="5">
                    <c:v>4.4994906797823955</c:v>
                  </c:pt>
                  <c:pt idx="6">
                    <c:v>4.1399636363636327</c:v>
                  </c:pt>
                </c:numCache>
              </c:numRef>
            </c:minus>
          </c:errBars>
          <c:cat>
            <c:strRef>
              <c:f>'CI ICE based, Fuel blend'!$A$3:$A$9</c:f>
              <c:strCache>
                <c:ptCount val="7"/>
                <c:pt idx="0">
                  <c:v>CI ICE-Diesel</c:v>
                </c:pt>
                <c:pt idx="1">
                  <c:v>CI ICE-Waste oil biodiesel (BD5)</c:v>
                </c:pt>
                <c:pt idx="2">
                  <c:v>CI ICE-Jatropha biodiesel (BD5)</c:v>
                </c:pt>
                <c:pt idx="3">
                  <c:v>CI ICE-BTL (F-T) biodiesel (BD5)</c:v>
                </c:pt>
                <c:pt idx="4">
                  <c:v>CI ICE-Waste oil biodiesel</c:v>
                </c:pt>
                <c:pt idx="5">
                  <c:v>CI ICE-Jatropha biodiesel</c:v>
                </c:pt>
                <c:pt idx="6">
                  <c:v>CI ICE-BTL (F-T) biodiesel</c:v>
                </c:pt>
              </c:strCache>
            </c:strRef>
          </c:cat>
          <c:val>
            <c:numRef>
              <c:f>'CI ICE based, Fuel blend'!$E$3:$E$9</c:f>
              <c:numCache>
                <c:formatCode>0.00_ </c:formatCode>
                <c:ptCount val="7"/>
                <c:pt idx="0">
                  <c:v>212.40482859058892</c:v>
                </c:pt>
                <c:pt idx="1">
                  <c:v>221.50867726537936</c:v>
                </c:pt>
                <c:pt idx="2">
                  <c:v>203.80935796696156</c:v>
                </c:pt>
                <c:pt idx="3">
                  <c:v>202.61257988833219</c:v>
                </c:pt>
                <c:pt idx="4">
                  <c:v>394.48180208639752</c:v>
                </c:pt>
                <c:pt idx="5">
                  <c:v>40.495416118041561</c:v>
                </c:pt>
                <c:pt idx="6">
                  <c:v>16.559854545454531</c:v>
                </c:pt>
              </c:numCache>
            </c:numRef>
          </c:val>
        </c:ser>
        <c:dLbls/>
        <c:axId val="171249664"/>
        <c:axId val="171251200"/>
      </c:barChart>
      <c:catAx>
        <c:axId val="171249664"/>
        <c:scaling>
          <c:orientation val="minMax"/>
        </c:scaling>
        <c:axPos val="l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251200"/>
        <c:crosses val="autoZero"/>
        <c:auto val="1"/>
        <c:lblAlgn val="ctr"/>
        <c:lblOffset val="100"/>
      </c:catAx>
      <c:valAx>
        <c:axId val="171251200"/>
        <c:scaling>
          <c:orientation val="minMax"/>
        </c:scaling>
        <c:axPos val="b"/>
        <c:majorGridlines/>
        <c:numFmt formatCode="0_ " sourceLinked="0"/>
        <c:tickLblPos val="nextTo"/>
        <c:crossAx val="17124966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50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'Key Output'!$D$5:$D$6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8989E-17"/>
                  <c:y val="-9.456264775413727E-3"/>
                </c:manualLayout>
              </c:layout>
              <c:showVal val="1"/>
            </c:dLbl>
            <c:dLbl>
              <c:idx val="5"/>
              <c:layout>
                <c:manualLayout>
                  <c:x val="-9.7618489457644408E-3"/>
                  <c:y val="7.0756183522219188E-3"/>
                </c:manualLayout>
              </c:layout>
              <c:showVal val="1"/>
            </c:dLbl>
            <c:dLbl>
              <c:idx val="6"/>
              <c:layout>
                <c:manualLayout>
                  <c:x val="9.0806293696650477E-4"/>
                  <c:y val="6.3040200409434938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'Key Output'!$E$7:$E$15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'Key Output'!$F$7:$F$15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0.16744190860788963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'Key Output'!$C$7:$C$15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'Key Output'!$D$7:$D$15</c:f>
              <c:numCache>
                <c:formatCode>0.0</c:formatCode>
                <c:ptCount val="9"/>
                <c:pt idx="0">
                  <c:v>3.2246591708348991</c:v>
                </c:pt>
                <c:pt idx="1">
                  <c:v>2.9081417007684132</c:v>
                </c:pt>
                <c:pt idx="3">
                  <c:v>3.1912734652460677</c:v>
                </c:pt>
                <c:pt idx="4">
                  <c:v>3.159802115762921</c:v>
                </c:pt>
                <c:pt idx="5">
                  <c:v>3.1813962635499022</c:v>
                </c:pt>
                <c:pt idx="6">
                  <c:v>3.1338313891309624</c:v>
                </c:pt>
                <c:pt idx="7">
                  <c:v>3.1716781492886774</c:v>
                </c:pt>
                <c:pt idx="8">
                  <c:v>4.8861088829297961</c:v>
                </c:pt>
              </c:numCache>
            </c:numRef>
          </c:val>
        </c:ser>
        <c:dLbls/>
        <c:axId val="112821760"/>
        <c:axId val="112823296"/>
      </c:barChart>
      <c:catAx>
        <c:axId val="1128217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2823296"/>
        <c:crosses val="autoZero"/>
        <c:auto val="1"/>
        <c:lblAlgn val="ctr"/>
        <c:lblOffset val="100"/>
      </c:catAx>
      <c:valAx>
        <c:axId val="112823296"/>
        <c:scaling>
          <c:orientation val="minMax"/>
        </c:scaling>
        <c:axPos val="l"/>
        <c:majorGridlines/>
        <c:numFmt formatCode="0.0_ " sourceLinked="0"/>
        <c:tickLblPos val="nextTo"/>
        <c:crossAx val="112821760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'Key Output'!$G$5:$G$6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65E-2"/>
                </c:manualLayout>
              </c:layout>
              <c:showVal val="1"/>
            </c:dLbl>
            <c:dLbl>
              <c:idx val="3"/>
              <c:layout>
                <c:manualLayout>
                  <c:x val="-7.6150025127794047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'Key Output'!$H$7:$H$15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58.45503115903734</c:v>
                  </c:pt>
                </c:numCache>
              </c:numRef>
            </c:plus>
            <c:minus>
              <c:numRef>
                <c:f>'Key Output'!$I$7:$I$15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58.455031159037333</c:v>
                  </c:pt>
                </c:numCache>
              </c:numRef>
            </c:minus>
          </c:errBars>
          <c:cat>
            <c:strRef>
              <c:f>'Key Output'!$C$7:$C$15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'Key Output'!$G$7:$G$15</c:f>
              <c:numCache>
                <c:formatCode>0.0</c:formatCode>
                <c:ptCount val="9"/>
                <c:pt idx="0">
                  <c:v>235.62100914587327</c:v>
                </c:pt>
                <c:pt idx="1">
                  <c:v>212.40482859058892</c:v>
                </c:pt>
                <c:pt idx="3">
                  <c:v>227.69800000000001</c:v>
                </c:pt>
                <c:pt idx="4">
                  <c:v>205.20844234425346</c:v>
                </c:pt>
                <c:pt idx="5">
                  <c:v>191.11390199824376</c:v>
                </c:pt>
                <c:pt idx="6">
                  <c:v>195.55523695489578</c:v>
                </c:pt>
                <c:pt idx="7">
                  <c:v>198.04654989186992</c:v>
                </c:pt>
                <c:pt idx="8">
                  <c:v>331.24517656787822</c:v>
                </c:pt>
              </c:numCache>
            </c:numRef>
          </c:val>
        </c:ser>
        <c:dLbls/>
        <c:axId val="160709632"/>
        <c:axId val="160715520"/>
      </c:barChart>
      <c:catAx>
        <c:axId val="1607096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0715520"/>
        <c:crosses val="autoZero"/>
        <c:auto val="1"/>
        <c:lblAlgn val="ctr"/>
        <c:lblOffset val="100"/>
      </c:catAx>
      <c:valAx>
        <c:axId val="160715520"/>
        <c:scaling>
          <c:orientation val="minMax"/>
        </c:scaling>
        <c:axPos val="l"/>
        <c:majorGridlines/>
        <c:numFmt formatCode="0_ " sourceLinked="0"/>
        <c:tickLblPos val="nextTo"/>
        <c:crossAx val="16070963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WTW GHG of Truck ( g CO2,e/MJ)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'LNG商用车结果 '!$B$2:$B$3</c:f>
              <c:strCache>
                <c:ptCount val="1"/>
                <c:pt idx="0">
                  <c:v>WTW GHG g CO2,e/MJ</c:v>
                </c:pt>
              </c:strCache>
            </c:strRef>
          </c:tx>
          <c:cat>
            <c:strRef>
              <c:f>'LNG商用车结果 '!$A$4:$A$7</c:f>
              <c:strCache>
                <c:ptCount val="4"/>
                <c:pt idx="0">
                  <c:v>LNG车(海外进口)</c:v>
                </c:pt>
                <c:pt idx="1">
                  <c:v>LNG车(井口液化)</c:v>
                </c:pt>
                <c:pt idx="2">
                  <c:v>LNG车(管道气液化)</c:v>
                </c:pt>
                <c:pt idx="3">
                  <c:v>柴油车</c:v>
                </c:pt>
              </c:strCache>
            </c:strRef>
          </c:cat>
          <c:val>
            <c:numRef>
              <c:f>'LNG商用车结果 '!$B$4:$B$7</c:f>
              <c:numCache>
                <c:formatCode>0.00</c:formatCode>
                <c:ptCount val="4"/>
                <c:pt idx="0">
                  <c:v>79.331102844888193</c:v>
                </c:pt>
                <c:pt idx="1">
                  <c:v>80.535179732183479</c:v>
                </c:pt>
                <c:pt idx="2">
                  <c:v>79.574175655440698</c:v>
                </c:pt>
                <c:pt idx="3">
                  <c:v>92.349417616977121</c:v>
                </c:pt>
              </c:numCache>
            </c:numRef>
          </c:val>
        </c:ser>
        <c:dLbls/>
        <c:axId val="160734592"/>
        <c:axId val="160806016"/>
      </c:barChart>
      <c:catAx>
        <c:axId val="160734592"/>
        <c:scaling>
          <c:orientation val="minMax"/>
        </c:scaling>
        <c:axPos val="b"/>
        <c:tickLblPos val="nextTo"/>
        <c:crossAx val="160806016"/>
        <c:crosses val="autoZero"/>
        <c:auto val="1"/>
        <c:lblAlgn val="ctr"/>
        <c:lblOffset val="100"/>
      </c:catAx>
      <c:valAx>
        <c:axId val="160806016"/>
        <c:scaling>
          <c:orientation val="minMax"/>
          <c:min val="0"/>
        </c:scaling>
        <c:axPos val="l"/>
        <c:majorGridlines/>
        <c:numFmt formatCode="#,##0;[Red]\-#,##0" sourceLinked="0"/>
        <c:tickLblPos val="nextTo"/>
        <c:crossAx val="16073459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船用</a:t>
            </a:r>
            <a:r>
              <a:rPr lang="en-US" altLang="zh-CN" sz="1600"/>
              <a:t>LNG</a:t>
            </a:r>
            <a:r>
              <a:rPr lang="zh-CN" altLang="en-US" sz="1600"/>
              <a:t>相对船用柴油相对减碳比例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LNG船用结果!$E$2:$E$3</c:f>
              <c:strCache>
                <c:ptCount val="1"/>
                <c:pt idx="0">
                  <c:v>减碳比例</c:v>
                </c:pt>
              </c:strCache>
            </c:strRef>
          </c:tx>
          <c:cat>
            <c:strRef>
              <c:f>LNG船用结果!$A$4:$A$6</c:f>
              <c:strCache>
                <c:ptCount val="3"/>
                <c:pt idx="0">
                  <c:v>LNG船（海外进口）</c:v>
                </c:pt>
                <c:pt idx="1">
                  <c:v>LNG船（进口液化）</c:v>
                </c:pt>
                <c:pt idx="2">
                  <c:v>LNG船（管道气液化）</c:v>
                </c:pt>
              </c:strCache>
            </c:strRef>
          </c:cat>
          <c:val>
            <c:numRef>
              <c:f>LNG船用结果!$E$4:$E$6</c:f>
              <c:numCache>
                <c:formatCode>0.0%</c:formatCode>
                <c:ptCount val="3"/>
                <c:pt idx="0">
                  <c:v>5.5064824649909583E-2</c:v>
                </c:pt>
                <c:pt idx="1">
                  <c:v>4.0722724718990855E-2</c:v>
                </c:pt>
                <c:pt idx="2">
                  <c:v>5.2169515740472461E-2</c:v>
                </c:pt>
              </c:numCache>
            </c:numRef>
          </c:val>
        </c:ser>
        <c:dLbls/>
        <c:axId val="161080448"/>
        <c:axId val="161081984"/>
      </c:barChart>
      <c:catAx>
        <c:axId val="161080448"/>
        <c:scaling>
          <c:orientation val="minMax"/>
        </c:scaling>
        <c:axPos val="b"/>
        <c:tickLblPos val="nextTo"/>
        <c:crossAx val="161081984"/>
        <c:crosses val="autoZero"/>
        <c:auto val="1"/>
        <c:lblAlgn val="ctr"/>
        <c:lblOffset val="100"/>
      </c:catAx>
      <c:valAx>
        <c:axId val="161081984"/>
        <c:scaling>
          <c:orientation val="minMax"/>
        </c:scaling>
        <c:axPos val="l"/>
        <c:majorGridlines/>
        <c:numFmt formatCode="0.0%" sourceLinked="1"/>
        <c:tickLblPos val="nextTo"/>
        <c:crossAx val="16108044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'NG-based'!$C$1:$C$2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8989E-17"/>
                  <c:y val="-9.456264775413727E-3"/>
                </c:manualLayout>
              </c:layout>
              <c:showVal val="1"/>
            </c:dLbl>
            <c:dLbl>
              <c:idx val="5"/>
              <c:layout>
                <c:manualLayout>
                  <c:x val="-1.8518518518518542E-2"/>
                  <c:y val="-2.3465435614874412E-2"/>
                </c:manualLayout>
              </c:layout>
              <c:showVal val="1"/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'NG-based'!$D$3:$D$11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'NG-based'!$E$3:$E$11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0.16744190860788963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'NG-based'!$A$3:$A$11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'NG-based'!$C$3:$C$11</c:f>
              <c:numCache>
                <c:formatCode>0.00_ </c:formatCode>
                <c:ptCount val="9"/>
                <c:pt idx="0">
                  <c:v>3.2246591708348991</c:v>
                </c:pt>
                <c:pt idx="1">
                  <c:v>2.9081417007684132</c:v>
                </c:pt>
                <c:pt idx="3">
                  <c:v>3.1912734652460677</c:v>
                </c:pt>
                <c:pt idx="4">
                  <c:v>3.159802115762921</c:v>
                </c:pt>
                <c:pt idx="5">
                  <c:v>3.1813962635499022</c:v>
                </c:pt>
                <c:pt idx="6">
                  <c:v>3.1338313891309624</c:v>
                </c:pt>
                <c:pt idx="7">
                  <c:v>3.1716781492886774</c:v>
                </c:pt>
                <c:pt idx="8">
                  <c:v>4.8861088829297961</c:v>
                </c:pt>
              </c:numCache>
            </c:numRef>
          </c:val>
        </c:ser>
        <c:dLbls/>
        <c:axId val="161128832"/>
        <c:axId val="161130368"/>
      </c:barChart>
      <c:catAx>
        <c:axId val="1611288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130368"/>
        <c:crosses val="autoZero"/>
        <c:auto val="1"/>
        <c:lblAlgn val="ctr"/>
        <c:lblOffset val="100"/>
      </c:catAx>
      <c:valAx>
        <c:axId val="161130368"/>
        <c:scaling>
          <c:orientation val="minMax"/>
        </c:scaling>
        <c:axPos val="l"/>
        <c:majorGridlines/>
        <c:numFmt formatCode="0.0_ " sourceLinked="0"/>
        <c:tickLblPos val="nextTo"/>
        <c:crossAx val="16112883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'NG-based'!$F$1:$F$2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65E-2"/>
                </c:manualLayout>
              </c:layout>
              <c:showVal val="1"/>
            </c:dLbl>
            <c:dLbl>
              <c:idx val="3"/>
              <c:layout>
                <c:manualLayout>
                  <c:x val="-7.6150025127794047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'NG-based'!$G$3:$G$11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58.45503115903734</c:v>
                  </c:pt>
                </c:numCache>
              </c:numRef>
            </c:plus>
            <c:minus>
              <c:numRef>
                <c:f>'NG-based'!$H$3:$H$11</c:f>
                <c:numCache>
                  <c:formatCode>General</c:formatCode>
                  <c:ptCount val="9"/>
                  <c:pt idx="0">
                    <c:v>12.401105744519647</c:v>
                  </c:pt>
                  <c:pt idx="1">
                    <c:v>11.179201504767839</c:v>
                  </c:pt>
                  <c:pt idx="3">
                    <c:v>11.984105263157897</c:v>
                  </c:pt>
                  <c:pt idx="4">
                    <c:v>22.800938038250386</c:v>
                  </c:pt>
                  <c:pt idx="5">
                    <c:v>10.058626420960199</c:v>
                  </c:pt>
                  <c:pt idx="6">
                    <c:v>10.292380892362937</c:v>
                  </c:pt>
                  <c:pt idx="7">
                    <c:v>10.423502625887892</c:v>
                  </c:pt>
                  <c:pt idx="8">
                    <c:v>58.455031159037333</c:v>
                  </c:pt>
                </c:numCache>
              </c:numRef>
            </c:minus>
          </c:errBars>
          <c:cat>
            <c:strRef>
              <c:f>'NG-based'!$A$3:$A$11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'NG-based'!$F$3:$F$11</c:f>
              <c:numCache>
                <c:formatCode>0.00_ </c:formatCode>
                <c:ptCount val="9"/>
                <c:pt idx="0">
                  <c:v>235.62100914587327</c:v>
                </c:pt>
                <c:pt idx="1">
                  <c:v>212.40482859058892</c:v>
                </c:pt>
                <c:pt idx="3">
                  <c:v>227.69800000000001</c:v>
                </c:pt>
                <c:pt idx="4">
                  <c:v>205.20844234425346</c:v>
                </c:pt>
                <c:pt idx="5">
                  <c:v>191.11390199824376</c:v>
                </c:pt>
                <c:pt idx="6">
                  <c:v>195.55523695489578</c:v>
                </c:pt>
                <c:pt idx="7">
                  <c:v>198.04654989186992</c:v>
                </c:pt>
                <c:pt idx="8">
                  <c:v>331.24517656787822</c:v>
                </c:pt>
              </c:numCache>
            </c:numRef>
          </c:val>
        </c:ser>
        <c:dLbls/>
        <c:axId val="160966528"/>
        <c:axId val="160968064"/>
      </c:barChart>
      <c:catAx>
        <c:axId val="1609665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0968064"/>
        <c:crosses val="autoZero"/>
        <c:auto val="1"/>
        <c:lblAlgn val="ctr"/>
        <c:lblOffset val="100"/>
      </c:catAx>
      <c:valAx>
        <c:axId val="160968064"/>
        <c:scaling>
          <c:orientation val="minMax"/>
        </c:scaling>
        <c:axPos val="l"/>
        <c:majorGridlines/>
        <c:numFmt formatCode="0_ " sourceLinked="0"/>
        <c:tickLblPos val="nextTo"/>
        <c:crossAx val="1609665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'NG-based'!$C$1:$C$2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8989E-17"/>
                  <c:y val="-9.456264775413727E-3"/>
                </c:manualLayout>
              </c:layout>
              <c:showVal val="1"/>
            </c:dLbl>
            <c:dLbl>
              <c:idx val="5"/>
              <c:layout>
                <c:manualLayout>
                  <c:x val="-1.8518518518518542E-2"/>
                  <c:y val="-2.3465435614874412E-2"/>
                </c:manualLayout>
              </c:layout>
              <c:showVal val="1"/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'NG-based'!$D$3:$D$11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'NG-based'!$E$3:$E$11</c:f>
                <c:numCache>
                  <c:formatCode>General</c:formatCode>
                  <c:ptCount val="9"/>
                  <c:pt idx="0">
                    <c:v>0.1697189037281526</c:v>
                  </c:pt>
                  <c:pt idx="1">
                    <c:v>0.15306008951412703</c:v>
                  </c:pt>
                  <c:pt idx="3">
                    <c:v>0.16796176132874041</c:v>
                  </c:pt>
                  <c:pt idx="4">
                    <c:v>0.35108912397365794</c:v>
                  </c:pt>
                  <c:pt idx="5">
                    <c:v>0.16744190860788963</c:v>
                  </c:pt>
                  <c:pt idx="6">
                    <c:v>0.16493849416478751</c:v>
                  </c:pt>
                  <c:pt idx="7">
                    <c:v>0.1669304289099304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('NG-based'!$B$3:$B$5,'NG-based'!$B$7:$B$11)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('NG-based'!$C$3:$C$5,'NG-based'!$C$7:$C$11)</c:f>
              <c:numCache>
                <c:formatCode>0.00_ </c:formatCode>
                <c:ptCount val="8"/>
                <c:pt idx="0">
                  <c:v>3.2246591708348991</c:v>
                </c:pt>
                <c:pt idx="1">
                  <c:v>2.9081417007684132</c:v>
                </c:pt>
                <c:pt idx="3">
                  <c:v>3.159802115762921</c:v>
                </c:pt>
                <c:pt idx="4">
                  <c:v>3.1813962635499022</c:v>
                </c:pt>
                <c:pt idx="5">
                  <c:v>3.1338313891309624</c:v>
                </c:pt>
                <c:pt idx="6">
                  <c:v>3.1716781492886774</c:v>
                </c:pt>
                <c:pt idx="7">
                  <c:v>4.8861088829297961</c:v>
                </c:pt>
              </c:numCache>
            </c:numRef>
          </c:val>
        </c:ser>
        <c:dLbls/>
        <c:axId val="161004928"/>
        <c:axId val="161014912"/>
      </c:barChart>
      <c:catAx>
        <c:axId val="1610049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1014912"/>
        <c:crosses val="autoZero"/>
        <c:auto val="1"/>
        <c:lblAlgn val="ctr"/>
        <c:lblOffset val="100"/>
      </c:catAx>
      <c:valAx>
        <c:axId val="161014912"/>
        <c:scaling>
          <c:orientation val="minMax"/>
        </c:scaling>
        <c:axPos val="l"/>
        <c:majorGridlines/>
        <c:numFmt formatCode="0.0_ " sourceLinked="0"/>
        <c:tickLblPos val="nextTo"/>
        <c:crossAx val="1610049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35</xdr:row>
      <xdr:rowOff>22861</xdr:rowOff>
    </xdr:from>
    <xdr:to>
      <xdr:col>21</xdr:col>
      <xdr:colOff>220980</xdr:colOff>
      <xdr:row>55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204469</xdr:colOff>
      <xdr:row>59</xdr:row>
      <xdr:rowOff>22861</xdr:rowOff>
    </xdr:from>
    <xdr:to>
      <xdr:col>21</xdr:col>
      <xdr:colOff>276860</xdr:colOff>
      <xdr:row>82</xdr:row>
      <xdr:rowOff>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0</xdr:row>
      <xdr:rowOff>175259</xdr:rowOff>
    </xdr:from>
    <xdr:to>
      <xdr:col>17</xdr:col>
      <xdr:colOff>312420</xdr:colOff>
      <xdr:row>16</xdr:row>
      <xdr:rowOff>160020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243841</xdr:colOff>
      <xdr:row>17</xdr:row>
      <xdr:rowOff>137160</xdr:rowOff>
    </xdr:from>
    <xdr:to>
      <xdr:col>17</xdr:col>
      <xdr:colOff>586741</xdr:colOff>
      <xdr:row>32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104775</xdr:rowOff>
    </xdr:from>
    <xdr:to>
      <xdr:col>16</xdr:col>
      <xdr:colOff>371475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26</xdr:row>
      <xdr:rowOff>28575</xdr:rowOff>
    </xdr:from>
    <xdr:to>
      <xdr:col>16</xdr:col>
      <xdr:colOff>228600</xdr:colOff>
      <xdr:row>45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409573</xdr:colOff>
      <xdr:row>2</xdr:row>
      <xdr:rowOff>47623</xdr:rowOff>
    </xdr:from>
    <xdr:to>
      <xdr:col>17</xdr:col>
      <xdr:colOff>428624</xdr:colOff>
      <xdr:row>29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30</xdr:row>
      <xdr:rowOff>85725</xdr:rowOff>
    </xdr:from>
    <xdr:to>
      <xdr:col>17</xdr:col>
      <xdr:colOff>457201</xdr:colOff>
      <xdr:row>55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17</xdr:col>
      <xdr:colOff>219075</xdr:colOff>
      <xdr:row>19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666749</xdr:colOff>
      <xdr:row>20</xdr:row>
      <xdr:rowOff>47625</xdr:rowOff>
    </xdr:from>
    <xdr:to>
      <xdr:col>17</xdr:col>
      <xdr:colOff>161924</xdr:colOff>
      <xdr:row>38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9</xdr:row>
      <xdr:rowOff>53340</xdr:rowOff>
    </xdr:from>
    <xdr:to>
      <xdr:col>8</xdr:col>
      <xdr:colOff>594360</xdr:colOff>
      <xdr:row>28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22860</xdr:rowOff>
    </xdr:from>
    <xdr:to>
      <xdr:col>11</xdr:col>
      <xdr:colOff>320040</xdr:colOff>
      <xdr:row>23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135255</xdr:colOff>
      <xdr:row>0</xdr:row>
      <xdr:rowOff>0</xdr:rowOff>
    </xdr:from>
    <xdr:to>
      <xdr:col>28</xdr:col>
      <xdr:colOff>135255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150494</xdr:colOff>
      <xdr:row>29</xdr:row>
      <xdr:rowOff>114298</xdr:rowOff>
    </xdr:from>
    <xdr:to>
      <xdr:col>28</xdr:col>
      <xdr:colOff>123825</xdr:colOff>
      <xdr:row>48</xdr:row>
      <xdr:rowOff>171449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0</xdr:row>
      <xdr:rowOff>0</xdr:rowOff>
    </xdr:from>
    <xdr:to>
      <xdr:col>18</xdr:col>
      <xdr:colOff>285750</xdr:colOff>
      <xdr:row>25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30</xdr:row>
      <xdr:rowOff>95250</xdr:rowOff>
    </xdr:from>
    <xdr:to>
      <xdr:col>18</xdr:col>
      <xdr:colOff>382906</xdr:colOff>
      <xdr:row>49</xdr:row>
      <xdr:rowOff>152401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114300</xdr:rowOff>
    </xdr:from>
    <xdr:to>
      <xdr:col>19</xdr:col>
      <xdr:colOff>133350</xdr:colOff>
      <xdr:row>33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37</xdr:row>
      <xdr:rowOff>9525</xdr:rowOff>
    </xdr:from>
    <xdr:to>
      <xdr:col>19</xdr:col>
      <xdr:colOff>542924</xdr:colOff>
      <xdr:row>67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76199</xdr:rowOff>
    </xdr:from>
    <xdr:to>
      <xdr:col>19</xdr:col>
      <xdr:colOff>590550</xdr:colOff>
      <xdr:row>27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31</xdr:row>
      <xdr:rowOff>104774</xdr:rowOff>
    </xdr:from>
    <xdr:to>
      <xdr:col>19</xdr:col>
      <xdr:colOff>666749</xdr:colOff>
      <xdr:row>65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104775</xdr:rowOff>
    </xdr:from>
    <xdr:to>
      <xdr:col>19</xdr:col>
      <xdr:colOff>590550</xdr:colOff>
      <xdr:row>22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24</xdr:row>
      <xdr:rowOff>0</xdr:rowOff>
    </xdr:from>
    <xdr:to>
      <xdr:col>19</xdr:col>
      <xdr:colOff>581025</xdr:colOff>
      <xdr:row>46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331470</xdr:colOff>
      <xdr:row>1</xdr:row>
      <xdr:rowOff>51436</xdr:rowOff>
    </xdr:from>
    <xdr:to>
      <xdr:col>58</xdr:col>
      <xdr:colOff>457200</xdr:colOff>
      <xdr:row>42</xdr:row>
      <xdr:rowOff>22861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171449</xdr:colOff>
      <xdr:row>47</xdr:row>
      <xdr:rowOff>47625</xdr:rowOff>
    </xdr:from>
    <xdr:to>
      <xdr:col>55</xdr:col>
      <xdr:colOff>38100</xdr:colOff>
      <xdr:row>89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66675</xdr:colOff>
      <xdr:row>91</xdr:row>
      <xdr:rowOff>133350</xdr:rowOff>
    </xdr:from>
    <xdr:to>
      <xdr:col>55</xdr:col>
      <xdr:colOff>47625</xdr:colOff>
      <xdr:row>122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128</xdr:row>
      <xdr:rowOff>38100</xdr:rowOff>
    </xdr:from>
    <xdr:to>
      <xdr:col>55</xdr:col>
      <xdr:colOff>228600</xdr:colOff>
      <xdr:row>165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57151</xdr:rowOff>
    </xdr:from>
    <xdr:to>
      <xdr:col>18</xdr:col>
      <xdr:colOff>9525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21</xdr:row>
      <xdr:rowOff>57149</xdr:rowOff>
    </xdr:from>
    <xdr:to>
      <xdr:col>17</xdr:col>
      <xdr:colOff>647699</xdr:colOff>
      <xdr:row>42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%20TLCAM%20LNG%20-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Key Input"/>
      <sheetName val="Key Output"/>
      <sheetName val="NG-based"/>
      <sheetName val="Coal"/>
      <sheetName val="CtL"/>
      <sheetName val="CtL(CCS)"/>
      <sheetName val="Oil-based"/>
      <sheetName val="GridE"/>
      <sheetName val="LC for SE"/>
      <sheetName val="LC factor"/>
      <sheetName val="T&amp;D"/>
      <sheetName val="空白"/>
      <sheetName val="CtE(CCS)"/>
      <sheetName val="SNG(CCS)"/>
      <sheetName val="WTPs"/>
      <sheetName val="Vehicle"/>
      <sheetName val="WTW-micro EV"/>
      <sheetName val="WTW-small EV"/>
      <sheetName val="WTW -small-ctl n SNG v"/>
      <sheetName val="CO2 t&amp;s"/>
      <sheetName val="Water"/>
      <sheetName val="PV"/>
      <sheetName val="PV data"/>
    </sheetNames>
    <sheetDataSet>
      <sheetData sheetId="0"/>
      <sheetData sheetId="1"/>
      <sheetData sheetId="2"/>
      <sheetData sheetId="3">
        <row r="17">
          <cell r="U17">
            <v>0.8381604149891928</v>
          </cell>
          <cell r="AE17">
            <v>0.79331102844888191</v>
          </cell>
          <cell r="AM17">
            <v>0.80535179732183482</v>
          </cell>
          <cell r="AW17">
            <v>0.79574175655440693</v>
          </cell>
          <cell r="BG17">
            <v>0.46811742883249841</v>
          </cell>
        </row>
        <row r="21">
          <cell r="T21">
            <v>57.7</v>
          </cell>
          <cell r="U21">
            <v>73.187267358105998</v>
          </cell>
          <cell r="AD21">
            <v>57.7</v>
          </cell>
          <cell r="AE21">
            <v>75.723559625520551</v>
          </cell>
          <cell r="AL21">
            <v>57.7</v>
          </cell>
          <cell r="AM21">
            <v>77.483314875612393</v>
          </cell>
          <cell r="AV21">
            <v>57.7</v>
          </cell>
          <cell r="AW21">
            <v>78.470428224020324</v>
          </cell>
          <cell r="BF21">
            <v>76.3</v>
          </cell>
          <cell r="BG21">
            <v>146.82102314175916</v>
          </cell>
        </row>
      </sheetData>
      <sheetData sheetId="4"/>
      <sheetData sheetId="5">
        <row r="8">
          <cell r="R8">
            <v>37.214019539127378</v>
          </cell>
        </row>
        <row r="18">
          <cell r="M18">
            <v>181.23750224432456</v>
          </cell>
        </row>
      </sheetData>
      <sheetData sheetId="6">
        <row r="18">
          <cell r="R18">
            <v>37.741067017004362</v>
          </cell>
        </row>
        <row r="28">
          <cell r="P28">
            <v>158.67691826831248</v>
          </cell>
        </row>
      </sheetData>
      <sheetData sheetId="7">
        <row r="13">
          <cell r="J13">
            <v>72.685621333333316</v>
          </cell>
          <cell r="K13">
            <v>92.349417616977121</v>
          </cell>
          <cell r="R13">
            <v>69.754592000000002</v>
          </cell>
          <cell r="S13">
            <v>90.203641740013225</v>
          </cell>
        </row>
      </sheetData>
      <sheetData sheetId="8">
        <row r="5">
          <cell r="C5">
            <v>3.1857650396580128</v>
          </cell>
          <cell r="D5">
            <v>2.6270875031610403</v>
          </cell>
          <cell r="E5">
            <v>4.0992458449868261</v>
          </cell>
          <cell r="F5">
            <v>6.3E-2</v>
          </cell>
          <cell r="G5">
            <v>7.5999999999999998E-2</v>
          </cell>
          <cell r="H5">
            <v>0</v>
          </cell>
        </row>
        <row r="9">
          <cell r="C9">
            <v>289.55804511207612</v>
          </cell>
          <cell r="D9">
            <v>156.45396759602423</v>
          </cell>
          <cell r="E9">
            <v>310.65512750318049</v>
          </cell>
          <cell r="F9">
            <v>6.5</v>
          </cell>
          <cell r="G9">
            <v>5.8</v>
          </cell>
          <cell r="H9">
            <v>5</v>
          </cell>
        </row>
      </sheetData>
      <sheetData sheetId="9"/>
      <sheetData sheetId="10">
        <row r="9">
          <cell r="Q9">
            <v>78.650662953196715</v>
          </cell>
        </row>
        <row r="10">
          <cell r="Q10">
            <v>78.023749695958728</v>
          </cell>
        </row>
        <row r="12">
          <cell r="O12">
            <v>225.43975888354808</v>
          </cell>
          <cell r="P12">
            <v>2.5482607802512782</v>
          </cell>
        </row>
      </sheetData>
      <sheetData sheetId="11"/>
      <sheetData sheetId="12"/>
      <sheetData sheetId="13">
        <row r="22">
          <cell r="M22">
            <v>94.107203795770047</v>
          </cell>
          <cell r="P22">
            <v>28.031052739412171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hypertextbook.com/facts/2003/ArthurGolnik.s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enku.baidu.com/view/75a1357e168884868762d6b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5"/>
  <sheetViews>
    <sheetView workbookViewId="0">
      <selection activeCell="F28" sqref="F28"/>
    </sheetView>
  </sheetViews>
  <sheetFormatPr defaultRowHeight="13.5"/>
  <cols>
    <col min="1" max="1" width="10.5" style="3" bestFit="1" customWidth="1"/>
    <col min="2" max="256" width="8.875" style="3"/>
    <col min="257" max="257" width="10.5" style="3" bestFit="1" customWidth="1"/>
    <col min="258" max="512" width="8.875" style="3"/>
    <col min="513" max="513" width="10.5" style="3" bestFit="1" customWidth="1"/>
    <col min="514" max="768" width="8.875" style="3"/>
    <col min="769" max="769" width="10.5" style="3" bestFit="1" customWidth="1"/>
    <col min="770" max="1024" width="8.875" style="3"/>
    <col min="1025" max="1025" width="10.5" style="3" bestFit="1" customWidth="1"/>
    <col min="1026" max="1280" width="8.875" style="3"/>
    <col min="1281" max="1281" width="10.5" style="3" bestFit="1" customWidth="1"/>
    <col min="1282" max="1536" width="8.875" style="3"/>
    <col min="1537" max="1537" width="10.5" style="3" bestFit="1" customWidth="1"/>
    <col min="1538" max="1792" width="8.875" style="3"/>
    <col min="1793" max="1793" width="10.5" style="3" bestFit="1" customWidth="1"/>
    <col min="1794" max="2048" width="8.875" style="3"/>
    <col min="2049" max="2049" width="10.5" style="3" bestFit="1" customWidth="1"/>
    <col min="2050" max="2304" width="8.875" style="3"/>
    <col min="2305" max="2305" width="10.5" style="3" bestFit="1" customWidth="1"/>
    <col min="2306" max="2560" width="8.875" style="3"/>
    <col min="2561" max="2561" width="10.5" style="3" bestFit="1" customWidth="1"/>
    <col min="2562" max="2816" width="8.875" style="3"/>
    <col min="2817" max="2817" width="10.5" style="3" bestFit="1" customWidth="1"/>
    <col min="2818" max="3072" width="8.875" style="3"/>
    <col min="3073" max="3073" width="10.5" style="3" bestFit="1" customWidth="1"/>
    <col min="3074" max="3328" width="8.875" style="3"/>
    <col min="3329" max="3329" width="10.5" style="3" bestFit="1" customWidth="1"/>
    <col min="3330" max="3584" width="8.875" style="3"/>
    <col min="3585" max="3585" width="10.5" style="3" bestFit="1" customWidth="1"/>
    <col min="3586" max="3840" width="8.875" style="3"/>
    <col min="3841" max="3841" width="10.5" style="3" bestFit="1" customWidth="1"/>
    <col min="3842" max="4096" width="8.875" style="3"/>
    <col min="4097" max="4097" width="10.5" style="3" bestFit="1" customWidth="1"/>
    <col min="4098" max="4352" width="8.875" style="3"/>
    <col min="4353" max="4353" width="10.5" style="3" bestFit="1" customWidth="1"/>
    <col min="4354" max="4608" width="8.875" style="3"/>
    <col min="4609" max="4609" width="10.5" style="3" bestFit="1" customWidth="1"/>
    <col min="4610" max="4864" width="8.875" style="3"/>
    <col min="4865" max="4865" width="10.5" style="3" bestFit="1" customWidth="1"/>
    <col min="4866" max="5120" width="8.875" style="3"/>
    <col min="5121" max="5121" width="10.5" style="3" bestFit="1" customWidth="1"/>
    <col min="5122" max="5376" width="8.875" style="3"/>
    <col min="5377" max="5377" width="10.5" style="3" bestFit="1" customWidth="1"/>
    <col min="5378" max="5632" width="8.875" style="3"/>
    <col min="5633" max="5633" width="10.5" style="3" bestFit="1" customWidth="1"/>
    <col min="5634" max="5888" width="8.875" style="3"/>
    <col min="5889" max="5889" width="10.5" style="3" bestFit="1" customWidth="1"/>
    <col min="5890" max="6144" width="8.875" style="3"/>
    <col min="6145" max="6145" width="10.5" style="3" bestFit="1" customWidth="1"/>
    <col min="6146" max="6400" width="8.875" style="3"/>
    <col min="6401" max="6401" width="10.5" style="3" bestFit="1" customWidth="1"/>
    <col min="6402" max="6656" width="8.875" style="3"/>
    <col min="6657" max="6657" width="10.5" style="3" bestFit="1" customWidth="1"/>
    <col min="6658" max="6912" width="8.875" style="3"/>
    <col min="6913" max="6913" width="10.5" style="3" bestFit="1" customWidth="1"/>
    <col min="6914" max="7168" width="8.875" style="3"/>
    <col min="7169" max="7169" width="10.5" style="3" bestFit="1" customWidth="1"/>
    <col min="7170" max="7424" width="8.875" style="3"/>
    <col min="7425" max="7425" width="10.5" style="3" bestFit="1" customWidth="1"/>
    <col min="7426" max="7680" width="8.875" style="3"/>
    <col min="7681" max="7681" width="10.5" style="3" bestFit="1" customWidth="1"/>
    <col min="7682" max="7936" width="8.875" style="3"/>
    <col min="7937" max="7937" width="10.5" style="3" bestFit="1" customWidth="1"/>
    <col min="7938" max="8192" width="8.875" style="3"/>
    <col min="8193" max="8193" width="10.5" style="3" bestFit="1" customWidth="1"/>
    <col min="8194" max="8448" width="8.875" style="3"/>
    <col min="8449" max="8449" width="10.5" style="3" bestFit="1" customWidth="1"/>
    <col min="8450" max="8704" width="8.875" style="3"/>
    <col min="8705" max="8705" width="10.5" style="3" bestFit="1" customWidth="1"/>
    <col min="8706" max="8960" width="8.875" style="3"/>
    <col min="8961" max="8961" width="10.5" style="3" bestFit="1" customWidth="1"/>
    <col min="8962" max="9216" width="8.875" style="3"/>
    <col min="9217" max="9217" width="10.5" style="3" bestFit="1" customWidth="1"/>
    <col min="9218" max="9472" width="8.875" style="3"/>
    <col min="9473" max="9473" width="10.5" style="3" bestFit="1" customWidth="1"/>
    <col min="9474" max="9728" width="8.875" style="3"/>
    <col min="9729" max="9729" width="10.5" style="3" bestFit="1" customWidth="1"/>
    <col min="9730" max="9984" width="8.875" style="3"/>
    <col min="9985" max="9985" width="10.5" style="3" bestFit="1" customWidth="1"/>
    <col min="9986" max="10240" width="8.875" style="3"/>
    <col min="10241" max="10241" width="10.5" style="3" bestFit="1" customWidth="1"/>
    <col min="10242" max="10496" width="8.875" style="3"/>
    <col min="10497" max="10497" width="10.5" style="3" bestFit="1" customWidth="1"/>
    <col min="10498" max="10752" width="8.875" style="3"/>
    <col min="10753" max="10753" width="10.5" style="3" bestFit="1" customWidth="1"/>
    <col min="10754" max="11008" width="8.875" style="3"/>
    <col min="11009" max="11009" width="10.5" style="3" bestFit="1" customWidth="1"/>
    <col min="11010" max="11264" width="8.875" style="3"/>
    <col min="11265" max="11265" width="10.5" style="3" bestFit="1" customWidth="1"/>
    <col min="11266" max="11520" width="8.875" style="3"/>
    <col min="11521" max="11521" width="10.5" style="3" bestFit="1" customWidth="1"/>
    <col min="11522" max="11776" width="8.875" style="3"/>
    <col min="11777" max="11777" width="10.5" style="3" bestFit="1" customWidth="1"/>
    <col min="11778" max="12032" width="8.875" style="3"/>
    <col min="12033" max="12033" width="10.5" style="3" bestFit="1" customWidth="1"/>
    <col min="12034" max="12288" width="8.875" style="3"/>
    <col min="12289" max="12289" width="10.5" style="3" bestFit="1" customWidth="1"/>
    <col min="12290" max="12544" width="8.875" style="3"/>
    <col min="12545" max="12545" width="10.5" style="3" bestFit="1" customWidth="1"/>
    <col min="12546" max="12800" width="8.875" style="3"/>
    <col min="12801" max="12801" width="10.5" style="3" bestFit="1" customWidth="1"/>
    <col min="12802" max="13056" width="8.875" style="3"/>
    <col min="13057" max="13057" width="10.5" style="3" bestFit="1" customWidth="1"/>
    <col min="13058" max="13312" width="8.875" style="3"/>
    <col min="13313" max="13313" width="10.5" style="3" bestFit="1" customWidth="1"/>
    <col min="13314" max="13568" width="8.875" style="3"/>
    <col min="13569" max="13569" width="10.5" style="3" bestFit="1" customWidth="1"/>
    <col min="13570" max="13824" width="8.875" style="3"/>
    <col min="13825" max="13825" width="10.5" style="3" bestFit="1" customWidth="1"/>
    <col min="13826" max="14080" width="8.875" style="3"/>
    <col min="14081" max="14081" width="10.5" style="3" bestFit="1" customWidth="1"/>
    <col min="14082" max="14336" width="8.875" style="3"/>
    <col min="14337" max="14337" width="10.5" style="3" bestFit="1" customWidth="1"/>
    <col min="14338" max="14592" width="8.875" style="3"/>
    <col min="14593" max="14593" width="10.5" style="3" bestFit="1" customWidth="1"/>
    <col min="14594" max="14848" width="8.875" style="3"/>
    <col min="14849" max="14849" width="10.5" style="3" bestFit="1" customWidth="1"/>
    <col min="14850" max="15104" width="8.875" style="3"/>
    <col min="15105" max="15105" width="10.5" style="3" bestFit="1" customWidth="1"/>
    <col min="15106" max="15360" width="8.875" style="3"/>
    <col min="15361" max="15361" width="10.5" style="3" bestFit="1" customWidth="1"/>
    <col min="15362" max="15616" width="8.875" style="3"/>
    <col min="15617" max="15617" width="10.5" style="3" bestFit="1" customWidth="1"/>
    <col min="15618" max="15872" width="8.875" style="3"/>
    <col min="15873" max="15873" width="10.5" style="3" bestFit="1" customWidth="1"/>
    <col min="15874" max="16128" width="8.875" style="3"/>
    <col min="16129" max="16129" width="10.5" style="3" bestFit="1" customWidth="1"/>
    <col min="16130" max="16384" width="8.875" style="3"/>
  </cols>
  <sheetData>
    <row r="3" spans="1:8">
      <c r="A3" s="117" t="s">
        <v>224</v>
      </c>
      <c r="B3" s="118"/>
      <c r="C3" s="118"/>
      <c r="D3" s="118"/>
      <c r="E3" s="118" t="s">
        <v>225</v>
      </c>
      <c r="F3" s="118" t="s">
        <v>226</v>
      </c>
      <c r="G3" s="118" t="s">
        <v>298</v>
      </c>
      <c r="H3" s="118"/>
    </row>
    <row r="4" spans="1:8">
      <c r="A4" s="119">
        <v>41153</v>
      </c>
      <c r="B4" s="118"/>
      <c r="C4" s="118"/>
      <c r="D4" s="118"/>
      <c r="E4" s="118"/>
      <c r="F4" s="118"/>
      <c r="G4" s="118"/>
      <c r="H4" s="118"/>
    </row>
    <row r="5" spans="1:8">
      <c r="A5" s="118" t="s">
        <v>227</v>
      </c>
      <c r="B5" s="118" t="s">
        <v>228</v>
      </c>
      <c r="C5" s="118" t="s">
        <v>229</v>
      </c>
      <c r="D5" s="118"/>
      <c r="E5" s="118"/>
      <c r="F5" s="118" t="s">
        <v>230</v>
      </c>
      <c r="G5" s="118" t="s">
        <v>231</v>
      </c>
      <c r="H5" s="118"/>
    </row>
    <row r="6" spans="1:8">
      <c r="A6" s="117" t="s">
        <v>232</v>
      </c>
      <c r="B6" s="118"/>
      <c r="C6" s="118"/>
      <c r="D6" s="118"/>
      <c r="E6" s="118"/>
      <c r="F6" s="118"/>
      <c r="G6" s="118"/>
      <c r="H6" s="118"/>
    </row>
    <row r="8" spans="1:8">
      <c r="A8" s="120" t="s">
        <v>233</v>
      </c>
      <c r="B8" s="120"/>
      <c r="C8" s="120" t="s">
        <v>234</v>
      </c>
      <c r="D8" s="116"/>
      <c r="E8" s="116"/>
      <c r="F8" s="116"/>
      <c r="G8" s="116"/>
      <c r="H8" s="116"/>
    </row>
    <row r="9" spans="1:8">
      <c r="A9" s="116" t="s">
        <v>235</v>
      </c>
      <c r="B9" s="116"/>
      <c r="C9" s="116" t="s">
        <v>236</v>
      </c>
      <c r="D9" s="116"/>
      <c r="E9" s="116"/>
      <c r="F9" s="116"/>
      <c r="G9" s="116"/>
      <c r="H9" s="116"/>
    </row>
    <row r="10" spans="1:8">
      <c r="A10" s="116" t="s">
        <v>237</v>
      </c>
      <c r="B10" s="116"/>
      <c r="C10" s="116" t="s">
        <v>238</v>
      </c>
      <c r="D10" s="116"/>
      <c r="E10" s="116"/>
      <c r="F10" s="116"/>
      <c r="G10" s="116"/>
      <c r="H10" s="116"/>
    </row>
    <row r="11" spans="1:8">
      <c r="A11" s="115" t="s">
        <v>239</v>
      </c>
      <c r="B11" s="116"/>
      <c r="C11" s="115" t="s">
        <v>251</v>
      </c>
      <c r="D11" s="116"/>
      <c r="E11" s="116"/>
      <c r="F11" s="116"/>
      <c r="G11" s="116"/>
      <c r="H11" s="116"/>
    </row>
    <row r="12" spans="1:8">
      <c r="A12" s="116" t="s">
        <v>294</v>
      </c>
      <c r="B12" s="116"/>
      <c r="C12" s="115" t="s">
        <v>296</v>
      </c>
      <c r="D12" s="116"/>
      <c r="E12" s="116"/>
      <c r="F12" s="116"/>
      <c r="G12" s="116"/>
      <c r="H12" s="116"/>
    </row>
    <row r="13" spans="1:8">
      <c r="A13" s="116" t="s">
        <v>295</v>
      </c>
      <c r="B13" s="116"/>
      <c r="C13" s="115" t="s">
        <v>297</v>
      </c>
      <c r="D13" s="116"/>
      <c r="E13" s="116"/>
      <c r="F13" s="116"/>
      <c r="G13" s="116"/>
      <c r="H13" s="116"/>
    </row>
    <row r="14" spans="1:8">
      <c r="A14" s="116" t="s">
        <v>246</v>
      </c>
      <c r="B14" s="116"/>
      <c r="C14" s="115" t="s">
        <v>252</v>
      </c>
      <c r="D14" s="116"/>
      <c r="E14" s="116"/>
      <c r="F14" s="116"/>
      <c r="G14" s="116"/>
      <c r="H14" s="116"/>
    </row>
    <row r="15" spans="1:8">
      <c r="A15" s="115" t="s">
        <v>247</v>
      </c>
      <c r="B15" s="116"/>
      <c r="C15" s="115" t="s">
        <v>253</v>
      </c>
      <c r="D15" s="116"/>
      <c r="E15" s="116"/>
      <c r="F15" s="116"/>
      <c r="G15" s="116"/>
      <c r="H15" s="116"/>
    </row>
    <row r="16" spans="1:8">
      <c r="A16" s="115" t="s">
        <v>250</v>
      </c>
      <c r="B16" s="116"/>
      <c r="C16" s="115" t="s">
        <v>254</v>
      </c>
      <c r="D16" s="116"/>
      <c r="E16" s="116"/>
      <c r="F16" s="116"/>
      <c r="G16" s="116"/>
      <c r="H16" s="116"/>
    </row>
    <row r="17" spans="1:8">
      <c r="A17" s="115" t="s">
        <v>248</v>
      </c>
      <c r="B17" s="116"/>
      <c r="C17" s="115" t="s">
        <v>255</v>
      </c>
      <c r="D17" s="116"/>
      <c r="E17" s="116"/>
      <c r="F17" s="116"/>
      <c r="G17" s="116"/>
      <c r="H17" s="116"/>
    </row>
    <row r="18" spans="1:8">
      <c r="A18" s="115" t="s">
        <v>249</v>
      </c>
      <c r="B18" s="116"/>
      <c r="C18" s="115" t="s">
        <v>256</v>
      </c>
      <c r="D18" s="116"/>
      <c r="E18" s="116"/>
      <c r="F18" s="116"/>
      <c r="G18" s="116"/>
      <c r="H18" s="116"/>
    </row>
    <row r="19" spans="1:8">
      <c r="A19" s="62"/>
      <c r="C19" s="62"/>
    </row>
    <row r="22" spans="1:8">
      <c r="A22" s="62"/>
      <c r="C22" s="62"/>
    </row>
    <row r="23" spans="1:8">
      <c r="A23" s="62"/>
      <c r="C23" s="62"/>
    </row>
    <row r="24" spans="1:8">
      <c r="C24" s="62"/>
    </row>
    <row r="25" spans="1:8">
      <c r="A25" s="62"/>
      <c r="C25" s="6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B21" sqref="B21"/>
    </sheetView>
  </sheetViews>
  <sheetFormatPr defaultColWidth="8.875" defaultRowHeight="13.5"/>
  <cols>
    <col min="1" max="1" width="28.875" style="3" customWidth="1"/>
    <col min="2" max="2" width="21.875" style="3" customWidth="1"/>
    <col min="3" max="3" width="21.625" style="3" bestFit="1" customWidth="1"/>
    <col min="4" max="5" width="8.875" style="3"/>
    <col min="6" max="6" width="16.5" style="21" customWidth="1"/>
    <col min="7" max="7" width="17.5" style="21" customWidth="1"/>
    <col min="8" max="16384" width="8.875" style="3"/>
  </cols>
  <sheetData>
    <row r="1" spans="1:10" s="9" customFormat="1" ht="54">
      <c r="A1" s="20"/>
      <c r="B1" s="20" t="s">
        <v>108</v>
      </c>
      <c r="C1" s="20" t="s">
        <v>109</v>
      </c>
      <c r="D1" s="23" t="s">
        <v>150</v>
      </c>
      <c r="E1" s="23" t="s">
        <v>151</v>
      </c>
      <c r="F1" s="22" t="s">
        <v>149</v>
      </c>
      <c r="G1" s="22" t="s">
        <v>152</v>
      </c>
      <c r="H1" s="23" t="s">
        <v>145</v>
      </c>
    </row>
    <row r="2" spans="1:10">
      <c r="A2" s="14" t="s">
        <v>92</v>
      </c>
      <c r="B2" s="15">
        <v>1</v>
      </c>
      <c r="C2" s="16">
        <f>1/B2</f>
        <v>1</v>
      </c>
      <c r="D2" s="26">
        <v>42.2</v>
      </c>
      <c r="E2" s="28">
        <v>0.74</v>
      </c>
      <c r="F2" s="24">
        <f>H2*C2/D2</f>
        <v>5.92</v>
      </c>
      <c r="G2" s="25">
        <f>8</f>
        <v>8</v>
      </c>
      <c r="H2" s="26">
        <f>G2*E2*D2</f>
        <v>249.82400000000001</v>
      </c>
    </row>
    <row r="3" spans="1:10">
      <c r="A3" s="14" t="s">
        <v>23</v>
      </c>
      <c r="B3" s="15">
        <v>0.95</v>
      </c>
      <c r="C3" s="16">
        <f t="shared" ref="C3:C25" si="0">1/B3</f>
        <v>1.0526315789473684</v>
      </c>
      <c r="D3" s="26">
        <v>43</v>
      </c>
      <c r="E3" s="28"/>
      <c r="F3" s="24">
        <f t="shared" ref="F3:F8" si="1">H3*C3/D3</f>
        <v>6.1156425948592412</v>
      </c>
      <c r="G3" s="24">
        <f>H3*C3/38.9</f>
        <v>6.7602218914896497</v>
      </c>
      <c r="H3" s="26">
        <f>H2</f>
        <v>249.82400000000001</v>
      </c>
    </row>
    <row r="4" spans="1:10">
      <c r="A4" s="14" t="s">
        <v>24</v>
      </c>
      <c r="B4" s="15">
        <f>1/C4</f>
        <v>0.99689490940099423</v>
      </c>
      <c r="C4" s="16">
        <f>'Key Input'!B5/100</f>
        <v>1.0031147622178866</v>
      </c>
      <c r="D4" s="26">
        <v>43</v>
      </c>
      <c r="E4" s="28"/>
      <c r="F4" s="24">
        <f t="shared" si="1"/>
        <v>5.8279567989842169</v>
      </c>
      <c r="G4" s="24"/>
      <c r="H4" s="26">
        <f t="shared" ref="H4:H25" si="2">H3</f>
        <v>249.82400000000001</v>
      </c>
    </row>
    <row r="5" spans="1:10">
      <c r="A5" s="14" t="s">
        <v>15</v>
      </c>
      <c r="B5" s="15">
        <v>1</v>
      </c>
      <c r="C5" s="16">
        <f t="shared" si="0"/>
        <v>1</v>
      </c>
      <c r="D5" s="26">
        <v>50.2</v>
      </c>
      <c r="E5" s="28">
        <v>0.54</v>
      </c>
      <c r="F5" s="24">
        <f t="shared" si="1"/>
        <v>4.9765737051792831</v>
      </c>
      <c r="G5" s="24">
        <f>F5/E5</f>
        <v>9.2158772318134865</v>
      </c>
      <c r="H5" s="26">
        <f t="shared" si="2"/>
        <v>249.82400000000001</v>
      </c>
    </row>
    <row r="6" spans="1:10">
      <c r="A6" s="14" t="s">
        <v>98</v>
      </c>
      <c r="B6" s="15">
        <v>1.0700000524520874</v>
      </c>
      <c r="C6" s="16">
        <f t="shared" si="0"/>
        <v>0.93457939343865415</v>
      </c>
      <c r="D6" s="26">
        <v>19.7</v>
      </c>
      <c r="E6" s="28">
        <v>0.79500000000000004</v>
      </c>
      <c r="F6" s="24">
        <f t="shared" si="1"/>
        <v>11.851795044995855</v>
      </c>
      <c r="G6" s="24">
        <f t="shared" ref="G6:G8" si="3">F6/E6</f>
        <v>14.907918295592269</v>
      </c>
      <c r="H6" s="26">
        <f t="shared" si="2"/>
        <v>249.82400000000001</v>
      </c>
    </row>
    <row r="7" spans="1:10">
      <c r="A7" s="14" t="s">
        <v>99</v>
      </c>
      <c r="B7" s="15">
        <v>1</v>
      </c>
      <c r="C7" s="16">
        <f t="shared" si="0"/>
        <v>1</v>
      </c>
      <c r="D7" s="26">
        <f>D6</f>
        <v>19.7</v>
      </c>
      <c r="E7" s="28">
        <f>E6</f>
        <v>0.79500000000000004</v>
      </c>
      <c r="F7" s="24">
        <f t="shared" si="1"/>
        <v>12.681421319796955</v>
      </c>
      <c r="G7" s="24">
        <f t="shared" si="3"/>
        <v>15.951473358235162</v>
      </c>
      <c r="H7" s="26">
        <f t="shared" si="2"/>
        <v>249.82400000000001</v>
      </c>
    </row>
    <row r="8" spans="1:10">
      <c r="A8" s="14" t="s">
        <v>144</v>
      </c>
      <c r="B8" s="15">
        <v>1.0700000524520874</v>
      </c>
      <c r="C8" s="16">
        <f t="shared" si="0"/>
        <v>0.93457939343865415</v>
      </c>
      <c r="D8" s="26">
        <v>27</v>
      </c>
      <c r="E8" s="28">
        <v>0.79</v>
      </c>
      <c r="F8" s="24">
        <f t="shared" si="1"/>
        <v>8.6474208291266041</v>
      </c>
      <c r="G8" s="24">
        <f t="shared" si="3"/>
        <v>10.946102315350132</v>
      </c>
      <c r="H8" s="26">
        <f t="shared" si="2"/>
        <v>249.82400000000001</v>
      </c>
    </row>
    <row r="9" spans="1:10">
      <c r="A9" s="14" t="s">
        <v>100</v>
      </c>
      <c r="B9" s="15">
        <v>1</v>
      </c>
      <c r="C9" s="16">
        <f>1/B9</f>
        <v>1</v>
      </c>
      <c r="D9" s="26">
        <f>D8</f>
        <v>27</v>
      </c>
      <c r="E9" s="28">
        <f>E8</f>
        <v>0.79</v>
      </c>
      <c r="F9" s="24">
        <f>H9*C9/D9</f>
        <v>9.2527407407407409</v>
      </c>
      <c r="G9" s="24">
        <f>F9/E9</f>
        <v>11.712330051570557</v>
      </c>
      <c r="H9" s="26">
        <f t="shared" si="2"/>
        <v>249.82400000000001</v>
      </c>
    </row>
    <row r="10" spans="1:10">
      <c r="A10" s="14"/>
      <c r="B10" s="15"/>
      <c r="C10" s="16"/>
      <c r="D10" s="26"/>
      <c r="E10" s="28"/>
      <c r="F10" s="24"/>
      <c r="G10" s="24"/>
      <c r="H10" s="26">
        <f t="shared" si="2"/>
        <v>249.82400000000001</v>
      </c>
    </row>
    <row r="11" spans="1:10">
      <c r="A11" s="14" t="s">
        <v>101</v>
      </c>
      <c r="B11" s="15">
        <v>1.2000000476837158</v>
      </c>
      <c r="C11" s="16">
        <f t="shared" si="0"/>
        <v>0.83333330021964314</v>
      </c>
      <c r="D11" s="26">
        <v>121</v>
      </c>
      <c r="E11" s="28"/>
      <c r="F11" s="24">
        <f>H11*C11/D11</f>
        <v>1.7205508958187781</v>
      </c>
      <c r="G11" s="24"/>
      <c r="H11" s="26">
        <f t="shared" si="2"/>
        <v>249.82400000000001</v>
      </c>
    </row>
    <row r="12" spans="1:10">
      <c r="A12" s="14"/>
      <c r="B12" s="14"/>
      <c r="C12" s="14"/>
      <c r="D12" s="26"/>
      <c r="E12" s="28"/>
      <c r="F12" s="24"/>
      <c r="G12" s="24"/>
      <c r="H12" s="26">
        <f t="shared" si="2"/>
        <v>249.82400000000001</v>
      </c>
    </row>
    <row r="13" spans="1:10">
      <c r="A13" s="14" t="s">
        <v>146</v>
      </c>
      <c r="B13" s="17">
        <v>1.4300000190734801</v>
      </c>
      <c r="C13" s="16">
        <f t="shared" si="0"/>
        <v>0.69930068997335815</v>
      </c>
      <c r="D13" s="26">
        <f>D2</f>
        <v>42.2</v>
      </c>
      <c r="E13" s="28">
        <f>E2</f>
        <v>0.74</v>
      </c>
      <c r="F13" s="24">
        <f>H13*C13/D13</f>
        <v>4.1398600846422804</v>
      </c>
      <c r="G13" s="24">
        <f>F13/E13</f>
        <v>5.5944055197868652</v>
      </c>
      <c r="H13" s="26">
        <f t="shared" si="2"/>
        <v>249.82400000000001</v>
      </c>
      <c r="J13" s="3" t="s">
        <v>110</v>
      </c>
    </row>
    <row r="14" spans="1:10">
      <c r="A14" s="14" t="s">
        <v>105</v>
      </c>
      <c r="B14" s="15">
        <v>1.6000000238418579</v>
      </c>
      <c r="C14" s="16">
        <f t="shared" si="0"/>
        <v>0.62499999068677436</v>
      </c>
      <c r="D14" s="26">
        <v>121</v>
      </c>
      <c r="E14" s="28"/>
      <c r="F14" s="24">
        <f>H14*C14/D14</f>
        <v>1.2904132039118406</v>
      </c>
      <c r="G14" s="24"/>
      <c r="H14" s="26">
        <f t="shared" si="2"/>
        <v>249.82400000000001</v>
      </c>
      <c r="I14" s="3">
        <f>C14/C11</f>
        <v>0.75000001862645116</v>
      </c>
      <c r="J14" s="3" t="s">
        <v>111</v>
      </c>
    </row>
    <row r="15" spans="1:10">
      <c r="A15" s="14"/>
      <c r="B15" s="14"/>
      <c r="C15" s="16"/>
      <c r="D15" s="26"/>
      <c r="E15" s="28"/>
      <c r="F15" s="24"/>
      <c r="G15" s="24"/>
      <c r="H15" s="26">
        <f t="shared" si="2"/>
        <v>249.82400000000001</v>
      </c>
    </row>
    <row r="16" spans="1:10">
      <c r="A16" s="14" t="s">
        <v>93</v>
      </c>
      <c r="B16" s="15">
        <v>1.1000000000000001</v>
      </c>
      <c r="C16" s="59">
        <f t="shared" si="0"/>
        <v>0.90909090909090906</v>
      </c>
      <c r="D16" s="26">
        <v>42.7</v>
      </c>
      <c r="E16" s="28">
        <v>0.84</v>
      </c>
      <c r="F16" s="24">
        <f>H16*C16/D16</f>
        <v>5.3187992335533316</v>
      </c>
      <c r="G16" s="24">
        <f>F16/E16</f>
        <v>6.3319038494682518</v>
      </c>
      <c r="H16" s="26">
        <f t="shared" si="2"/>
        <v>249.82400000000001</v>
      </c>
    </row>
    <row r="17" spans="1:10">
      <c r="A17" s="14" t="s">
        <v>102</v>
      </c>
      <c r="B17" s="18">
        <f>B16</f>
        <v>1.1000000000000001</v>
      </c>
      <c r="C17" s="16">
        <f t="shared" si="0"/>
        <v>0.90909090909090906</v>
      </c>
      <c r="D17" s="26">
        <v>28.4</v>
      </c>
      <c r="E17" s="28">
        <f>E16</f>
        <v>0.84</v>
      </c>
      <c r="F17" s="24">
        <f>H17*C17/D17</f>
        <v>7.9969270166453272</v>
      </c>
      <c r="G17" s="24">
        <f>F17/E17</f>
        <v>9.520151210292056</v>
      </c>
      <c r="H17" s="26">
        <f t="shared" si="2"/>
        <v>249.82400000000001</v>
      </c>
    </row>
    <row r="18" spans="1:10">
      <c r="A18" s="14" t="s">
        <v>103</v>
      </c>
      <c r="B18" s="18">
        <f>B17</f>
        <v>1.1000000000000001</v>
      </c>
      <c r="C18" s="16">
        <f t="shared" si="0"/>
        <v>0.90909090909090906</v>
      </c>
      <c r="D18" s="26">
        <f>D16</f>
        <v>42.7</v>
      </c>
      <c r="E18" s="28">
        <f>E16</f>
        <v>0.84</v>
      </c>
      <c r="F18" s="24">
        <f>H18*C18/D18</f>
        <v>5.3187992335533316</v>
      </c>
      <c r="G18" s="24">
        <f>F18/E18</f>
        <v>6.3319038494682518</v>
      </c>
      <c r="H18" s="26">
        <f t="shared" si="2"/>
        <v>249.82400000000001</v>
      </c>
    </row>
    <row r="19" spans="1:10">
      <c r="A19" s="14" t="s">
        <v>147</v>
      </c>
      <c r="B19" s="17">
        <v>1.6</v>
      </c>
      <c r="C19" s="16">
        <f t="shared" si="0"/>
        <v>0.625</v>
      </c>
      <c r="D19" s="26">
        <f>D16</f>
        <v>42.7</v>
      </c>
      <c r="E19" s="28">
        <f>E16</f>
        <v>0.84</v>
      </c>
      <c r="F19" s="24">
        <f>H19*C19/D19</f>
        <v>3.6566744730679157</v>
      </c>
      <c r="G19" s="24">
        <f>F19/E19</f>
        <v>4.3531838965094236</v>
      </c>
      <c r="H19" s="26">
        <f t="shared" si="2"/>
        <v>249.82400000000001</v>
      </c>
      <c r="J19" s="3" t="str">
        <f>J13</f>
        <v>Oil save 30%</v>
      </c>
    </row>
    <row r="20" spans="1:10">
      <c r="A20" s="14"/>
      <c r="B20" s="14"/>
      <c r="C20" s="16"/>
      <c r="D20" s="26"/>
      <c r="E20" s="26"/>
      <c r="F20" s="24"/>
      <c r="G20" s="27"/>
      <c r="H20" s="26">
        <f t="shared" si="2"/>
        <v>249.82400000000001</v>
      </c>
    </row>
    <row r="21" spans="1:10">
      <c r="A21" s="14" t="s">
        <v>104</v>
      </c>
      <c r="B21" s="15">
        <v>3.5</v>
      </c>
      <c r="C21" s="16">
        <f t="shared" si="0"/>
        <v>0.2857142857142857</v>
      </c>
      <c r="D21" s="26"/>
      <c r="E21" s="26"/>
      <c r="F21" s="24"/>
      <c r="G21" s="24">
        <f>H21*C21/3.6</f>
        <v>19.827301587301587</v>
      </c>
      <c r="H21" s="26">
        <f t="shared" si="2"/>
        <v>249.82400000000001</v>
      </c>
    </row>
    <row r="22" spans="1:10">
      <c r="A22" s="14" t="s">
        <v>106</v>
      </c>
      <c r="B22" s="15">
        <v>3</v>
      </c>
      <c r="C22" s="16">
        <f t="shared" si="0"/>
        <v>0.33333333333333331</v>
      </c>
      <c r="D22" s="26"/>
      <c r="E22" s="26"/>
      <c r="F22" s="24"/>
      <c r="G22" s="24">
        <f>H22*C22/3.6</f>
        <v>23.131851851851849</v>
      </c>
      <c r="H22" s="26">
        <f t="shared" si="2"/>
        <v>249.82400000000001</v>
      </c>
    </row>
    <row r="23" spans="1:10">
      <c r="A23" s="14" t="s">
        <v>148</v>
      </c>
      <c r="B23" s="15">
        <f>B13</f>
        <v>1.4300000190734801</v>
      </c>
      <c r="C23" s="16">
        <f t="shared" si="0"/>
        <v>0.69930068997335815</v>
      </c>
      <c r="D23" s="26">
        <f>D13</f>
        <v>42.2</v>
      </c>
      <c r="E23" s="26">
        <f>E13</f>
        <v>0.74</v>
      </c>
      <c r="F23" s="24">
        <f>H23*C23/D23</f>
        <v>4.1398600846422804</v>
      </c>
      <c r="G23" s="24">
        <f>F23/E23</f>
        <v>5.5944055197868652</v>
      </c>
      <c r="H23" s="26">
        <f t="shared" si="2"/>
        <v>249.82400000000001</v>
      </c>
    </row>
    <row r="24" spans="1:10">
      <c r="A24" s="14"/>
      <c r="B24" s="14"/>
      <c r="C24" s="16"/>
      <c r="D24" s="26"/>
      <c r="E24" s="26"/>
      <c r="F24" s="24"/>
      <c r="G24" s="27"/>
      <c r="H24" s="26">
        <f t="shared" si="2"/>
        <v>249.82400000000001</v>
      </c>
    </row>
    <row r="25" spans="1:10">
      <c r="A25" s="14" t="s">
        <v>107</v>
      </c>
      <c r="B25" s="15">
        <v>2.2999999523162842</v>
      </c>
      <c r="C25" s="16">
        <f t="shared" si="0"/>
        <v>0.43478261770958732</v>
      </c>
      <c r="D25" s="26">
        <v>121</v>
      </c>
      <c r="E25" s="28"/>
      <c r="F25" s="24">
        <f>H25*C25/D25</f>
        <v>0.89767878253454503</v>
      </c>
      <c r="G25" s="27"/>
      <c r="H25" s="26">
        <f t="shared" si="2"/>
        <v>249.82400000000001</v>
      </c>
    </row>
    <row r="26" spans="1:10">
      <c r="C26" s="60"/>
    </row>
    <row r="28" spans="1:10">
      <c r="C28" s="1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73"/>
  <sheetViews>
    <sheetView tabSelected="1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Z5" sqref="Z5"/>
    </sheetView>
  </sheetViews>
  <sheetFormatPr defaultRowHeight="13.5"/>
  <cols>
    <col min="1" max="1" width="32.5" bestFit="1" customWidth="1"/>
    <col min="2" max="2" width="10.875" style="3" customWidth="1"/>
    <col min="3" max="3" width="26.75" style="3" customWidth="1"/>
    <col min="4" max="4" width="21.5" customWidth="1"/>
    <col min="5" max="5" width="10.125" bestFit="1" customWidth="1"/>
    <col min="6" max="6" width="15.875" bestFit="1" customWidth="1"/>
    <col min="7" max="7" width="21.5" bestFit="1" customWidth="1"/>
    <col min="8" max="8" width="13.75" style="30" bestFit="1" customWidth="1"/>
    <col min="9" max="16" width="9.5" style="3" customWidth="1"/>
    <col min="17" max="17" width="6.625" style="30" customWidth="1"/>
    <col min="18" max="18" width="7.5" style="31" customWidth="1"/>
    <col min="19" max="19" width="8.875" style="30"/>
    <col min="22" max="22" width="10.125" customWidth="1"/>
    <col min="24" max="24" width="17.5" style="122" customWidth="1"/>
    <col min="25" max="25" width="9" style="4"/>
    <col min="27" max="27" width="9" style="7"/>
    <col min="28" max="29" width="9" style="6"/>
    <col min="30" max="30" width="9.625" style="8" customWidth="1"/>
    <col min="31" max="32" width="9" style="4"/>
    <col min="33" max="33" width="10.375" customWidth="1"/>
    <col min="35" max="35" width="11" customWidth="1"/>
  </cols>
  <sheetData>
    <row r="1" spans="1:36" s="9" customFormat="1" ht="81">
      <c r="B1" s="9" t="s">
        <v>128</v>
      </c>
      <c r="C1" s="9" t="s">
        <v>112</v>
      </c>
      <c r="D1" s="9" t="s">
        <v>16</v>
      </c>
      <c r="E1" s="9" t="s">
        <v>17</v>
      </c>
      <c r="F1" s="9" t="s">
        <v>18</v>
      </c>
      <c r="G1" s="9" t="s">
        <v>19</v>
      </c>
      <c r="H1" s="29" t="s">
        <v>20</v>
      </c>
      <c r="I1" s="9" t="s">
        <v>74</v>
      </c>
      <c r="J1" s="9" t="s">
        <v>75</v>
      </c>
      <c r="K1" s="9" t="s">
        <v>21</v>
      </c>
      <c r="L1" s="9" t="s">
        <v>22</v>
      </c>
      <c r="M1" s="9" t="s">
        <v>20</v>
      </c>
      <c r="Q1" s="29" t="s">
        <v>67</v>
      </c>
      <c r="R1" s="33" t="s">
        <v>68</v>
      </c>
      <c r="S1" s="29" t="s">
        <v>5</v>
      </c>
      <c r="X1" s="121" t="s">
        <v>71</v>
      </c>
      <c r="Y1" s="10" t="s">
        <v>129</v>
      </c>
      <c r="Z1" s="9" t="s">
        <v>67</v>
      </c>
      <c r="AA1" s="11" t="s">
        <v>14</v>
      </c>
      <c r="AB1" s="12" t="s">
        <v>74</v>
      </c>
      <c r="AC1" s="12" t="s">
        <v>75</v>
      </c>
      <c r="AD1" s="13" t="s">
        <v>130</v>
      </c>
      <c r="AE1" s="12" t="s">
        <v>74</v>
      </c>
      <c r="AF1" s="12" t="s">
        <v>75</v>
      </c>
      <c r="AG1" s="9" t="s">
        <v>70</v>
      </c>
      <c r="AI1" s="9" t="s">
        <v>72</v>
      </c>
    </row>
    <row r="2" spans="1:36">
      <c r="H2" s="30" t="s">
        <v>4</v>
      </c>
      <c r="M2" s="3" t="s">
        <v>11</v>
      </c>
      <c r="Q2" s="30" t="s">
        <v>66</v>
      </c>
      <c r="R2" s="31" t="s">
        <v>6</v>
      </c>
      <c r="S2" s="30" t="s">
        <v>66</v>
      </c>
      <c r="Y2" s="4" t="s">
        <v>10</v>
      </c>
      <c r="Z2" s="3" t="s">
        <v>69</v>
      </c>
      <c r="AA2" s="7" t="s">
        <v>12</v>
      </c>
      <c r="AD2" s="8" t="s">
        <v>13</v>
      </c>
    </row>
    <row r="3" spans="1:36">
      <c r="A3" s="3" t="s">
        <v>97</v>
      </c>
      <c r="B3" s="3">
        <v>8</v>
      </c>
      <c r="D3" s="3" t="s">
        <v>55</v>
      </c>
      <c r="F3" s="2">
        <v>0.88</v>
      </c>
      <c r="H3" s="55">
        <f>'[1]LC factor'!$Q$10</f>
        <v>78.023749695958728</v>
      </c>
      <c r="I3" s="2">
        <v>0.05</v>
      </c>
      <c r="J3" s="2">
        <v>0.05</v>
      </c>
      <c r="K3" s="4">
        <f>H3*I3</f>
        <v>3.9011874847979366</v>
      </c>
      <c r="L3" s="4">
        <f t="shared" ref="L3:L10" si="0">H3*J3</f>
        <v>3.9011874847979366</v>
      </c>
      <c r="M3" s="3">
        <f>H3</f>
        <v>78.023749695958728</v>
      </c>
      <c r="Q3" s="30">
        <f>'[1]Oil-based'!$S$13-'[1]Oil-based'!$R$13</f>
        <v>20.449049740013223</v>
      </c>
      <c r="R3" s="31">
        <f t="shared" ref="R3:R7" si="1">1/H3*100</f>
        <v>1.2816610376927262</v>
      </c>
      <c r="S3" s="30">
        <f>Q3+73.2</f>
        <v>93.649049740013226</v>
      </c>
      <c r="X3" s="122">
        <v>1</v>
      </c>
      <c r="Y3" s="4">
        <f>42.5*0.74*B3/100*X3</f>
        <v>2.516</v>
      </c>
      <c r="AA3" s="7">
        <f>R3*Y3</f>
        <v>3.2246591708348991</v>
      </c>
      <c r="AB3" s="6">
        <f>J3/(1-J3)*AA3</f>
        <v>0.1697189037281526</v>
      </c>
      <c r="AC3" s="6">
        <f>AA3*I3/(1-I3)</f>
        <v>0.1697189037281526</v>
      </c>
      <c r="AD3" s="8">
        <f>S3*Y3</f>
        <v>235.62100914587327</v>
      </c>
      <c r="AE3" s="4">
        <f>J3/(1-J3)*AD3</f>
        <v>12.401105744519647</v>
      </c>
      <c r="AF3" s="4">
        <f>AD3*I3/(1-I3)</f>
        <v>12.401105744519647</v>
      </c>
    </row>
    <row r="4" spans="1:36" s="3" customFormat="1">
      <c r="A4" s="3" t="s">
        <v>113</v>
      </c>
      <c r="B4" s="3">
        <v>7.7</v>
      </c>
      <c r="C4" s="3" t="s">
        <v>118</v>
      </c>
      <c r="F4" s="2"/>
      <c r="H4" s="55">
        <f>H3</f>
        <v>78.023749695958728</v>
      </c>
      <c r="I4" s="2">
        <v>0.05</v>
      </c>
      <c r="J4" s="2">
        <v>0.05</v>
      </c>
      <c r="K4" s="4">
        <f t="shared" ref="K4:K10" si="2">H4*I4</f>
        <v>3.9011874847979366</v>
      </c>
      <c r="L4" s="4">
        <f t="shared" si="0"/>
        <v>3.9011874847979366</v>
      </c>
      <c r="M4" s="3">
        <f t="shared" ref="M4:M8" si="3">H4</f>
        <v>78.023749695958728</v>
      </c>
      <c r="Q4" s="30">
        <f>Q3</f>
        <v>20.449049740013223</v>
      </c>
      <c r="R4" s="31">
        <f t="shared" si="1"/>
        <v>1.2816610376927262</v>
      </c>
      <c r="S4" s="30">
        <f t="shared" ref="S4:S7" si="4">Q4+73.2</f>
        <v>93.649049740013226</v>
      </c>
      <c r="X4" s="122">
        <v>1</v>
      </c>
      <c r="Y4" s="4">
        <f>42.5*0.74*B4/100*X4</f>
        <v>2.4216500000000001</v>
      </c>
      <c r="AA4" s="7">
        <f t="shared" ref="AA4:AA8" si="5">R4*Y4</f>
        <v>3.1037344519285903</v>
      </c>
      <c r="AB4" s="6">
        <f t="shared" ref="AB4:AB8" si="6">J4/(1-J4)*AA4</f>
        <v>0.16335444483834688</v>
      </c>
      <c r="AC4" s="6">
        <f t="shared" ref="AC4:AC8" si="7">AA4*I4/(1-I4)</f>
        <v>0.16335444483834688</v>
      </c>
      <c r="AD4" s="8">
        <f>S4*Y4</f>
        <v>226.78522130290304</v>
      </c>
      <c r="AE4" s="4">
        <f t="shared" ref="AE4:AE8" si="8">J4/(1-J4)*AD4</f>
        <v>11.936064279100162</v>
      </c>
      <c r="AF4" s="4">
        <f t="shared" ref="AF4:AF8" si="9">AD4*I4/(1-I4)</f>
        <v>11.93606427910016</v>
      </c>
    </row>
    <row r="5" spans="1:36" s="3" customFormat="1">
      <c r="A5" s="3" t="s">
        <v>114</v>
      </c>
      <c r="B5" s="3">
        <v>8.1999999999999993</v>
      </c>
      <c r="C5" s="3" t="s">
        <v>119</v>
      </c>
      <c r="F5" s="2"/>
      <c r="H5" s="58">
        <f t="shared" ref="H5:H8" si="10">H4</f>
        <v>78.023749695958728</v>
      </c>
      <c r="I5" s="2">
        <v>0.05</v>
      </c>
      <c r="J5" s="2">
        <v>0.05</v>
      </c>
      <c r="K5" s="4">
        <f t="shared" si="2"/>
        <v>3.9011874847979366</v>
      </c>
      <c r="L5" s="4">
        <f t="shared" si="0"/>
        <v>3.9011874847979366</v>
      </c>
      <c r="M5" s="3">
        <f t="shared" si="3"/>
        <v>78.023749695958728</v>
      </c>
      <c r="Q5" s="30">
        <f t="shared" ref="Q5:Q8" si="11">Q4</f>
        <v>20.449049740013223</v>
      </c>
      <c r="R5" s="31">
        <f t="shared" si="1"/>
        <v>1.2816610376927262</v>
      </c>
      <c r="S5" s="30">
        <f t="shared" si="4"/>
        <v>93.649049740013226</v>
      </c>
      <c r="X5" s="122">
        <v>1</v>
      </c>
      <c r="Y5" s="4">
        <f t="shared" ref="Y5:Y8" si="12">42.5*0.74*B5/100*X5</f>
        <v>2.5789</v>
      </c>
      <c r="AA5" s="7">
        <f t="shared" si="5"/>
        <v>3.3052756501057714</v>
      </c>
      <c r="AB5" s="6">
        <f t="shared" si="6"/>
        <v>0.1739618763213564</v>
      </c>
      <c r="AC5" s="6">
        <f t="shared" si="7"/>
        <v>0.17396187632135643</v>
      </c>
      <c r="AD5" s="8">
        <f t="shared" ref="AD5:AD8" si="13">S5*Y5</f>
        <v>241.5115343745201</v>
      </c>
      <c r="AE5" s="4">
        <f t="shared" si="8"/>
        <v>12.711133388132637</v>
      </c>
      <c r="AF5" s="4">
        <f t="shared" si="9"/>
        <v>12.711133388132637</v>
      </c>
    </row>
    <row r="6" spans="1:36" s="3" customFormat="1">
      <c r="A6" s="3" t="s">
        <v>115</v>
      </c>
      <c r="B6" s="3">
        <v>5.7</v>
      </c>
      <c r="C6" s="3" t="s">
        <v>120</v>
      </c>
      <c r="F6" s="2"/>
      <c r="H6" s="55">
        <f t="shared" si="10"/>
        <v>78.023749695958728</v>
      </c>
      <c r="I6" s="2">
        <v>0.05</v>
      </c>
      <c r="J6" s="2">
        <v>0.05</v>
      </c>
      <c r="K6" s="4">
        <f t="shared" si="2"/>
        <v>3.9011874847979366</v>
      </c>
      <c r="L6" s="4">
        <f t="shared" si="0"/>
        <v>3.9011874847979366</v>
      </c>
      <c r="M6" s="3">
        <f t="shared" si="3"/>
        <v>78.023749695958728</v>
      </c>
      <c r="Q6" s="30">
        <f t="shared" si="11"/>
        <v>20.449049740013223</v>
      </c>
      <c r="R6" s="31">
        <f>1/H6*100</f>
        <v>1.2816610376927262</v>
      </c>
      <c r="S6" s="30">
        <f t="shared" si="4"/>
        <v>93.649049740013226</v>
      </c>
      <c r="X6" s="122">
        <v>1</v>
      </c>
      <c r="Y6" s="4">
        <f t="shared" si="12"/>
        <v>1.7926500000000001</v>
      </c>
      <c r="AA6" s="7">
        <f t="shared" si="5"/>
        <v>2.2975696592198656</v>
      </c>
      <c r="AB6" s="6">
        <f t="shared" si="6"/>
        <v>0.12092471890630872</v>
      </c>
      <c r="AC6" s="6">
        <f t="shared" si="7"/>
        <v>0.12092471890630874</v>
      </c>
      <c r="AD6" s="8">
        <f t="shared" si="13"/>
        <v>167.87996901643473</v>
      </c>
      <c r="AE6" s="4">
        <f t="shared" si="8"/>
        <v>8.8357878429702499</v>
      </c>
      <c r="AF6" s="4">
        <f t="shared" si="9"/>
        <v>8.8357878429702499</v>
      </c>
    </row>
    <row r="7" spans="1:36" s="3" customFormat="1">
      <c r="A7" s="3" t="s">
        <v>116</v>
      </c>
      <c r="B7" s="3">
        <v>5.9</v>
      </c>
      <c r="C7" s="3" t="s">
        <v>121</v>
      </c>
      <c r="F7" s="2"/>
      <c r="H7" s="55">
        <f t="shared" si="10"/>
        <v>78.023749695958728</v>
      </c>
      <c r="I7" s="2">
        <v>0.05</v>
      </c>
      <c r="J7" s="2">
        <v>0.05</v>
      </c>
      <c r="K7" s="4">
        <f t="shared" si="2"/>
        <v>3.9011874847979366</v>
      </c>
      <c r="L7" s="4">
        <f t="shared" si="0"/>
        <v>3.9011874847979366</v>
      </c>
      <c r="M7" s="3">
        <f t="shared" si="3"/>
        <v>78.023749695958728</v>
      </c>
      <c r="Q7" s="30">
        <f t="shared" si="11"/>
        <v>20.449049740013223</v>
      </c>
      <c r="R7" s="31">
        <f t="shared" si="1"/>
        <v>1.2816610376927262</v>
      </c>
      <c r="S7" s="30">
        <f t="shared" si="4"/>
        <v>93.649049740013226</v>
      </c>
      <c r="X7" s="122">
        <v>1</v>
      </c>
      <c r="Y7" s="4">
        <f t="shared" si="12"/>
        <v>1.85555</v>
      </c>
      <c r="AA7" s="7">
        <f t="shared" si="5"/>
        <v>2.3781861384907383</v>
      </c>
      <c r="AB7" s="6">
        <f t="shared" si="6"/>
        <v>0.12516769149951257</v>
      </c>
      <c r="AC7" s="6">
        <f t="shared" si="7"/>
        <v>0.12516769149951257</v>
      </c>
      <c r="AD7" s="8">
        <f t="shared" si="13"/>
        <v>173.77049424508155</v>
      </c>
      <c r="AE7" s="4">
        <f t="shared" si="8"/>
        <v>9.1458154865832402</v>
      </c>
      <c r="AF7" s="4">
        <f t="shared" si="9"/>
        <v>9.1458154865832402</v>
      </c>
    </row>
    <row r="8" spans="1:36" s="3" customFormat="1">
      <c r="A8" s="3" t="s">
        <v>117</v>
      </c>
      <c r="B8" s="3">
        <v>4.5</v>
      </c>
      <c r="C8" s="3" t="s">
        <v>122</v>
      </c>
      <c r="F8" s="2"/>
      <c r="H8" s="55">
        <f t="shared" si="10"/>
        <v>78.023749695958728</v>
      </c>
      <c r="I8" s="2">
        <v>0.05</v>
      </c>
      <c r="J8" s="2">
        <v>0.05</v>
      </c>
      <c r="K8" s="4">
        <f t="shared" si="2"/>
        <v>3.9011874847979366</v>
      </c>
      <c r="L8" s="4">
        <f t="shared" si="0"/>
        <v>3.9011874847979366</v>
      </c>
      <c r="M8" s="3">
        <f t="shared" si="3"/>
        <v>78.023749695958728</v>
      </c>
      <c r="Q8" s="30">
        <f t="shared" si="11"/>
        <v>20.449049740013223</v>
      </c>
      <c r="R8" s="31">
        <f>1/H8*100</f>
        <v>1.2816610376927262</v>
      </c>
      <c r="S8" s="30">
        <f>Q8+73.2</f>
        <v>93.649049740013226</v>
      </c>
      <c r="X8" s="122">
        <v>1</v>
      </c>
      <c r="Y8" s="4">
        <f t="shared" si="12"/>
        <v>1.4152500000000001</v>
      </c>
      <c r="AA8" s="7">
        <f t="shared" si="5"/>
        <v>1.8138707835946308</v>
      </c>
      <c r="AB8" s="6">
        <f t="shared" si="6"/>
        <v>9.5466883347085835E-2</v>
      </c>
      <c r="AC8" s="6">
        <f t="shared" si="7"/>
        <v>9.5466883347085849E-2</v>
      </c>
      <c r="AD8" s="8">
        <f t="shared" si="13"/>
        <v>132.53681764455374</v>
      </c>
      <c r="AE8" s="4">
        <f t="shared" si="8"/>
        <v>6.9756219812923028</v>
      </c>
      <c r="AF8" s="4">
        <f t="shared" si="9"/>
        <v>6.9756219812923028</v>
      </c>
    </row>
    <row r="9" spans="1:36">
      <c r="A9" s="3" t="s">
        <v>93</v>
      </c>
      <c r="D9" s="3" t="s">
        <v>55</v>
      </c>
      <c r="F9" s="2">
        <v>0.89</v>
      </c>
      <c r="H9" s="58">
        <f>'[1]LC factor'!$Q$9</f>
        <v>78.650662953196715</v>
      </c>
      <c r="I9" s="2">
        <v>0.05</v>
      </c>
      <c r="J9" s="2">
        <v>0.05</v>
      </c>
      <c r="K9" s="4">
        <f t="shared" si="2"/>
        <v>3.9325331476598357</v>
      </c>
      <c r="L9" s="4">
        <f t="shared" si="0"/>
        <v>3.9325331476598357</v>
      </c>
      <c r="M9" s="3">
        <f t="shared" ref="M9:M10" si="14">H9</f>
        <v>78.650662953196715</v>
      </c>
      <c r="Q9" s="30">
        <f>'[1]Oil-based'!$K$13-'[1]Oil-based'!$J$13</f>
        <v>19.663796283643805</v>
      </c>
      <c r="R9" s="31">
        <f t="shared" ref="R9:R10" si="15">1/H9*100</f>
        <v>1.2714450997000217</v>
      </c>
      <c r="S9" s="30">
        <f>Q9+73.2</f>
        <v>92.863796283643808</v>
      </c>
      <c r="X9" s="122">
        <f>PTW!C16</f>
        <v>0.90909090909090906</v>
      </c>
      <c r="Y9" s="4">
        <f t="shared" ref="Y9:Y10" si="16">42.5*0.74*8/100*X9</f>
        <v>2.2872727272727271</v>
      </c>
      <c r="AA9" s="7">
        <f t="shared" ref="AA9:AA71" si="17">R9*Y9</f>
        <v>2.9081417007684132</v>
      </c>
      <c r="AB9" s="6">
        <f t="shared" ref="AB9:AB72" si="18">J9/(1-J9)*AA9</f>
        <v>0.15306008951412703</v>
      </c>
      <c r="AC9" s="6">
        <f t="shared" ref="AC9:AC72" si="19">AA9*I9/(1-I9)</f>
        <v>0.15306008951412703</v>
      </c>
      <c r="AD9" s="8">
        <f>S9*Y9</f>
        <v>212.40482859058892</v>
      </c>
      <c r="AE9" s="4">
        <f t="shared" ref="AE9:AE72" si="20">J9/(1-J9)*AD9</f>
        <v>11.179201504767839</v>
      </c>
      <c r="AF9" s="4">
        <f t="shared" ref="AF9:AF72" si="21">AD9*I9/(1-I9)</f>
        <v>11.179201504767839</v>
      </c>
    </row>
    <row r="10" spans="1:36" s="42" customFormat="1">
      <c r="A10" s="41" t="s">
        <v>15</v>
      </c>
      <c r="B10" s="41"/>
      <c r="C10" s="41"/>
      <c r="D10" s="41" t="s">
        <v>55</v>
      </c>
      <c r="F10" s="43">
        <v>0.92</v>
      </c>
      <c r="H10" s="56">
        <v>78.84</v>
      </c>
      <c r="I10" s="43">
        <v>0.05</v>
      </c>
      <c r="J10" s="43">
        <v>0.05</v>
      </c>
      <c r="K10" s="44">
        <f t="shared" si="2"/>
        <v>3.9420000000000002</v>
      </c>
      <c r="L10" s="44">
        <f t="shared" si="0"/>
        <v>3.9420000000000002</v>
      </c>
      <c r="M10" s="41">
        <f t="shared" si="14"/>
        <v>78.84</v>
      </c>
      <c r="N10" s="41"/>
      <c r="O10" s="41"/>
      <c r="P10" s="41"/>
      <c r="Q10" s="42">
        <v>26.9</v>
      </c>
      <c r="R10" s="44">
        <f t="shared" si="15"/>
        <v>1.2683916793505834</v>
      </c>
      <c r="S10" s="42">
        <f>Q10+63.6</f>
        <v>90.5</v>
      </c>
      <c r="X10" s="45">
        <v>1</v>
      </c>
      <c r="Y10" s="44">
        <f t="shared" si="16"/>
        <v>2.516</v>
      </c>
      <c r="AA10" s="45">
        <f t="shared" si="17"/>
        <v>3.1912734652460677</v>
      </c>
      <c r="AB10" s="45">
        <f t="shared" si="18"/>
        <v>0.16796176132874041</v>
      </c>
      <c r="AC10" s="45">
        <f t="shared" si="19"/>
        <v>0.16796176132874041</v>
      </c>
      <c r="AD10" s="44">
        <f t="shared" ref="AD10:AD70" si="22">S10*Y10</f>
        <v>227.69800000000001</v>
      </c>
      <c r="AE10" s="44">
        <f t="shared" si="20"/>
        <v>11.984105263157897</v>
      </c>
      <c r="AF10" s="44">
        <f t="shared" si="21"/>
        <v>11.984105263157897</v>
      </c>
      <c r="AG10" s="45">
        <f>AA10-AA3</f>
        <v>-3.338570558883136E-2</v>
      </c>
      <c r="AH10" s="45">
        <f>AD10-AD3</f>
        <v>-7.9230091458732659</v>
      </c>
    </row>
    <row r="11" spans="1:36">
      <c r="F11" s="2"/>
      <c r="H11" s="55"/>
    </row>
    <row r="12" spans="1:36">
      <c r="A12" s="3" t="s">
        <v>23</v>
      </c>
      <c r="D12" s="3" t="s">
        <v>56</v>
      </c>
      <c r="E12" t="s">
        <v>0</v>
      </c>
      <c r="F12" s="1">
        <v>0.96899999999999997</v>
      </c>
      <c r="G12" s="3" t="s">
        <v>57</v>
      </c>
      <c r="H12" s="55">
        <f>'[1]NG-based'!$U$17*100</f>
        <v>83.816041498919276</v>
      </c>
      <c r="I12" s="2">
        <v>0.1</v>
      </c>
      <c r="J12" s="2">
        <v>0.1</v>
      </c>
      <c r="K12" s="4">
        <f>H12*I12</f>
        <v>8.3816041498919276</v>
      </c>
      <c r="L12" s="4">
        <f>H12*J12</f>
        <v>8.3816041498919276</v>
      </c>
      <c r="M12" s="3">
        <f>H12</f>
        <v>83.816041498919276</v>
      </c>
      <c r="Q12" s="30">
        <f>'[1]NG-based'!$U$21-'[1]NG-based'!$T$21</f>
        <v>15.487267358105996</v>
      </c>
      <c r="R12" s="31">
        <f>1/H12*100</f>
        <v>1.1930890341712141</v>
      </c>
      <c r="S12" s="30">
        <f>Q14+57.7</f>
        <v>77.483314875612393</v>
      </c>
      <c r="X12" s="122">
        <f>PTW!C3</f>
        <v>1.0526315789473684</v>
      </c>
      <c r="Y12" s="4">
        <f>42.5*0.74*8/100*X12</f>
        <v>2.648421052631579</v>
      </c>
      <c r="AA12" s="7">
        <f>R12*Y12</f>
        <v>3.159802115762921</v>
      </c>
      <c r="AB12" s="6">
        <f t="shared" si="18"/>
        <v>0.35108912397365794</v>
      </c>
      <c r="AC12" s="6">
        <f t="shared" si="19"/>
        <v>0.35108912397365794</v>
      </c>
      <c r="AD12" s="8">
        <f t="shared" si="22"/>
        <v>205.20844234425346</v>
      </c>
      <c r="AE12" s="4">
        <f t="shared" si="20"/>
        <v>22.800938038250386</v>
      </c>
      <c r="AF12" s="4">
        <f t="shared" si="21"/>
        <v>22.800938038250386</v>
      </c>
      <c r="AG12" s="6">
        <f>AA12-AA3</f>
        <v>-6.4857055071978031E-2</v>
      </c>
      <c r="AH12" s="6">
        <f>AD12-AD3</f>
        <v>-30.412566801619818</v>
      </c>
    </row>
    <row r="13" spans="1:36">
      <c r="A13" s="3" t="s">
        <v>214</v>
      </c>
      <c r="D13" s="3" t="s">
        <v>56</v>
      </c>
      <c r="E13" t="s">
        <v>1</v>
      </c>
      <c r="F13" s="1">
        <v>0.90200000000000002</v>
      </c>
      <c r="G13" s="3" t="s">
        <v>58</v>
      </c>
      <c r="H13" s="58">
        <f>'[1]NG-based'!$AE$17*100</f>
        <v>79.331102844888193</v>
      </c>
      <c r="I13" s="2">
        <v>0.05</v>
      </c>
      <c r="J13" s="2">
        <v>0.05</v>
      </c>
      <c r="K13" s="4">
        <f>H13*I13</f>
        <v>3.9665551422444096</v>
      </c>
      <c r="L13" s="4">
        <f>H13*J13</f>
        <v>3.9665551422444096</v>
      </c>
      <c r="M13" s="3">
        <f t="shared" ref="M13:M16" si="23">H13</f>
        <v>79.331102844888193</v>
      </c>
      <c r="Q13" s="30">
        <f>'[1]NG-based'!$AE$21-'[1]NG-based'!$AD$21</f>
        <v>18.023559625520548</v>
      </c>
      <c r="R13" s="31">
        <f t="shared" ref="R13:R16" si="24">1/H13*100</f>
        <v>1.2605396422576476</v>
      </c>
      <c r="S13" s="30">
        <f t="shared" ref="S13:S15" si="25">Q13+57.7</f>
        <v>75.723559625520551</v>
      </c>
      <c r="X13" s="122">
        <f>PTW!C4</f>
        <v>1.0031147622178866</v>
      </c>
      <c r="Y13" s="4">
        <f>42.5*0.74*8/100*X13</f>
        <v>2.5238367417402028</v>
      </c>
      <c r="AA13" s="7">
        <f>R13*Y13</f>
        <v>3.1813962635499022</v>
      </c>
      <c r="AB13" s="6">
        <f t="shared" si="18"/>
        <v>0.1674419086078896</v>
      </c>
      <c r="AC13" s="6">
        <f t="shared" si="19"/>
        <v>0.16744190860788963</v>
      </c>
      <c r="AD13" s="8">
        <f>S13*Y13</f>
        <v>191.11390199824376</v>
      </c>
      <c r="AE13" s="4">
        <f t="shared" si="20"/>
        <v>10.058626420960199</v>
      </c>
      <c r="AF13" s="4">
        <f t="shared" si="21"/>
        <v>10.058626420960199</v>
      </c>
      <c r="AG13" s="6">
        <f>AA13-AA3</f>
        <v>-4.3262907284996821E-2</v>
      </c>
      <c r="AH13" s="6">
        <f>AD13-AD3</f>
        <v>-44.507107147629512</v>
      </c>
      <c r="AJ13" s="3"/>
    </row>
    <row r="14" spans="1:36" s="3" customFormat="1">
      <c r="A14" s="3" t="s">
        <v>215</v>
      </c>
      <c r="F14" s="1"/>
      <c r="H14" s="58">
        <f>'[1]NG-based'!$AM$17*100</f>
        <v>80.535179732183479</v>
      </c>
      <c r="I14" s="2">
        <v>0.05</v>
      </c>
      <c r="J14" s="2">
        <v>0.05</v>
      </c>
      <c r="K14" s="4">
        <f>H14*I14</f>
        <v>4.026758986609174</v>
      </c>
      <c r="L14" s="4">
        <f>H14*J14</f>
        <v>4.026758986609174</v>
      </c>
      <c r="M14" s="3">
        <f t="shared" ref="M14" si="26">H14</f>
        <v>80.535179732183479</v>
      </c>
      <c r="Q14" s="30">
        <f>'[1]NG-based'!$AM$21-'[1]NG-based'!$AL$21</f>
        <v>19.78331487561239</v>
      </c>
      <c r="R14" s="31">
        <f t="shared" si="24"/>
        <v>1.2416933858289756</v>
      </c>
      <c r="S14" s="30">
        <f t="shared" si="25"/>
        <v>77.483314875612393</v>
      </c>
      <c r="X14" s="122">
        <f>X13</f>
        <v>1.0031147622178866</v>
      </c>
      <c r="Y14" s="4">
        <f>42.5*0.74*8/100*X14</f>
        <v>2.5238367417402028</v>
      </c>
      <c r="AA14" s="7">
        <f>R14*Y14</f>
        <v>3.1338313891309624</v>
      </c>
      <c r="AB14" s="6">
        <f t="shared" si="18"/>
        <v>0.16493849416478751</v>
      </c>
      <c r="AC14" s="6">
        <f t="shared" si="19"/>
        <v>0.16493849416478751</v>
      </c>
      <c r="AD14" s="8">
        <f t="shared" ref="AD14:AD15" si="27">S14*Y14</f>
        <v>195.55523695489578</v>
      </c>
      <c r="AE14" s="4">
        <f t="shared" ref="AE14:AE15" si="28">J14/(1-J14)*AD14</f>
        <v>10.292380892362937</v>
      </c>
      <c r="AF14" s="4">
        <f t="shared" ref="AF14:AF15" si="29">AD14*I14/(1-I14)</f>
        <v>10.292380892362937</v>
      </c>
      <c r="AG14" s="6">
        <f>AA14-AA3</f>
        <v>-9.0827781703936683E-2</v>
      </c>
      <c r="AH14" s="6">
        <f>AD14-AD3</f>
        <v>-40.065772190977498</v>
      </c>
    </row>
    <row r="15" spans="1:36" s="3" customFormat="1">
      <c r="A15" s="3" t="s">
        <v>216</v>
      </c>
      <c r="F15" s="1"/>
      <c r="H15" s="58">
        <f>'[1]NG-based'!$AW$17*100</f>
        <v>79.574175655440698</v>
      </c>
      <c r="I15" s="2">
        <v>0.05</v>
      </c>
      <c r="J15" s="2">
        <v>0.05</v>
      </c>
      <c r="K15" s="4">
        <f>H15*I15</f>
        <v>3.9787087827720349</v>
      </c>
      <c r="L15" s="4">
        <f>H15*J15</f>
        <v>3.9787087827720349</v>
      </c>
      <c r="M15" s="3">
        <f t="shared" ref="M15" si="30">H15</f>
        <v>79.574175655440698</v>
      </c>
      <c r="Q15" s="30">
        <f>'[1]NG-based'!$AW$21-'[1]NG-based'!$AV$21</f>
        <v>20.770428224020321</v>
      </c>
      <c r="R15" s="31">
        <f t="shared" si="24"/>
        <v>1.2566891102083662</v>
      </c>
      <c r="S15" s="30">
        <f t="shared" si="25"/>
        <v>78.470428224020324</v>
      </c>
      <c r="X15" s="122">
        <f>X14</f>
        <v>1.0031147622178866</v>
      </c>
      <c r="Y15" s="4">
        <f>42.5*0.74*8/100*X15</f>
        <v>2.5238367417402028</v>
      </c>
      <c r="AA15" s="7">
        <f>R15*Y15</f>
        <v>3.1716781492886774</v>
      </c>
      <c r="AB15" s="6">
        <f t="shared" si="18"/>
        <v>0.1669304289099304</v>
      </c>
      <c r="AC15" s="6">
        <f t="shared" si="19"/>
        <v>0.1669304289099304</v>
      </c>
      <c r="AD15" s="8">
        <f t="shared" si="27"/>
        <v>198.04654989186992</v>
      </c>
      <c r="AE15" s="4">
        <f t="shared" si="28"/>
        <v>10.423502625887892</v>
      </c>
      <c r="AF15" s="4">
        <f t="shared" si="29"/>
        <v>10.423502625887892</v>
      </c>
      <c r="AG15" s="6">
        <f>AA15-AA3</f>
        <v>-5.2981021546221641E-2</v>
      </c>
      <c r="AH15" s="6">
        <f>AD15-AD3</f>
        <v>-37.574459254003358</v>
      </c>
    </row>
    <row r="16" spans="1:36">
      <c r="A16" s="3" t="s">
        <v>25</v>
      </c>
      <c r="D16" s="3" t="s">
        <v>56</v>
      </c>
      <c r="E16" t="s">
        <v>2</v>
      </c>
      <c r="F16" s="1">
        <v>0.54200000000000004</v>
      </c>
      <c r="G16" s="3" t="s">
        <v>59</v>
      </c>
      <c r="H16" s="55">
        <f>'[1]NG-based'!$BG$17*100</f>
        <v>46.811742883249842</v>
      </c>
      <c r="I16" s="2">
        <v>0.15</v>
      </c>
      <c r="J16" s="2">
        <v>0.15</v>
      </c>
      <c r="K16" s="4">
        <f>H16*I16</f>
        <v>7.0217614324874758</v>
      </c>
      <c r="L16" s="4">
        <f>H16*J16</f>
        <v>7.0217614324874758</v>
      </c>
      <c r="M16" s="3">
        <f t="shared" si="23"/>
        <v>46.811742883249842</v>
      </c>
      <c r="Q16" s="30">
        <f>'[1]NG-based'!$BG$21-'[1]NG-based'!$BF$21</f>
        <v>70.521023141759159</v>
      </c>
      <c r="R16" s="31">
        <f t="shared" si="24"/>
        <v>2.1362161252872718</v>
      </c>
      <c r="S16" s="30">
        <f>+Q16+74.3</f>
        <v>144.82102314175916</v>
      </c>
      <c r="X16" s="122">
        <f>X9</f>
        <v>0.90909090909090906</v>
      </c>
      <c r="Y16" s="4">
        <f t="shared" ref="Y16" si="31">42.5*0.74*8/100*X16</f>
        <v>2.2872727272727271</v>
      </c>
      <c r="AA16" s="7">
        <f t="shared" si="17"/>
        <v>4.8861088829297961</v>
      </c>
      <c r="AB16" s="6">
        <f t="shared" si="18"/>
        <v>0.86225450875231702</v>
      </c>
      <c r="AC16" s="6">
        <f t="shared" si="19"/>
        <v>0.86225450875231702</v>
      </c>
      <c r="AD16" s="8">
        <f t="shared" si="22"/>
        <v>331.24517656787822</v>
      </c>
      <c r="AE16" s="4">
        <f t="shared" si="20"/>
        <v>58.45503115903734</v>
      </c>
      <c r="AF16" s="4">
        <f t="shared" si="21"/>
        <v>58.455031159037333</v>
      </c>
      <c r="AG16" s="6">
        <f>AA16-AA3</f>
        <v>1.661449712094897</v>
      </c>
      <c r="AH16" s="6">
        <f>AB16-AB3</f>
        <v>0.69253560502416445</v>
      </c>
      <c r="AI16" s="6">
        <f>AA16-AA9</f>
        <v>1.9779671821613829</v>
      </c>
      <c r="AJ16" s="6">
        <f>AD16-AD9</f>
        <v>118.8403479772893</v>
      </c>
    </row>
    <row r="17" spans="1:36">
      <c r="F17" s="1"/>
      <c r="H17" s="55"/>
      <c r="AJ17" s="3"/>
    </row>
    <row r="18" spans="1:36" s="46" customFormat="1">
      <c r="A18" s="46" t="s">
        <v>27</v>
      </c>
      <c r="D18" s="49" t="s">
        <v>73</v>
      </c>
      <c r="E18" s="46" t="s">
        <v>3</v>
      </c>
      <c r="F18" s="54">
        <v>0.50219999999999998</v>
      </c>
      <c r="G18" s="46" t="s">
        <v>60</v>
      </c>
      <c r="H18" s="57">
        <v>44.9</v>
      </c>
      <c r="I18" s="54">
        <v>0.2</v>
      </c>
      <c r="J18" s="54">
        <v>0.15</v>
      </c>
      <c r="K18" s="47">
        <f>H18*I18</f>
        <v>8.98</v>
      </c>
      <c r="L18" s="47">
        <f>H18*J18</f>
        <v>6.7349999999999994</v>
      </c>
      <c r="M18" s="46">
        <f>H18</f>
        <v>44.9</v>
      </c>
      <c r="Q18" s="50">
        <v>189.8</v>
      </c>
      <c r="R18" s="48">
        <f>1/H18*100</f>
        <v>2.2271714922048997</v>
      </c>
      <c r="S18" s="50">
        <f>Q18+69.8</f>
        <v>259.60000000000002</v>
      </c>
      <c r="X18" s="123">
        <f>PTW!C8</f>
        <v>0.93457939343865415</v>
      </c>
      <c r="Y18" s="47">
        <f>42.5*0.74*8/100*X18</f>
        <v>2.3514017538916541</v>
      </c>
      <c r="AA18" s="52">
        <f t="shared" si="17"/>
        <v>5.2369749529880938</v>
      </c>
      <c r="AB18" s="52">
        <f t="shared" si="18"/>
        <v>0.92417205052731077</v>
      </c>
      <c r="AC18" s="52">
        <f t="shared" si="19"/>
        <v>1.3092437382470234</v>
      </c>
      <c r="AD18" s="47">
        <f t="shared" si="22"/>
        <v>610.42389531027345</v>
      </c>
      <c r="AE18" s="47">
        <f t="shared" si="20"/>
        <v>107.72186387828356</v>
      </c>
      <c r="AF18" s="47">
        <f t="shared" si="21"/>
        <v>152.60597382756836</v>
      </c>
      <c r="AG18" s="52">
        <f>AA18-AA3</f>
        <v>2.0123157821531947</v>
      </c>
      <c r="AH18" s="52">
        <f>AD18-AD3</f>
        <v>374.80288616440021</v>
      </c>
    </row>
    <row r="19" spans="1:36" s="46" customFormat="1">
      <c r="A19" s="46" t="s">
        <v>26</v>
      </c>
      <c r="D19" s="49" t="s">
        <v>73</v>
      </c>
      <c r="E19" s="46" t="s">
        <v>3</v>
      </c>
      <c r="F19" s="49">
        <v>0.47460000000000002</v>
      </c>
      <c r="G19" s="46" t="s">
        <v>59</v>
      </c>
      <c r="H19" s="57">
        <v>42.45</v>
      </c>
      <c r="I19" s="54">
        <v>0.2</v>
      </c>
      <c r="J19" s="54">
        <v>0.15</v>
      </c>
      <c r="K19" s="47">
        <f>H19*I19</f>
        <v>8.49</v>
      </c>
      <c r="L19" s="47">
        <f>H19*J19</f>
        <v>6.3675000000000006</v>
      </c>
      <c r="M19" s="46">
        <f t="shared" ref="M19:M21" si="32">H19</f>
        <v>42.45</v>
      </c>
      <c r="Q19" s="50">
        <v>206.9</v>
      </c>
      <c r="R19" s="48">
        <f t="shared" ref="R19:R21" si="33">1/H19*100</f>
        <v>2.3557126030624262</v>
      </c>
      <c r="S19" s="50">
        <f>Q19+67.5</f>
        <v>274.39999999999998</v>
      </c>
      <c r="X19" s="123">
        <f>PTW!C17</f>
        <v>0.90909090909090906</v>
      </c>
      <c r="Y19" s="47">
        <f t="shared" ref="Y19:Y26" si="34">42.5*0.74*8/100*X19</f>
        <v>2.2872727272727271</v>
      </c>
      <c r="AA19" s="52">
        <f t="shared" si="17"/>
        <v>5.3881571902773313</v>
      </c>
      <c r="AB19" s="52">
        <f t="shared" si="18"/>
        <v>0.95085126887247029</v>
      </c>
      <c r="AC19" s="52">
        <f t="shared" si="19"/>
        <v>1.3470392975693328</v>
      </c>
      <c r="AD19" s="47">
        <f t="shared" si="22"/>
        <v>627.62763636363627</v>
      </c>
      <c r="AE19" s="47">
        <f t="shared" si="20"/>
        <v>110.75781818181817</v>
      </c>
      <c r="AF19" s="47">
        <f t="shared" si="21"/>
        <v>156.90690909090907</v>
      </c>
      <c r="AI19" s="52">
        <f>AA19-AA9</f>
        <v>2.4800154895089181</v>
      </c>
      <c r="AJ19" s="52">
        <f>AD19-AD9</f>
        <v>415.22280777304735</v>
      </c>
    </row>
    <row r="20" spans="1:36">
      <c r="A20" s="3" t="s">
        <v>28</v>
      </c>
      <c r="D20" s="1" t="s">
        <v>73</v>
      </c>
      <c r="E20" t="s">
        <v>3</v>
      </c>
      <c r="F20" s="1">
        <v>0.50309999999999999</v>
      </c>
      <c r="G20" s="3" t="s">
        <v>59</v>
      </c>
      <c r="H20" s="55">
        <f>[1]CtL!$R$8</f>
        <v>37.214019539127378</v>
      </c>
      <c r="I20" s="2">
        <v>0.15</v>
      </c>
      <c r="J20" s="2">
        <v>0.1</v>
      </c>
      <c r="K20" s="4">
        <f>H20*I20</f>
        <v>5.5821029308691061</v>
      </c>
      <c r="L20" s="4">
        <f>H20*J20</f>
        <v>3.7214019539127379</v>
      </c>
      <c r="M20" s="3">
        <f t="shared" si="32"/>
        <v>37.214019539127378</v>
      </c>
      <c r="Q20" s="30">
        <f>[1]CtL!$M$18</f>
        <v>181.23750224432456</v>
      </c>
      <c r="R20" s="31">
        <f>1/H20*100</f>
        <v>2.6871593350688308</v>
      </c>
      <c r="S20" s="30">
        <f>Q20+74.3</f>
        <v>255.53750224432457</v>
      </c>
      <c r="X20" s="122">
        <f>PTW!C16</f>
        <v>0.90909090909090906</v>
      </c>
      <c r="Y20" s="4">
        <f t="shared" si="34"/>
        <v>2.2872727272727271</v>
      </c>
      <c r="AA20" s="7">
        <f t="shared" si="17"/>
        <v>6.1462662609392522</v>
      </c>
      <c r="AB20" s="6">
        <f t="shared" si="18"/>
        <v>0.68291847343769474</v>
      </c>
      <c r="AC20" s="6">
        <f t="shared" si="19"/>
        <v>1.0846352225186915</v>
      </c>
      <c r="AD20" s="8">
        <f t="shared" si="22"/>
        <v>584.48395967883687</v>
      </c>
      <c r="AE20" s="4">
        <f t="shared" si="20"/>
        <v>64.942662186537433</v>
      </c>
      <c r="AF20" s="4">
        <f t="shared" si="21"/>
        <v>103.14422817861828</v>
      </c>
      <c r="AI20" s="6">
        <f>AA20-AA9</f>
        <v>3.2381245601708391</v>
      </c>
      <c r="AJ20" s="6">
        <f>AD20-AD9</f>
        <v>372.07913108824795</v>
      </c>
    </row>
    <row r="21" spans="1:36" s="46" customFormat="1">
      <c r="A21" s="46" t="s">
        <v>29</v>
      </c>
      <c r="D21" s="49" t="s">
        <v>73</v>
      </c>
      <c r="E21" s="46" t="s">
        <v>3</v>
      </c>
      <c r="F21" s="49">
        <v>0.41410000000000002</v>
      </c>
      <c r="G21" s="46" t="s">
        <v>59</v>
      </c>
      <c r="H21" s="57">
        <v>37.06</v>
      </c>
      <c r="I21" s="54">
        <v>0.15</v>
      </c>
      <c r="J21" s="54">
        <v>0.1</v>
      </c>
      <c r="K21" s="47">
        <f>H21*I21</f>
        <v>5.5590000000000002</v>
      </c>
      <c r="L21" s="47">
        <f>H21*J21</f>
        <v>3.7060000000000004</v>
      </c>
      <c r="M21" s="46">
        <f t="shared" si="32"/>
        <v>37.06</v>
      </c>
      <c r="Q21" s="50">
        <v>215.8</v>
      </c>
      <c r="R21" s="48">
        <f t="shared" si="33"/>
        <v>2.698327037236913</v>
      </c>
      <c r="S21" s="50">
        <f>Q21+74.3</f>
        <v>290.10000000000002</v>
      </c>
      <c r="X21" s="123">
        <f>X9</f>
        <v>0.90909090909090906</v>
      </c>
      <c r="Y21" s="47">
        <f t="shared" si="34"/>
        <v>2.2872727272727271</v>
      </c>
      <c r="AA21" s="52">
        <f t="shared" si="17"/>
        <v>6.1718098415346114</v>
      </c>
      <c r="AB21" s="52">
        <f t="shared" si="18"/>
        <v>0.68575664905940137</v>
      </c>
      <c r="AC21" s="52">
        <f t="shared" si="19"/>
        <v>1.0891429132119901</v>
      </c>
      <c r="AD21" s="47">
        <f t="shared" si="22"/>
        <v>663.53781818181824</v>
      </c>
      <c r="AE21" s="47">
        <f t="shared" si="20"/>
        <v>73.726424242424258</v>
      </c>
      <c r="AF21" s="47">
        <f t="shared" si="21"/>
        <v>117.0949090909091</v>
      </c>
      <c r="AI21" s="52">
        <f>AA21-AA9</f>
        <v>3.2636681407661983</v>
      </c>
      <c r="AJ21" s="52">
        <f>AD21-AD9</f>
        <v>451.13298959122932</v>
      </c>
    </row>
    <row r="22" spans="1:36">
      <c r="H22" s="55"/>
      <c r="AJ22" s="3"/>
    </row>
    <row r="23" spans="1:36" s="46" customFormat="1">
      <c r="A23" s="46" t="s">
        <v>30</v>
      </c>
      <c r="D23" s="49" t="s">
        <v>73</v>
      </c>
      <c r="E23" s="46" t="s">
        <v>3</v>
      </c>
      <c r="F23" s="54">
        <v>0.50219999999999998</v>
      </c>
      <c r="G23" s="46" t="s">
        <v>60</v>
      </c>
      <c r="H23" s="57">
        <v>35.299999999999997</v>
      </c>
      <c r="I23" s="49">
        <f t="shared" ref="I23:J25" si="35">I18+5%</f>
        <v>0.25</v>
      </c>
      <c r="J23" s="49">
        <f t="shared" si="35"/>
        <v>0.2</v>
      </c>
      <c r="K23" s="47">
        <f>H23*I23</f>
        <v>8.8249999999999993</v>
      </c>
      <c r="L23" s="47">
        <f>H23*J23</f>
        <v>7.06</v>
      </c>
      <c r="M23" s="46">
        <f>H23</f>
        <v>35.299999999999997</v>
      </c>
      <c r="Q23" s="50">
        <f>171.6-69.8</f>
        <v>101.8</v>
      </c>
      <c r="R23" s="48">
        <f>1/H23*100</f>
        <v>2.8328611898017</v>
      </c>
      <c r="S23" s="50">
        <f>Q23+69.8</f>
        <v>171.6</v>
      </c>
      <c r="X23" s="123">
        <f>X18</f>
        <v>0.93457939343865415</v>
      </c>
      <c r="Y23" s="47">
        <f t="shared" si="34"/>
        <v>2.3514017538916541</v>
      </c>
      <c r="AA23" s="52">
        <f t="shared" si="17"/>
        <v>6.6611947702313152</v>
      </c>
      <c r="AB23" s="52">
        <f t="shared" si="18"/>
        <v>1.6652986925578288</v>
      </c>
      <c r="AC23" s="52">
        <f t="shared" si="19"/>
        <v>2.2203982567437719</v>
      </c>
      <c r="AD23" s="47">
        <f t="shared" si="22"/>
        <v>403.50054096780781</v>
      </c>
      <c r="AE23" s="47">
        <f t="shared" si="20"/>
        <v>100.87513524195195</v>
      </c>
      <c r="AF23" s="47">
        <f t="shared" si="21"/>
        <v>134.5001803226026</v>
      </c>
      <c r="AG23" s="52">
        <f>AA23-AA3</f>
        <v>3.4365355993964162</v>
      </c>
      <c r="AH23" s="52">
        <f>AD23-AD3</f>
        <v>167.87953182193453</v>
      </c>
    </row>
    <row r="24" spans="1:36" s="46" customFormat="1">
      <c r="A24" s="46" t="s">
        <v>31</v>
      </c>
      <c r="D24" s="49" t="s">
        <v>73</v>
      </c>
      <c r="E24" s="46" t="s">
        <v>3</v>
      </c>
      <c r="F24" s="49">
        <v>0.47460000000000002</v>
      </c>
      <c r="G24" s="46" t="s">
        <v>59</v>
      </c>
      <c r="H24" s="57">
        <v>35</v>
      </c>
      <c r="I24" s="49">
        <f t="shared" si="35"/>
        <v>0.25</v>
      </c>
      <c r="J24" s="49">
        <f t="shared" si="35"/>
        <v>0.2</v>
      </c>
      <c r="K24" s="47">
        <f>H24*I24</f>
        <v>8.75</v>
      </c>
      <c r="L24" s="47">
        <f>H24*J24</f>
        <v>7</v>
      </c>
      <c r="M24" s="46">
        <f t="shared" ref="M24:M26" si="36">H24</f>
        <v>35</v>
      </c>
      <c r="Q24" s="50">
        <f>194.8-67.5</f>
        <v>127.30000000000001</v>
      </c>
      <c r="R24" s="48">
        <f t="shared" ref="R24:R26" si="37">1/H24*100</f>
        <v>2.8571428571428572</v>
      </c>
      <c r="S24" s="50">
        <f>Q24+67.5</f>
        <v>194.8</v>
      </c>
      <c r="X24" s="123">
        <f>X19</f>
        <v>0.90909090909090906</v>
      </c>
      <c r="Y24" s="47">
        <f t="shared" si="34"/>
        <v>2.2872727272727271</v>
      </c>
      <c r="AA24" s="52">
        <f t="shared" si="17"/>
        <v>6.535064935064935</v>
      </c>
      <c r="AB24" s="52">
        <f t="shared" si="18"/>
        <v>1.6337662337662338</v>
      </c>
      <c r="AC24" s="52">
        <f t="shared" si="19"/>
        <v>2.1783549783549785</v>
      </c>
      <c r="AD24" s="47">
        <f t="shared" si="22"/>
        <v>445.56072727272726</v>
      </c>
      <c r="AE24" s="47">
        <f t="shared" si="20"/>
        <v>111.39018181818182</v>
      </c>
      <c r="AF24" s="47">
        <f t="shared" si="21"/>
        <v>148.52024242424241</v>
      </c>
      <c r="AI24" s="52">
        <f>AA24-AA9</f>
        <v>3.6269232342965219</v>
      </c>
      <c r="AJ24" s="52">
        <f>AD24-AD9</f>
        <v>233.15589868213834</v>
      </c>
    </row>
    <row r="25" spans="1:36">
      <c r="A25" s="3" t="s">
        <v>32</v>
      </c>
      <c r="D25" s="1" t="s">
        <v>73</v>
      </c>
      <c r="E25" t="s">
        <v>3</v>
      </c>
      <c r="F25" s="1">
        <v>0.50309999999999999</v>
      </c>
      <c r="G25" s="3" t="s">
        <v>59</v>
      </c>
      <c r="H25" s="55">
        <f>'[1]CtL(CCS)'!$R$18</f>
        <v>37.741067017004362</v>
      </c>
      <c r="I25" s="1">
        <f t="shared" si="35"/>
        <v>0.2</v>
      </c>
      <c r="J25" s="1">
        <f t="shared" si="35"/>
        <v>0.15000000000000002</v>
      </c>
      <c r="K25" s="4">
        <f>H25*I25</f>
        <v>7.5482134034008723</v>
      </c>
      <c r="L25" s="4">
        <f>H25*J25</f>
        <v>5.6611600525506551</v>
      </c>
      <c r="M25" s="3">
        <f t="shared" si="36"/>
        <v>37.741067017004362</v>
      </c>
      <c r="Q25" s="30">
        <f>S25-74.3</f>
        <v>84.37691826831248</v>
      </c>
      <c r="R25" s="31">
        <f>1/H25*100</f>
        <v>2.6496336193924956</v>
      </c>
      <c r="S25" s="30">
        <f>'[1]CtL(CCS)'!$P$28</f>
        <v>158.67691826831248</v>
      </c>
      <c r="X25" s="122">
        <f>X20</f>
        <v>0.90909090909090906</v>
      </c>
      <c r="Y25" s="4">
        <f t="shared" si="34"/>
        <v>2.2872727272727271</v>
      </c>
      <c r="AA25" s="7">
        <f t="shared" si="17"/>
        <v>6.0604347149013806</v>
      </c>
      <c r="AB25" s="6">
        <f t="shared" si="18"/>
        <v>1.0694884791002439</v>
      </c>
      <c r="AC25" s="6">
        <f t="shared" si="19"/>
        <v>1.5151086787253454</v>
      </c>
      <c r="AD25" s="8">
        <f t="shared" si="22"/>
        <v>362.93738760279467</v>
      </c>
      <c r="AE25" s="4">
        <f t="shared" si="20"/>
        <v>64.047774282846134</v>
      </c>
      <c r="AF25" s="4">
        <f t="shared" si="21"/>
        <v>90.734346900698668</v>
      </c>
      <c r="AI25" s="6">
        <f>AA25-AA9</f>
        <v>3.1522930141329675</v>
      </c>
      <c r="AJ25" s="6">
        <f>AD25-AD9</f>
        <v>150.53255901220575</v>
      </c>
    </row>
    <row r="26" spans="1:36" s="46" customFormat="1">
      <c r="A26" s="46" t="s">
        <v>33</v>
      </c>
      <c r="D26" s="49" t="s">
        <v>73</v>
      </c>
      <c r="E26" s="46" t="s">
        <v>3</v>
      </c>
      <c r="F26" s="49">
        <v>0.41410000000000002</v>
      </c>
      <c r="G26" s="46" t="s">
        <v>59</v>
      </c>
      <c r="H26" s="57">
        <v>33.24</v>
      </c>
      <c r="I26" s="49">
        <f t="shared" ref="I26:J26" si="38">I21+5%</f>
        <v>0.2</v>
      </c>
      <c r="J26" s="49">
        <f t="shared" si="38"/>
        <v>0.15000000000000002</v>
      </c>
      <c r="K26" s="47">
        <f>H26*I26</f>
        <v>6.6480000000000006</v>
      </c>
      <c r="L26" s="47">
        <f>H26*J26</f>
        <v>4.9860000000000007</v>
      </c>
      <c r="M26" s="46">
        <f t="shared" si="36"/>
        <v>33.24</v>
      </c>
      <c r="Q26" s="50">
        <f>251.3-74.3</f>
        <v>177</v>
      </c>
      <c r="R26" s="48">
        <f t="shared" si="37"/>
        <v>3.0084235860409145</v>
      </c>
      <c r="S26" s="50">
        <f>Q26+74.3</f>
        <v>251.3</v>
      </c>
      <c r="X26" s="123">
        <f>X21</f>
        <v>0.90909090909090906</v>
      </c>
      <c r="Y26" s="47">
        <f t="shared" si="34"/>
        <v>2.2872727272727271</v>
      </c>
      <c r="AA26" s="52">
        <f t="shared" si="17"/>
        <v>6.8810852204354003</v>
      </c>
      <c r="AB26" s="52">
        <f t="shared" si="18"/>
        <v>1.2143091565474238</v>
      </c>
      <c r="AC26" s="52">
        <f t="shared" si="19"/>
        <v>1.7202713051088503</v>
      </c>
      <c r="AD26" s="47">
        <f t="shared" si="22"/>
        <v>574.79163636363637</v>
      </c>
      <c r="AE26" s="47">
        <f t="shared" si="20"/>
        <v>101.43381818181821</v>
      </c>
      <c r="AF26" s="47">
        <f t="shared" si="21"/>
        <v>143.69790909090909</v>
      </c>
      <c r="AI26" s="52">
        <f>AA26-AA9</f>
        <v>3.9729435196669871</v>
      </c>
      <c r="AJ26" s="52">
        <f>AD26-AD9</f>
        <v>362.38680777304745</v>
      </c>
    </row>
    <row r="27" spans="1:36">
      <c r="AE27" s="4">
        <f t="shared" si="20"/>
        <v>0</v>
      </c>
      <c r="AF27" s="4">
        <f t="shared" si="21"/>
        <v>0</v>
      </c>
    </row>
    <row r="28" spans="1:36">
      <c r="H28" s="30" t="s">
        <v>61</v>
      </c>
      <c r="S28" s="31"/>
      <c r="AE28" s="4">
        <f t="shared" si="20"/>
        <v>0</v>
      </c>
      <c r="AF28" s="4">
        <f t="shared" si="21"/>
        <v>0</v>
      </c>
    </row>
    <row r="29" spans="1:36">
      <c r="A29" s="3" t="s">
        <v>34</v>
      </c>
      <c r="C29" s="4"/>
      <c r="H29" s="40">
        <f>1/R29</f>
        <v>0.65265006170234385</v>
      </c>
      <c r="I29" s="1">
        <v>0.2</v>
      </c>
      <c r="J29" s="1">
        <v>0.1</v>
      </c>
      <c r="K29" s="4">
        <f>H29*I29</f>
        <v>0.13053001234046877</v>
      </c>
      <c r="L29" s="4">
        <f>H29*J29</f>
        <v>6.5265006170234383E-2</v>
      </c>
      <c r="M29" s="1"/>
      <c r="N29" s="1"/>
      <c r="O29" s="1"/>
      <c r="P29" s="1"/>
      <c r="R29" s="40">
        <v>1.5322146716597924</v>
      </c>
      <c r="S29" s="40">
        <v>209.77260062399628</v>
      </c>
      <c r="X29" s="122">
        <f>PTW!C8</f>
        <v>0.93457939343865415</v>
      </c>
      <c r="Y29" s="4">
        <f t="shared" ref="Y29:Y71" si="39">42.5*0.74*8/100*X29</f>
        <v>2.3514017538916541</v>
      </c>
      <c r="AA29" s="7">
        <f t="shared" si="17"/>
        <v>3.6028522662793607</v>
      </c>
      <c r="AB29" s="6">
        <f t="shared" si="18"/>
        <v>0.40031691847548456</v>
      </c>
      <c r="AC29" s="6">
        <f t="shared" si="19"/>
        <v>0.90071306656984018</v>
      </c>
      <c r="AD29" s="8">
        <f t="shared" si="22"/>
        <v>493.25966102567833</v>
      </c>
      <c r="AE29" s="4">
        <f t="shared" si="20"/>
        <v>54.80662900285315</v>
      </c>
      <c r="AF29" s="4">
        <f t="shared" si="21"/>
        <v>123.31491525641958</v>
      </c>
      <c r="AG29" s="6">
        <f>AA29-AA3</f>
        <v>0.37819309544446167</v>
      </c>
      <c r="AH29" s="6">
        <f>AD29-AD3</f>
        <v>257.63865187980502</v>
      </c>
    </row>
    <row r="30" spans="1:36">
      <c r="A30" s="3" t="s">
        <v>35</v>
      </c>
      <c r="C30" s="4"/>
      <c r="H30" s="40">
        <f t="shared" ref="H30:H33" si="40">1/R30</f>
        <v>1.1474064501422363</v>
      </c>
      <c r="I30" s="1">
        <v>0.2</v>
      </c>
      <c r="J30" s="1">
        <v>0.1</v>
      </c>
      <c r="K30" s="4">
        <f>H30*I30</f>
        <v>0.22948129002844728</v>
      </c>
      <c r="L30" s="4">
        <f>H30*J30</f>
        <v>0.11474064501422364</v>
      </c>
      <c r="M30" s="1"/>
      <c r="N30" s="1"/>
      <c r="O30" s="1"/>
      <c r="P30" s="1"/>
      <c r="R30" s="40">
        <v>0.87153074647265294</v>
      </c>
      <c r="S30" s="40">
        <v>95.596205512123817</v>
      </c>
      <c r="X30" s="122">
        <f>X29</f>
        <v>0.93457939343865415</v>
      </c>
      <c r="Y30" s="4">
        <f t="shared" si="39"/>
        <v>2.3514017538916541</v>
      </c>
      <c r="AA30" s="7">
        <f t="shared" si="17"/>
        <v>2.0493189258262987</v>
      </c>
      <c r="AB30" s="6">
        <f t="shared" si="18"/>
        <v>0.22770210286958875</v>
      </c>
      <c r="AC30" s="6">
        <f t="shared" si="19"/>
        <v>0.51232973145657468</v>
      </c>
      <c r="AD30" s="8">
        <f t="shared" si="22"/>
        <v>224.78508530659494</v>
      </c>
      <c r="AE30" s="4">
        <f t="shared" si="20"/>
        <v>24.976120589621662</v>
      </c>
      <c r="AF30" s="4">
        <f t="shared" si="21"/>
        <v>56.196271326648741</v>
      </c>
      <c r="AG30" s="6">
        <f>AA30-AA3</f>
        <v>-1.1753402450086003</v>
      </c>
      <c r="AH30" s="6">
        <f>AD30-AD3</f>
        <v>-10.835923839278337</v>
      </c>
    </row>
    <row r="31" spans="1:36">
      <c r="A31" s="3" t="s">
        <v>36</v>
      </c>
      <c r="C31" s="4"/>
      <c r="H31" s="40">
        <f t="shared" si="40"/>
        <v>1.3831323755298897</v>
      </c>
      <c r="I31" s="1">
        <v>0.2</v>
      </c>
      <c r="J31" s="1">
        <v>0.6</v>
      </c>
      <c r="K31" s="4">
        <f>H31*I31</f>
        <v>0.27662647510597793</v>
      </c>
      <c r="L31" s="4">
        <f>H31*J31</f>
        <v>0.82987942531793379</v>
      </c>
      <c r="M31" s="1"/>
      <c r="N31" s="1"/>
      <c r="O31" s="1"/>
      <c r="P31" s="1"/>
      <c r="R31" s="40">
        <v>0.72299659648765835</v>
      </c>
      <c r="S31" s="40">
        <v>68.15914937151814</v>
      </c>
      <c r="X31" s="122">
        <f>X30</f>
        <v>0.93457939343865415</v>
      </c>
      <c r="Y31" s="4">
        <f t="shared" si="39"/>
        <v>2.3514017538916541</v>
      </c>
      <c r="AA31" s="7">
        <f t="shared" si="17"/>
        <v>1.7000554650387762</v>
      </c>
      <c r="AB31" s="6">
        <f t="shared" si="18"/>
        <v>2.5500831975581639</v>
      </c>
      <c r="AC31" s="6">
        <f t="shared" si="19"/>
        <v>0.42501386625969406</v>
      </c>
      <c r="AD31" s="8">
        <f t="shared" si="22"/>
        <v>160.26954337595097</v>
      </c>
      <c r="AE31" s="4">
        <f t="shared" si="20"/>
        <v>240.40431506392642</v>
      </c>
      <c r="AF31" s="4">
        <f t="shared" si="21"/>
        <v>40.067385843987736</v>
      </c>
      <c r="AG31" s="6">
        <f>AA31-AA3</f>
        <v>-1.5246037057961228</v>
      </c>
      <c r="AH31" s="6">
        <f>AD31-AD3</f>
        <v>-75.351465769922299</v>
      </c>
    </row>
    <row r="32" spans="1:36">
      <c r="A32" s="3" t="s">
        <v>38</v>
      </c>
      <c r="C32" s="4"/>
      <c r="H32" s="31">
        <v>2.5167919315831879</v>
      </c>
      <c r="I32" s="1">
        <v>0.1</v>
      </c>
      <c r="J32" s="1">
        <v>0.1</v>
      </c>
      <c r="K32" s="4">
        <f>H32*I32</f>
        <v>0.25167919315831883</v>
      </c>
      <c r="L32" s="4">
        <f>H32*J32</f>
        <v>0.25167919315831883</v>
      </c>
      <c r="M32" s="1"/>
      <c r="N32" s="1"/>
      <c r="O32" s="1"/>
      <c r="P32" s="1"/>
      <c r="R32" s="40">
        <f>1/H32</f>
        <v>0.39733121655827547</v>
      </c>
      <c r="S32" s="40">
        <v>33.908202949077335</v>
      </c>
      <c r="X32" s="122">
        <f>X31</f>
        <v>0.93457939343865415</v>
      </c>
      <c r="Y32" s="4">
        <f t="shared" si="39"/>
        <v>2.3514017538916541</v>
      </c>
      <c r="AA32" s="7">
        <f t="shared" si="17"/>
        <v>0.93428531949103355</v>
      </c>
      <c r="AB32" s="6">
        <f t="shared" si="18"/>
        <v>0.10380947994344818</v>
      </c>
      <c r="AC32" s="6">
        <f t="shared" si="19"/>
        <v>0.10380947994344818</v>
      </c>
      <c r="AD32" s="8">
        <f t="shared" si="22"/>
        <v>79.7318078857746</v>
      </c>
      <c r="AE32" s="4">
        <f>-J32/(1-J32)*AD32</f>
        <v>-8.8590897650860665</v>
      </c>
      <c r="AF32" s="4">
        <f>-AD32*I32/(1-I32)</f>
        <v>-8.8590897650860665</v>
      </c>
      <c r="AG32" s="6">
        <f>AA32-AA3</f>
        <v>-2.2903738513438654</v>
      </c>
      <c r="AH32" s="6">
        <f>AD32-AD3</f>
        <v>-155.88920126009867</v>
      </c>
    </row>
    <row r="33" spans="1:34">
      <c r="A33" s="3" t="s">
        <v>37</v>
      </c>
      <c r="C33" s="4"/>
      <c r="H33" s="40">
        <f t="shared" si="40"/>
        <v>4.5454545454545459</v>
      </c>
      <c r="I33" s="1">
        <f>I32</f>
        <v>0.1</v>
      </c>
      <c r="J33" s="1">
        <f>J32</f>
        <v>0.1</v>
      </c>
      <c r="K33" s="4">
        <f>H33*I33</f>
        <v>0.45454545454545459</v>
      </c>
      <c r="L33" s="4">
        <f>H33*J33</f>
        <v>0.45454545454545459</v>
      </c>
      <c r="M33" s="1"/>
      <c r="N33" s="1"/>
      <c r="O33" s="1"/>
      <c r="P33" s="1"/>
      <c r="R33" s="40">
        <v>0.22</v>
      </c>
      <c r="S33" s="40">
        <v>4.0475670000000008</v>
      </c>
      <c r="X33" s="122">
        <f>X29</f>
        <v>0.93457939343865415</v>
      </c>
      <c r="Y33" s="4">
        <f t="shared" si="39"/>
        <v>2.3514017538916541</v>
      </c>
      <c r="AA33" s="7">
        <f t="shared" si="17"/>
        <v>0.5173083858561639</v>
      </c>
      <c r="AB33" s="6">
        <f t="shared" si="18"/>
        <v>5.747870953957377E-2</v>
      </c>
      <c r="AC33" s="6">
        <f t="shared" si="19"/>
        <v>5.7478709539573763E-2</v>
      </c>
      <c r="AD33" s="8">
        <f t="shared" si="22"/>
        <v>9.5174561427939821</v>
      </c>
      <c r="AE33" s="4">
        <f t="shared" si="20"/>
        <v>1.0574951269771091</v>
      </c>
      <c r="AF33" s="4">
        <f t="shared" si="21"/>
        <v>1.0574951269771091</v>
      </c>
      <c r="AG33" s="6">
        <f>AA33-AA3</f>
        <v>-2.7073507849787353</v>
      </c>
      <c r="AH33" s="6">
        <f>AD33-AD3</f>
        <v>-226.1035530030793</v>
      </c>
    </row>
    <row r="34" spans="1:34">
      <c r="C34" s="4"/>
      <c r="H34" s="31"/>
      <c r="I34" s="1"/>
      <c r="J34" s="1"/>
      <c r="K34" s="1"/>
      <c r="L34" s="1"/>
      <c r="M34" s="4"/>
      <c r="N34" s="4"/>
      <c r="O34" s="4"/>
      <c r="P34" s="4"/>
      <c r="R34" s="40"/>
      <c r="S34" s="40"/>
      <c r="AE34" s="4">
        <f t="shared" si="20"/>
        <v>0</v>
      </c>
      <c r="AF34" s="4">
        <f t="shared" si="21"/>
        <v>0</v>
      </c>
    </row>
    <row r="35" spans="1:34">
      <c r="A35" s="3" t="s">
        <v>39</v>
      </c>
      <c r="C35" s="4"/>
      <c r="H35" s="40">
        <f>1/R35</f>
        <v>1.0299014639199642</v>
      </c>
      <c r="I35" s="1">
        <v>0.3</v>
      </c>
      <c r="J35" s="1">
        <v>0.1</v>
      </c>
      <c r="K35" s="4">
        <f>H35*I35</f>
        <v>0.30897043917598926</v>
      </c>
      <c r="L35" s="4">
        <f>H35*J35</f>
        <v>0.10299014639199643</v>
      </c>
      <c r="M35" s="4"/>
      <c r="N35" s="4"/>
      <c r="O35" s="4"/>
      <c r="P35" s="4"/>
      <c r="R35" s="40">
        <v>0.97096667499999989</v>
      </c>
      <c r="S35" s="40">
        <v>172.46819646066666</v>
      </c>
      <c r="X35" s="122">
        <f>X9</f>
        <v>0.90909090909090906</v>
      </c>
      <c r="Y35" s="4">
        <f t="shared" si="39"/>
        <v>2.2872727272727271</v>
      </c>
      <c r="AA35" s="7">
        <f t="shared" si="17"/>
        <v>2.2208655948181812</v>
      </c>
      <c r="AB35" s="6">
        <f t="shared" si="18"/>
        <v>0.24676284386868683</v>
      </c>
      <c r="AC35" s="6">
        <f t="shared" si="19"/>
        <v>0.95179954063636341</v>
      </c>
      <c r="AD35" s="8">
        <f t="shared" si="22"/>
        <v>394.48180208639752</v>
      </c>
      <c r="AE35" s="4">
        <f t="shared" si="20"/>
        <v>43.831311342933063</v>
      </c>
      <c r="AF35" s="4">
        <f t="shared" si="21"/>
        <v>169.06362946559895</v>
      </c>
      <c r="AG35" s="6">
        <f>AA35-AA9</f>
        <v>-0.68727610595023192</v>
      </c>
      <c r="AH35" s="6">
        <f>AD35-AD9</f>
        <v>182.0769734958086</v>
      </c>
    </row>
    <row r="36" spans="1:34">
      <c r="A36" s="3" t="s">
        <v>40</v>
      </c>
      <c r="C36" s="4"/>
      <c r="H36" s="31">
        <v>4.6374023006303577</v>
      </c>
      <c r="I36" s="1">
        <v>0.1</v>
      </c>
      <c r="J36" s="1">
        <v>0.1</v>
      </c>
      <c r="K36" s="4">
        <f>H36*I36</f>
        <v>0.46374023006303577</v>
      </c>
      <c r="L36" s="4">
        <f>H36*J36</f>
        <v>0.46374023006303577</v>
      </c>
      <c r="M36" s="4"/>
      <c r="N36" s="4"/>
      <c r="O36" s="4"/>
      <c r="P36" s="4"/>
      <c r="R36" s="40">
        <f>1/H36</f>
        <v>0.21563796607943006</v>
      </c>
      <c r="S36" s="40">
        <v>17.704673183563482</v>
      </c>
      <c r="X36" s="122">
        <f>X35</f>
        <v>0.90909090909090906</v>
      </c>
      <c r="Y36" s="4">
        <f t="shared" si="39"/>
        <v>2.2872727272727271</v>
      </c>
      <c r="AA36" s="7">
        <f t="shared" si="17"/>
        <v>0.49322283877804179</v>
      </c>
      <c r="AB36" s="6">
        <f t="shared" si="18"/>
        <v>5.4802537642004649E-2</v>
      </c>
      <c r="AC36" s="6">
        <f t="shared" si="19"/>
        <v>5.4802537642004649E-2</v>
      </c>
      <c r="AD36" s="8">
        <f t="shared" si="22"/>
        <v>40.495416118041561</v>
      </c>
      <c r="AE36" s="4">
        <f t="shared" si="20"/>
        <v>4.4994906797823964</v>
      </c>
      <c r="AF36" s="4">
        <f t="shared" si="21"/>
        <v>4.4994906797823955</v>
      </c>
      <c r="AG36" s="6">
        <f>AA36-AA9</f>
        <v>-2.4149188619903712</v>
      </c>
      <c r="AH36" s="6">
        <f>AD36-AD9</f>
        <v>-171.90941247254736</v>
      </c>
    </row>
    <row r="37" spans="1:34">
      <c r="A37" s="3" t="s">
        <v>41</v>
      </c>
      <c r="C37" s="4"/>
      <c r="H37" s="40">
        <f t="shared" ref="H37" si="41">1/R37</f>
        <v>17.241379310344826</v>
      </c>
      <c r="I37" s="1">
        <v>0.2</v>
      </c>
      <c r="J37" s="1">
        <v>0.2</v>
      </c>
      <c r="K37" s="4">
        <f>H37*I37</f>
        <v>3.4482758620689653</v>
      </c>
      <c r="L37" s="4">
        <f>H37*J37</f>
        <v>3.4482758620689653</v>
      </c>
      <c r="M37" s="4"/>
      <c r="N37" s="4"/>
      <c r="O37" s="4"/>
      <c r="P37" s="4"/>
      <c r="R37" s="40">
        <v>5.8000000000000003E-2</v>
      </c>
      <c r="S37" s="40">
        <v>7.2399999999999949</v>
      </c>
      <c r="X37" s="122">
        <f>X36</f>
        <v>0.90909090909090906</v>
      </c>
      <c r="Y37" s="4">
        <f t="shared" si="39"/>
        <v>2.2872727272727271</v>
      </c>
      <c r="AA37" s="7">
        <f t="shared" si="17"/>
        <v>0.13266181818181819</v>
      </c>
      <c r="AB37" s="6">
        <f t="shared" si="18"/>
        <v>3.3165454545454547E-2</v>
      </c>
      <c r="AC37" s="6">
        <f t="shared" si="19"/>
        <v>3.3165454545454547E-2</v>
      </c>
      <c r="AD37" s="8">
        <f t="shared" si="22"/>
        <v>16.559854545454531</v>
      </c>
      <c r="AE37" s="4">
        <f t="shared" si="20"/>
        <v>4.1399636363636327</v>
      </c>
      <c r="AF37" s="4">
        <f t="shared" si="21"/>
        <v>4.1399636363636327</v>
      </c>
      <c r="AG37" s="6">
        <f>AA37-AA9</f>
        <v>-2.7754798825865952</v>
      </c>
      <c r="AH37" s="6">
        <f>AD37-AD9</f>
        <v>-195.84497404513439</v>
      </c>
    </row>
    <row r="38" spans="1:34">
      <c r="H38" s="31"/>
      <c r="AE38" s="4">
        <f t="shared" si="20"/>
        <v>0</v>
      </c>
      <c r="AF38" s="4">
        <f t="shared" si="21"/>
        <v>0</v>
      </c>
      <c r="AH38" s="3"/>
    </row>
    <row r="39" spans="1:34">
      <c r="A39" s="3" t="s">
        <v>123</v>
      </c>
      <c r="B39" s="3">
        <v>20.3</v>
      </c>
      <c r="C39" s="1" t="s">
        <v>124</v>
      </c>
      <c r="H39" s="31">
        <f>1/R39*100</f>
        <v>39.242451469248458</v>
      </c>
      <c r="I39" s="1">
        <v>0.1</v>
      </c>
      <c r="J39" s="1">
        <v>0.1</v>
      </c>
      <c r="K39" s="4">
        <f>H39*I39</f>
        <v>3.9242451469248461</v>
      </c>
      <c r="L39" s="4">
        <f>H39*J39</f>
        <v>3.9242451469248461</v>
      </c>
      <c r="M39" s="1"/>
      <c r="N39" s="1"/>
      <c r="O39" s="1"/>
      <c r="P39" s="1"/>
      <c r="R39" s="31">
        <f>'[1]LC factor'!$P$12</f>
        <v>2.5482607802512782</v>
      </c>
      <c r="S39" s="31">
        <f>'[1]LC factor'!$O$12</f>
        <v>225.43975888354808</v>
      </c>
      <c r="T39" s="4"/>
      <c r="U39" s="4">
        <v>2.5720000000000001</v>
      </c>
      <c r="V39" s="4">
        <v>2.1000000000000001E-2</v>
      </c>
      <c r="W39" s="4">
        <v>0.33</v>
      </c>
      <c r="X39" s="122">
        <f>PTW!C21</f>
        <v>0.2857142857142857</v>
      </c>
      <c r="Y39" s="4">
        <f>42.5*0.74*8/100*X39</f>
        <v>0.71885714285714286</v>
      </c>
      <c r="AA39" s="7">
        <f>R39*Y39</f>
        <v>1.8318354637463474</v>
      </c>
      <c r="AB39" s="6">
        <f t="shared" si="18"/>
        <v>0.20353727374959418</v>
      </c>
      <c r="AC39" s="6">
        <f t="shared" si="19"/>
        <v>0.20353727374959416</v>
      </c>
      <c r="AD39" s="8">
        <f>S39:S42*Y39</f>
        <v>162.05898095743058</v>
      </c>
      <c r="AE39" s="4">
        <f t="shared" si="20"/>
        <v>18.006553439714509</v>
      </c>
      <c r="AF39" s="4">
        <f t="shared" si="21"/>
        <v>18.006553439714509</v>
      </c>
      <c r="AG39" s="6">
        <f>AA39-AA3</f>
        <v>-1.3928237070885516</v>
      </c>
      <c r="AH39" s="6">
        <f>AD39-AD3</f>
        <v>-73.562028188442696</v>
      </c>
    </row>
    <row r="40" spans="1:34" s="3" customFormat="1">
      <c r="A40" s="3" t="s">
        <v>125</v>
      </c>
      <c r="B40" s="3">
        <v>14</v>
      </c>
      <c r="C40" s="1"/>
      <c r="H40" s="31">
        <f t="shared" ref="H40:H42" si="42">1/R40*100</f>
        <v>39.242451469248458</v>
      </c>
      <c r="I40" s="1">
        <v>0.1</v>
      </c>
      <c r="J40" s="1">
        <v>0.1</v>
      </c>
      <c r="K40" s="4">
        <f t="shared" ref="K40:K42" si="43">H40*I40</f>
        <v>3.9242451469248461</v>
      </c>
      <c r="L40" s="4">
        <f t="shared" ref="L40:L42" si="44">H40*J40</f>
        <v>3.9242451469248461</v>
      </c>
      <c r="M40" s="1"/>
      <c r="N40" s="1"/>
      <c r="O40" s="1"/>
      <c r="P40" s="1"/>
      <c r="Q40" s="30"/>
      <c r="R40" s="31">
        <f>R39</f>
        <v>2.5482607802512782</v>
      </c>
      <c r="S40" s="31">
        <f>S39</f>
        <v>225.43975888354808</v>
      </c>
      <c r="T40" s="4"/>
      <c r="U40" s="4"/>
      <c r="V40" s="4"/>
      <c r="W40" s="4"/>
      <c r="X40" s="122"/>
      <c r="Y40" s="4">
        <f>(B40/20.3)*$Y$39</f>
        <v>0.49576354679802953</v>
      </c>
      <c r="AA40" s="7">
        <f>R40*Y40</f>
        <v>1.2633348025836879</v>
      </c>
      <c r="AB40" s="6">
        <f>J40/(1-J40)*AA40</f>
        <v>0.14037053362040977</v>
      </c>
      <c r="AC40" s="6">
        <f t="shared" si="19"/>
        <v>0.14037053362040977</v>
      </c>
      <c r="AD40" s="8">
        <f>S40*Y40</f>
        <v>111.76481445340038</v>
      </c>
      <c r="AE40" s="4">
        <f t="shared" si="20"/>
        <v>12.418312717044486</v>
      </c>
      <c r="AF40" s="4">
        <f t="shared" si="21"/>
        <v>12.418312717044486</v>
      </c>
      <c r="AG40" s="6">
        <f>AA40-AA4</f>
        <v>-1.8403996493449024</v>
      </c>
      <c r="AH40" s="6">
        <f>AD40-AD4</f>
        <v>-115.02040684950266</v>
      </c>
    </row>
    <row r="41" spans="1:34" s="3" customFormat="1">
      <c r="A41" s="3" t="s">
        <v>126</v>
      </c>
      <c r="B41" s="3">
        <v>16</v>
      </c>
      <c r="C41" s="1"/>
      <c r="H41" s="31">
        <f t="shared" si="42"/>
        <v>39.242451469248458</v>
      </c>
      <c r="I41" s="1">
        <v>0.1</v>
      </c>
      <c r="J41" s="1">
        <v>0.1</v>
      </c>
      <c r="K41" s="4">
        <f t="shared" si="43"/>
        <v>3.9242451469248461</v>
      </c>
      <c r="L41" s="4">
        <f t="shared" si="44"/>
        <v>3.9242451469248461</v>
      </c>
      <c r="M41" s="1"/>
      <c r="N41" s="1"/>
      <c r="O41" s="1"/>
      <c r="P41" s="1"/>
      <c r="Q41" s="30"/>
      <c r="R41" s="31">
        <f t="shared" ref="R41:S42" si="45">R40</f>
        <v>2.5482607802512782</v>
      </c>
      <c r="S41" s="31">
        <f t="shared" si="45"/>
        <v>225.43975888354808</v>
      </c>
      <c r="T41" s="4"/>
      <c r="U41" s="4"/>
      <c r="V41" s="4"/>
      <c r="W41" s="4"/>
      <c r="X41" s="122"/>
      <c r="Y41" s="4">
        <f>(B41/20.3)*$Y$39</f>
        <v>0.5665869106263195</v>
      </c>
      <c r="AA41" s="7">
        <f t="shared" ref="AA41:AA42" si="46">R41*Y41</f>
        <v>1.4438112029527861</v>
      </c>
      <c r="AB41" s="6">
        <f t="shared" ref="AB41:AB42" si="47">J41/(1-J41)*AA41</f>
        <v>0.16042346699475402</v>
      </c>
      <c r="AC41" s="6">
        <f t="shared" si="19"/>
        <v>0.16042346699475402</v>
      </c>
      <c r="AD41" s="8">
        <f t="shared" si="22"/>
        <v>127.73121651817188</v>
      </c>
      <c r="AE41" s="4">
        <f t="shared" si="20"/>
        <v>14.192357390907988</v>
      </c>
      <c r="AF41" s="4">
        <f t="shared" si="21"/>
        <v>14.192357390907986</v>
      </c>
      <c r="AG41" s="6">
        <f>AA41-AA5</f>
        <v>-1.8614644471529853</v>
      </c>
      <c r="AH41" s="6">
        <f>AD41-AD5</f>
        <v>-113.78031785634822</v>
      </c>
    </row>
    <row r="42" spans="1:34" s="3" customFormat="1">
      <c r="A42" s="3" t="s">
        <v>127</v>
      </c>
      <c r="B42" s="3">
        <v>22.5</v>
      </c>
      <c r="C42" s="1"/>
      <c r="H42" s="31">
        <f t="shared" si="42"/>
        <v>39.242451469248458</v>
      </c>
      <c r="I42" s="1">
        <v>0.1</v>
      </c>
      <c r="J42" s="1">
        <v>0.1</v>
      </c>
      <c r="K42" s="4">
        <f t="shared" si="43"/>
        <v>3.9242451469248461</v>
      </c>
      <c r="L42" s="4">
        <f t="shared" si="44"/>
        <v>3.9242451469248461</v>
      </c>
      <c r="M42" s="1"/>
      <c r="N42" s="1"/>
      <c r="O42" s="1"/>
      <c r="P42" s="1"/>
      <c r="Q42" s="30"/>
      <c r="R42" s="31">
        <f t="shared" si="45"/>
        <v>2.5482607802512782</v>
      </c>
      <c r="S42" s="31">
        <f t="shared" si="45"/>
        <v>225.43975888354808</v>
      </c>
      <c r="T42" s="4"/>
      <c r="U42" s="4"/>
      <c r="V42" s="4"/>
      <c r="W42" s="4"/>
      <c r="X42" s="122"/>
      <c r="Y42" s="4">
        <f>(B42/20.3)*$Y$39</f>
        <v>0.79676284306826173</v>
      </c>
      <c r="AA42" s="7">
        <f t="shared" si="46"/>
        <v>2.0303595041523552</v>
      </c>
      <c r="AB42" s="6">
        <f t="shared" si="47"/>
        <v>0.22559550046137281</v>
      </c>
      <c r="AC42" s="6">
        <f t="shared" si="19"/>
        <v>0.22559550046137281</v>
      </c>
      <c r="AD42" s="8">
        <f t="shared" si="22"/>
        <v>179.62202322867918</v>
      </c>
      <c r="AE42" s="4">
        <f t="shared" si="20"/>
        <v>19.958002580964354</v>
      </c>
      <c r="AF42" s="4">
        <f t="shared" si="21"/>
        <v>19.958002580964354</v>
      </c>
      <c r="AG42" s="6">
        <f>AA42-AA6</f>
        <v>-0.26721015506751034</v>
      </c>
      <c r="AH42" s="6">
        <f>AD42-AD6</f>
        <v>11.742054212244454</v>
      </c>
    </row>
    <row r="43" spans="1:34" s="3" customFormat="1">
      <c r="C43" s="1"/>
      <c r="H43" s="31"/>
      <c r="I43" s="1"/>
      <c r="J43" s="1"/>
      <c r="K43" s="4"/>
      <c r="L43" s="4"/>
      <c r="M43" s="1"/>
      <c r="N43" s="1"/>
      <c r="O43" s="1"/>
      <c r="P43" s="1"/>
      <c r="Q43" s="30"/>
      <c r="R43" s="31"/>
      <c r="S43" s="31"/>
      <c r="T43" s="4"/>
      <c r="U43" s="4"/>
      <c r="V43" s="4"/>
      <c r="W43" s="4"/>
      <c r="X43" s="122"/>
      <c r="Y43" s="4"/>
      <c r="AA43" s="7"/>
      <c r="AB43" s="6"/>
      <c r="AC43" s="6"/>
      <c r="AD43" s="8"/>
      <c r="AE43" s="4"/>
      <c r="AF43" s="4"/>
      <c r="AG43" s="6"/>
      <c r="AH43" s="6"/>
    </row>
    <row r="44" spans="1:34">
      <c r="A44" s="3" t="s">
        <v>42</v>
      </c>
      <c r="B44" s="3">
        <v>20.3</v>
      </c>
      <c r="C44" s="1"/>
      <c r="H44" s="31">
        <f t="shared" ref="H44:H45" si="48">1/R44*100</f>
        <v>31.389634437929185</v>
      </c>
      <c r="I44" s="1">
        <v>0.1</v>
      </c>
      <c r="J44" s="1">
        <v>0.1</v>
      </c>
      <c r="K44" s="4">
        <f>H44*I44</f>
        <v>3.1389634437929188</v>
      </c>
      <c r="L44" s="4">
        <f>H44*J44</f>
        <v>3.1389634437929188</v>
      </c>
      <c r="M44" s="1"/>
      <c r="N44" s="1"/>
      <c r="O44" s="1"/>
      <c r="P44" s="1"/>
      <c r="R44" s="31">
        <f>[1]GridE!$C$5</f>
        <v>3.1857650396580128</v>
      </c>
      <c r="S44" s="31">
        <f>[1]GridE!$C$9</f>
        <v>289.55804511207612</v>
      </c>
      <c r="T44" s="4"/>
      <c r="U44" s="4">
        <v>3.169</v>
      </c>
      <c r="V44" s="4">
        <v>3.0000000000000001E-3</v>
      </c>
      <c r="W44" s="4">
        <v>0.32900000000000001</v>
      </c>
      <c r="X44" s="122">
        <f>X39</f>
        <v>0.2857142857142857</v>
      </c>
      <c r="Y44" s="4">
        <f t="shared" si="39"/>
        <v>0.71885714285714286</v>
      </c>
      <c r="AA44" s="7">
        <f t="shared" si="17"/>
        <v>2.2901099542227317</v>
      </c>
      <c r="AB44" s="6">
        <f t="shared" si="18"/>
        <v>0.25445666158030356</v>
      </c>
      <c r="AC44" s="6">
        <f t="shared" si="19"/>
        <v>0.25445666158030356</v>
      </c>
      <c r="AD44" s="8">
        <f>S44*Y44</f>
        <v>208.15086900056673</v>
      </c>
      <c r="AE44" s="4">
        <f t="shared" si="20"/>
        <v>23.127874333396306</v>
      </c>
      <c r="AF44" s="4">
        <f t="shared" si="21"/>
        <v>23.127874333396303</v>
      </c>
      <c r="AG44" s="6">
        <f>AA44-AA3</f>
        <v>-0.93454921661216739</v>
      </c>
      <c r="AH44" s="6">
        <f>AD44-AD3</f>
        <v>-27.470140145306544</v>
      </c>
    </row>
    <row r="45" spans="1:34">
      <c r="A45" s="3" t="s">
        <v>43</v>
      </c>
      <c r="B45" s="3">
        <v>20.3</v>
      </c>
      <c r="C45" s="1"/>
      <c r="H45" s="31">
        <f t="shared" si="48"/>
        <v>24.394731075301333</v>
      </c>
      <c r="I45" s="1">
        <v>0.1</v>
      </c>
      <c r="J45" s="1">
        <v>0.1</v>
      </c>
      <c r="K45" s="4">
        <f>H45*I45</f>
        <v>2.4394731075301337</v>
      </c>
      <c r="L45" s="4">
        <f>H45*J45</f>
        <v>2.4394731075301337</v>
      </c>
      <c r="M45" s="1"/>
      <c r="N45" s="1"/>
      <c r="O45" s="1"/>
      <c r="P45" s="1"/>
      <c r="R45" s="31">
        <f>[1]GridE!$E$5</f>
        <v>4.0992458449868261</v>
      </c>
      <c r="S45" s="31">
        <f>[1]GridE!$E$9</f>
        <v>310.65512750318049</v>
      </c>
      <c r="T45" s="4"/>
      <c r="U45" s="4">
        <v>0.46700000000000003</v>
      </c>
      <c r="V45" s="4">
        <v>8.6999999999999994E-2</v>
      </c>
      <c r="W45" s="4">
        <v>3.5449999999999999</v>
      </c>
      <c r="X45" s="122">
        <f>X44</f>
        <v>0.2857142857142857</v>
      </c>
      <c r="Y45" s="4">
        <f t="shared" si="39"/>
        <v>0.71885714285714286</v>
      </c>
      <c r="AA45" s="7">
        <f t="shared" si="17"/>
        <v>2.9467721559962441</v>
      </c>
      <c r="AB45" s="6">
        <f t="shared" si="18"/>
        <v>0.32741912844402715</v>
      </c>
      <c r="AC45" s="6">
        <f t="shared" si="19"/>
        <v>0.3274191284440271</v>
      </c>
      <c r="AD45" s="8">
        <f>S45*Y45</f>
        <v>223.31665737085774</v>
      </c>
      <c r="AE45" s="4">
        <f t="shared" si="20"/>
        <v>24.812961930095305</v>
      </c>
      <c r="AF45" s="4">
        <f t="shared" si="21"/>
        <v>24.812961930095305</v>
      </c>
      <c r="AG45" s="6">
        <f>AA45-AA3</f>
        <v>-0.27788701483865497</v>
      </c>
      <c r="AH45" s="6">
        <f>AD45-AD3</f>
        <v>-12.304351775015533</v>
      </c>
    </row>
    <row r="46" spans="1:34">
      <c r="A46" s="3" t="s">
        <v>44</v>
      </c>
      <c r="B46" s="3">
        <v>20.3</v>
      </c>
      <c r="C46" s="1"/>
      <c r="H46" s="31">
        <f>1/R46*100</f>
        <v>38.064967337279441</v>
      </c>
      <c r="I46" s="1">
        <v>0.1</v>
      </c>
      <c r="J46" s="1">
        <v>0.1</v>
      </c>
      <c r="K46" s="4">
        <f>H46*I46</f>
        <v>3.8064967337279443</v>
      </c>
      <c r="L46" s="4">
        <f>H46*J46</f>
        <v>3.8064967337279443</v>
      </c>
      <c r="M46" s="1"/>
      <c r="N46" s="1"/>
      <c r="O46" s="1"/>
      <c r="P46" s="1"/>
      <c r="R46" s="31">
        <f>[1]GridE!$D$5</f>
        <v>2.6270875031610403</v>
      </c>
      <c r="S46" s="31">
        <f>[1]GridE!$D$9</f>
        <v>156.45396759602423</v>
      </c>
      <c r="T46" s="4"/>
      <c r="U46" s="4">
        <v>0.26</v>
      </c>
      <c r="V46" s="4">
        <v>2.48</v>
      </c>
      <c r="W46" s="4">
        <v>0.11</v>
      </c>
      <c r="X46" s="122">
        <f t="shared" ref="X46:X49" si="49">X45</f>
        <v>0.2857142857142857</v>
      </c>
      <c r="Y46" s="4">
        <f t="shared" si="39"/>
        <v>0.71885714285714286</v>
      </c>
      <c r="AA46" s="7">
        <f t="shared" si="17"/>
        <v>1.8885006165580507</v>
      </c>
      <c r="AB46" s="6">
        <f t="shared" si="18"/>
        <v>0.20983340183978341</v>
      </c>
      <c r="AC46" s="6">
        <f t="shared" si="19"/>
        <v>0.20983340183978344</v>
      </c>
      <c r="AD46" s="8">
        <f>S46*Y46</f>
        <v>112.46805213474198</v>
      </c>
      <c r="AE46" s="4">
        <f t="shared" si="20"/>
        <v>12.496450237193555</v>
      </c>
      <c r="AF46" s="4">
        <f t="shared" si="21"/>
        <v>12.496450237193553</v>
      </c>
      <c r="AG46" s="6">
        <f>AA46-AA3</f>
        <v>-1.3361585542768484</v>
      </c>
      <c r="AH46" s="6">
        <f>AD46-AD3</f>
        <v>-123.15295701113129</v>
      </c>
    </row>
    <row r="47" spans="1:34">
      <c r="A47" s="3" t="s">
        <v>45</v>
      </c>
      <c r="B47" s="3">
        <v>20.3</v>
      </c>
      <c r="C47" s="4"/>
      <c r="H47" s="31">
        <f>T47</f>
        <v>15.873015873015873</v>
      </c>
      <c r="I47" s="1">
        <v>0.1</v>
      </c>
      <c r="J47" s="1">
        <v>0.1</v>
      </c>
      <c r="K47" s="4">
        <f>H47*I47</f>
        <v>1.5873015873015874</v>
      </c>
      <c r="L47" s="4">
        <f>H47*J47</f>
        <v>1.5873015873015874</v>
      </c>
      <c r="R47" s="31">
        <f>[1]GridE!$F$5</f>
        <v>6.3E-2</v>
      </c>
      <c r="S47" s="31">
        <f>[1]GridE!$F$9</f>
        <v>6.5</v>
      </c>
      <c r="T47" s="4">
        <f>1/R47</f>
        <v>15.873015873015873</v>
      </c>
      <c r="U47" s="4">
        <v>5.1999999999999998E-2</v>
      </c>
      <c r="V47" s="4">
        <v>5.0000000000000001E-3</v>
      </c>
      <c r="W47" s="4">
        <v>6.0000000000000001E-3</v>
      </c>
      <c r="X47" s="122">
        <f t="shared" si="49"/>
        <v>0.2857142857142857</v>
      </c>
      <c r="Y47" s="4">
        <f t="shared" si="39"/>
        <v>0.71885714285714286</v>
      </c>
      <c r="AA47" s="7">
        <f t="shared" si="17"/>
        <v>4.5288000000000002E-2</v>
      </c>
      <c r="AB47" s="6">
        <f t="shared" si="18"/>
        <v>5.0320000000000009E-3</v>
      </c>
      <c r="AC47" s="6">
        <f t="shared" si="19"/>
        <v>5.032E-3</v>
      </c>
      <c r="AD47" s="8">
        <f t="shared" si="22"/>
        <v>4.6725714285714286</v>
      </c>
      <c r="AE47" s="4">
        <f t="shared" si="20"/>
        <v>0.51917460317460318</v>
      </c>
      <c r="AF47" s="4">
        <f t="shared" si="21"/>
        <v>0.51917460317460318</v>
      </c>
      <c r="AG47" s="6">
        <f>AA47-AA3</f>
        <v>-3.1793711708348988</v>
      </c>
      <c r="AH47" s="6">
        <f>AD47-AD3</f>
        <v>-230.94843771730186</v>
      </c>
    </row>
    <row r="48" spans="1:34">
      <c r="A48" s="3" t="s">
        <v>46</v>
      </c>
      <c r="B48" s="3">
        <v>20.3</v>
      </c>
      <c r="H48" s="30" t="s">
        <v>143</v>
      </c>
      <c r="R48" s="31">
        <f>[1]GridE!$H$5</f>
        <v>0</v>
      </c>
      <c r="S48" s="31">
        <f>[1]GridE!$H$9</f>
        <v>5</v>
      </c>
      <c r="T48" s="3"/>
      <c r="U48" s="4">
        <v>0</v>
      </c>
      <c r="V48" s="4">
        <v>0</v>
      </c>
      <c r="W48" s="4">
        <v>0</v>
      </c>
      <c r="X48" s="122">
        <f t="shared" si="49"/>
        <v>0.2857142857142857</v>
      </c>
      <c r="Y48" s="4">
        <f t="shared" si="39"/>
        <v>0.71885714285714286</v>
      </c>
      <c r="AA48" s="7">
        <f t="shared" si="17"/>
        <v>0</v>
      </c>
      <c r="AB48" s="6">
        <f t="shared" si="18"/>
        <v>0</v>
      </c>
      <c r="AC48" s="6">
        <f t="shared" si="19"/>
        <v>0</v>
      </c>
      <c r="AD48" s="8">
        <f t="shared" si="22"/>
        <v>3.5942857142857143</v>
      </c>
      <c r="AE48" s="4">
        <f t="shared" si="20"/>
        <v>0</v>
      </c>
      <c r="AF48" s="4">
        <f t="shared" si="21"/>
        <v>0</v>
      </c>
      <c r="AG48" s="6">
        <f>AA48-AA3</f>
        <v>-3.2246591708348991</v>
      </c>
      <c r="AH48" s="6">
        <f>AD48-AD3</f>
        <v>-232.02672343158756</v>
      </c>
    </row>
    <row r="49" spans="1:36">
      <c r="A49" s="3" t="s">
        <v>47</v>
      </c>
      <c r="B49" s="3">
        <v>20.3</v>
      </c>
      <c r="C49" s="4"/>
      <c r="H49" s="31">
        <f>T49</f>
        <v>13.157894736842106</v>
      </c>
      <c r="I49" s="1">
        <v>0.1</v>
      </c>
      <c r="J49" s="1">
        <v>0.1</v>
      </c>
      <c r="K49" s="4">
        <f>H49*I49</f>
        <v>1.3157894736842106</v>
      </c>
      <c r="L49" s="4">
        <f>H49*J49</f>
        <v>1.3157894736842106</v>
      </c>
      <c r="R49" s="31">
        <f>[1]GridE!$G$5</f>
        <v>7.5999999999999998E-2</v>
      </c>
      <c r="S49" s="31">
        <f>[1]GridE!$G$9</f>
        <v>5.8</v>
      </c>
      <c r="T49" s="4">
        <f>1/R49</f>
        <v>13.157894736842106</v>
      </c>
      <c r="U49" s="4">
        <v>0.01</v>
      </c>
      <c r="V49" s="4">
        <v>2E-3</v>
      </c>
      <c r="W49" s="4">
        <v>6.4000000000000001E-2</v>
      </c>
      <c r="X49" s="122">
        <f t="shared" si="49"/>
        <v>0.2857142857142857</v>
      </c>
      <c r="Y49" s="4">
        <f t="shared" si="39"/>
        <v>0.71885714285714286</v>
      </c>
      <c r="AA49" s="7">
        <f>R49*Y49</f>
        <v>5.4633142857142859E-2</v>
      </c>
      <c r="AB49" s="6">
        <f t="shared" si="18"/>
        <v>6.0703492063492069E-3</v>
      </c>
      <c r="AC49" s="6">
        <f t="shared" si="19"/>
        <v>6.070349206349206E-3</v>
      </c>
      <c r="AD49" s="8">
        <f t="shared" si="22"/>
        <v>4.1693714285714281</v>
      </c>
      <c r="AE49" s="4">
        <f t="shared" si="20"/>
        <v>0.46326349206349204</v>
      </c>
      <c r="AF49" s="4">
        <f t="shared" si="21"/>
        <v>0.46326349206349204</v>
      </c>
      <c r="AG49" s="6">
        <f>AA49-AA3</f>
        <v>-3.1700260279777561</v>
      </c>
      <c r="AH49" s="6">
        <f>AD49-AD3</f>
        <v>-231.45163771730185</v>
      </c>
    </row>
    <row r="50" spans="1:36">
      <c r="H50" s="31"/>
      <c r="U50" s="4"/>
      <c r="V50" s="4"/>
      <c r="W50" s="4"/>
      <c r="Z50" s="4"/>
      <c r="AB50" s="6">
        <f t="shared" si="18"/>
        <v>0</v>
      </c>
      <c r="AC50" s="6">
        <f t="shared" si="19"/>
        <v>0</v>
      </c>
      <c r="AE50" s="4">
        <f t="shared" si="20"/>
        <v>0</v>
      </c>
      <c r="AF50" s="4">
        <f t="shared" si="21"/>
        <v>0</v>
      </c>
      <c r="AH50" s="3"/>
    </row>
    <row r="51" spans="1:36">
      <c r="A51" s="3" t="s">
        <v>48</v>
      </c>
      <c r="C51" s="4"/>
      <c r="D51" s="1" t="s">
        <v>63</v>
      </c>
      <c r="E51" t="s">
        <v>3</v>
      </c>
      <c r="F51" s="2">
        <v>0.37</v>
      </c>
      <c r="G51" s="3" t="s">
        <v>62</v>
      </c>
      <c r="H51" s="31">
        <f>'[1]CtE(CCS)'!$P$22</f>
        <v>28.031052739412171</v>
      </c>
      <c r="I51" s="1">
        <v>0.15</v>
      </c>
      <c r="J51" s="1">
        <v>0.15</v>
      </c>
      <c r="K51" s="4">
        <f>H51*I51</f>
        <v>4.2046579109118252</v>
      </c>
      <c r="L51" s="4">
        <f>H51*J51</f>
        <v>4.2046579109118252</v>
      </c>
      <c r="M51" s="1"/>
      <c r="N51" s="1"/>
      <c r="O51" s="1"/>
      <c r="P51" s="1"/>
      <c r="Q51" s="30">
        <f>'[1]CtE(CCS)'!$M$22</f>
        <v>94.107203795770047</v>
      </c>
      <c r="R51" s="31">
        <f>1/H51*100</f>
        <v>3.5674721506052527</v>
      </c>
      <c r="S51" s="30">
        <f>Q51</f>
        <v>94.107203795770047</v>
      </c>
      <c r="U51" s="4">
        <v>3.05</v>
      </c>
      <c r="V51" s="4">
        <v>0</v>
      </c>
      <c r="W51" s="4">
        <v>0.32</v>
      </c>
      <c r="X51" s="122">
        <f>X39</f>
        <v>0.2857142857142857</v>
      </c>
      <c r="Y51" s="4">
        <f t="shared" si="39"/>
        <v>0.71885714285714286</v>
      </c>
      <c r="Z51" s="4"/>
      <c r="AA51" s="7">
        <f>R51*Y51</f>
        <v>2.5645028374065189</v>
      </c>
      <c r="AB51" s="6">
        <f t="shared" si="18"/>
        <v>0.45255932424820922</v>
      </c>
      <c r="AC51" s="6">
        <f t="shared" si="19"/>
        <v>0.45255932424820922</v>
      </c>
      <c r="AD51" s="8">
        <f t="shared" si="22"/>
        <v>67.649635642902126</v>
      </c>
      <c r="AE51" s="4">
        <f t="shared" si="20"/>
        <v>11.938170995806258</v>
      </c>
      <c r="AF51" s="4">
        <f t="shared" si="21"/>
        <v>11.938170995806258</v>
      </c>
      <c r="AG51" s="6">
        <f>AA51-AA3</f>
        <v>-0.6601563334283802</v>
      </c>
      <c r="AH51" s="6">
        <f>AD51-AD3</f>
        <v>-167.97137350297115</v>
      </c>
    </row>
    <row r="52" spans="1:36" s="3" customFormat="1">
      <c r="C52" s="4"/>
      <c r="D52" s="1"/>
      <c r="F52" s="2"/>
      <c r="H52" s="31"/>
      <c r="I52" s="1"/>
      <c r="J52" s="1"/>
      <c r="K52" s="4"/>
      <c r="L52" s="4"/>
      <c r="M52" s="1"/>
      <c r="N52" s="1"/>
      <c r="O52" s="1"/>
      <c r="P52" s="1"/>
      <c r="Q52" s="30"/>
      <c r="R52" s="31"/>
      <c r="S52" s="30"/>
      <c r="U52" s="4"/>
      <c r="V52" s="4"/>
      <c r="W52" s="4"/>
      <c r="X52" s="122"/>
      <c r="Y52" s="4"/>
      <c r="Z52" s="4"/>
      <c r="AA52" s="7"/>
      <c r="AB52" s="6"/>
      <c r="AC52" s="6"/>
      <c r="AD52" s="8"/>
      <c r="AE52" s="4"/>
      <c r="AF52" s="4"/>
      <c r="AG52" s="6"/>
      <c r="AH52" s="6"/>
    </row>
    <row r="53" spans="1:36" s="3" customFormat="1">
      <c r="A53" s="3" t="s">
        <v>132</v>
      </c>
      <c r="C53" s="4" t="s">
        <v>137</v>
      </c>
      <c r="D53" s="1"/>
      <c r="F53" s="2"/>
      <c r="H53" s="32"/>
      <c r="I53" s="1"/>
      <c r="J53" s="1"/>
      <c r="K53" s="4"/>
      <c r="L53" s="4"/>
      <c r="M53" s="1"/>
      <c r="N53" s="1"/>
      <c r="O53" s="1"/>
      <c r="P53" s="1"/>
      <c r="Q53" s="30"/>
      <c r="R53" s="31">
        <f>0.95*R44+0.04*R48+0.01*0</f>
        <v>3.026476787675112</v>
      </c>
      <c r="S53" s="31">
        <f>0.95*S44+0.04*S48+0.01*0</f>
        <v>275.28014285647231</v>
      </c>
      <c r="U53" s="4"/>
      <c r="V53" s="4"/>
      <c r="W53" s="4"/>
      <c r="X53" s="122">
        <f>X51</f>
        <v>0.2857142857142857</v>
      </c>
      <c r="Y53" s="4">
        <f t="shared" si="39"/>
        <v>0.71885714285714286</v>
      </c>
      <c r="Z53" s="4"/>
      <c r="AA53" s="7">
        <f t="shared" ref="AA53:AA58" si="50">R53*Y53</f>
        <v>2.1756044565115946</v>
      </c>
      <c r="AB53" s="6"/>
      <c r="AC53" s="6"/>
      <c r="AD53" s="8">
        <f>S53*Y53</f>
        <v>197.8870969791098</v>
      </c>
      <c r="AE53" s="4"/>
      <c r="AF53" s="4"/>
      <c r="AG53" s="6"/>
      <c r="AH53" s="6"/>
    </row>
    <row r="54" spans="1:36" s="3" customFormat="1">
      <c r="A54" s="3" t="s">
        <v>131</v>
      </c>
      <c r="C54" s="4" t="s">
        <v>138</v>
      </c>
      <c r="D54" s="1"/>
      <c r="F54" s="2"/>
      <c r="H54" s="31"/>
      <c r="I54" s="1"/>
      <c r="J54" s="1"/>
      <c r="K54" s="4"/>
      <c r="L54" s="4"/>
      <c r="M54" s="1"/>
      <c r="N54" s="1"/>
      <c r="O54" s="1"/>
      <c r="P54" s="1"/>
      <c r="Q54" s="30"/>
      <c r="R54" s="31">
        <f>0.98*R44+0.01*R48+0.01*0</f>
        <v>3.1220497388648525</v>
      </c>
      <c r="S54" s="31">
        <f>0.98*S44+0.01*S48+0.01*0</f>
        <v>283.8168842098346</v>
      </c>
      <c r="U54" s="4"/>
      <c r="V54" s="4"/>
      <c r="W54" s="4"/>
      <c r="X54" s="122">
        <f>X53</f>
        <v>0.2857142857142857</v>
      </c>
      <c r="Y54" s="4">
        <f t="shared" si="39"/>
        <v>0.71885714285714286</v>
      </c>
      <c r="Z54" s="4"/>
      <c r="AA54" s="7">
        <f t="shared" si="50"/>
        <v>2.2443077551382768</v>
      </c>
      <c r="AB54" s="6"/>
      <c r="AC54" s="6"/>
      <c r="AD54" s="8">
        <f>S54*Y54</f>
        <v>204.02379447769823</v>
      </c>
      <c r="AE54" s="4"/>
      <c r="AF54" s="4"/>
      <c r="AG54" s="6"/>
      <c r="AH54" s="6"/>
    </row>
    <row r="55" spans="1:36" s="3" customFormat="1">
      <c r="A55" s="3" t="s">
        <v>135</v>
      </c>
      <c r="C55" s="4" t="s">
        <v>139</v>
      </c>
      <c r="D55" s="1"/>
      <c r="F55" s="2"/>
      <c r="H55" s="31"/>
      <c r="I55" s="1"/>
      <c r="J55" s="1"/>
      <c r="K55" s="4"/>
      <c r="L55" s="4"/>
      <c r="M55" s="1"/>
      <c r="N55" s="1"/>
      <c r="O55" s="1"/>
      <c r="P55" s="1"/>
      <c r="Q55" s="30"/>
      <c r="R55" s="31">
        <f>0.77*R44+0.22*R48+0.01*0</f>
        <v>2.4530390805366697</v>
      </c>
      <c r="S55" s="31">
        <f>0.77*S44+0.22*S48+0.01*0</f>
        <v>224.05969473629861</v>
      </c>
      <c r="U55" s="4"/>
      <c r="V55" s="4"/>
      <c r="W55" s="4"/>
      <c r="X55" s="122">
        <f t="shared" ref="X55:X58" si="51">X54</f>
        <v>0.2857142857142857</v>
      </c>
      <c r="Y55" s="4">
        <f t="shared" si="39"/>
        <v>0.71885714285714286</v>
      </c>
      <c r="Z55" s="4"/>
      <c r="AA55" s="7">
        <f t="shared" si="50"/>
        <v>1.7633846647515032</v>
      </c>
      <c r="AB55" s="6"/>
      <c r="AC55" s="6"/>
      <c r="AD55" s="8">
        <f t="shared" ref="AD55:AD58" si="52">S55*Y55</f>
        <v>161.06691198757923</v>
      </c>
      <c r="AE55" s="4"/>
      <c r="AF55" s="4"/>
      <c r="AG55" s="6"/>
      <c r="AH55" s="6"/>
    </row>
    <row r="56" spans="1:36" s="3" customFormat="1">
      <c r="A56" s="3" t="s">
        <v>133</v>
      </c>
      <c r="C56" s="4" t="s">
        <v>140</v>
      </c>
      <c r="D56" s="1"/>
      <c r="F56" s="2"/>
      <c r="H56" s="31"/>
      <c r="I56" s="1"/>
      <c r="J56" s="1"/>
      <c r="K56" s="4"/>
      <c r="L56" s="4"/>
      <c r="M56" s="1"/>
      <c r="N56" s="1"/>
      <c r="O56" s="1"/>
      <c r="P56" s="1"/>
      <c r="Q56" s="30"/>
      <c r="R56" s="31">
        <f>0.74*R44+0.26*R48</f>
        <v>2.3574661293469297</v>
      </c>
      <c r="S56" s="31">
        <f>0.74*S44+0.26*S48</f>
        <v>215.57295338293633</v>
      </c>
      <c r="U56" s="4"/>
      <c r="V56" s="4"/>
      <c r="W56" s="4"/>
      <c r="X56" s="122">
        <f t="shared" si="51"/>
        <v>0.2857142857142857</v>
      </c>
      <c r="Y56" s="4">
        <f t="shared" si="39"/>
        <v>0.71885714285714286</v>
      </c>
      <c r="Z56" s="4"/>
      <c r="AA56" s="7">
        <f t="shared" si="50"/>
        <v>1.6946813661248215</v>
      </c>
      <c r="AB56" s="6"/>
      <c r="AC56" s="6"/>
      <c r="AD56" s="8">
        <f t="shared" si="52"/>
        <v>154.96615734613366</v>
      </c>
      <c r="AE56" s="4"/>
      <c r="AF56" s="4"/>
      <c r="AG56" s="6"/>
      <c r="AH56" s="6"/>
    </row>
    <row r="57" spans="1:36" s="3" customFormat="1">
      <c r="A57" s="3" t="s">
        <v>136</v>
      </c>
      <c r="C57" s="4" t="s">
        <v>142</v>
      </c>
      <c r="D57" s="1"/>
      <c r="F57" s="2"/>
      <c r="H57" s="31"/>
      <c r="I57" s="1"/>
      <c r="J57" s="1"/>
      <c r="K57" s="4"/>
      <c r="L57" s="4"/>
      <c r="M57" s="1"/>
      <c r="N57" s="1"/>
      <c r="O57" s="1"/>
      <c r="P57" s="1"/>
      <c r="Q57" s="30"/>
      <c r="R57" s="31">
        <f>0.88*R44+0.07*R48+0.05*R47</f>
        <v>2.8066232348990514</v>
      </c>
      <c r="S57" s="31">
        <f>0.88*S44+0.07*S48+0.05*S47</f>
        <v>255.48607969862695</v>
      </c>
      <c r="U57" s="4"/>
      <c r="V57" s="4"/>
      <c r="W57" s="4"/>
      <c r="X57" s="122">
        <f t="shared" si="51"/>
        <v>0.2857142857142857</v>
      </c>
      <c r="Y57" s="4">
        <f t="shared" si="39"/>
        <v>0.71885714285714286</v>
      </c>
      <c r="Z57" s="4"/>
      <c r="AA57" s="7">
        <f t="shared" si="50"/>
        <v>2.0175611597160037</v>
      </c>
      <c r="AB57" s="6"/>
      <c r="AC57" s="6"/>
      <c r="AD57" s="8">
        <f t="shared" si="52"/>
        <v>183.65799329192726</v>
      </c>
      <c r="AE57" s="4"/>
      <c r="AF57" s="4"/>
      <c r="AG57" s="6"/>
      <c r="AH57" s="6"/>
    </row>
    <row r="58" spans="1:36" s="3" customFormat="1">
      <c r="A58" s="3" t="s">
        <v>134</v>
      </c>
      <c r="C58" s="4" t="s">
        <v>141</v>
      </c>
      <c r="D58" s="1"/>
      <c r="F58" s="2"/>
      <c r="H58" s="31"/>
      <c r="I58" s="1"/>
      <c r="J58" s="1"/>
      <c r="K58" s="4"/>
      <c r="L58" s="4"/>
      <c r="M58" s="1"/>
      <c r="N58" s="1"/>
      <c r="O58" s="1"/>
      <c r="P58" s="1"/>
      <c r="Q58" s="30"/>
      <c r="R58" s="31">
        <f>0.65*R44+0.3*R48+0.05*R47</f>
        <v>2.0738972757777088</v>
      </c>
      <c r="S58" s="31">
        <f>0.65*S44+0.3*S48+0.05*S47</f>
        <v>190.03772932284946</v>
      </c>
      <c r="U58" s="4"/>
      <c r="V58" s="4"/>
      <c r="W58" s="4"/>
      <c r="X58" s="122">
        <f t="shared" si="51"/>
        <v>0.2857142857142857</v>
      </c>
      <c r="Y58" s="4">
        <f t="shared" si="39"/>
        <v>0.71885714285714286</v>
      </c>
      <c r="Z58" s="4"/>
      <c r="AA58" s="7">
        <f t="shared" si="50"/>
        <v>1.4908358702447757</v>
      </c>
      <c r="AB58" s="6"/>
      <c r="AC58" s="6"/>
      <c r="AD58" s="8">
        <f t="shared" si="52"/>
        <v>136.60997913608264</v>
      </c>
      <c r="AE58" s="4"/>
      <c r="AF58" s="4"/>
      <c r="AG58" s="6"/>
      <c r="AH58" s="6"/>
    </row>
    <row r="59" spans="1:36">
      <c r="H59" s="30" t="s">
        <v>61</v>
      </c>
      <c r="U59" s="5" t="s">
        <v>7</v>
      </c>
      <c r="V59" s="5" t="s">
        <v>8</v>
      </c>
      <c r="W59" s="5" t="s">
        <v>9</v>
      </c>
      <c r="AB59" s="6">
        <f t="shared" si="18"/>
        <v>0</v>
      </c>
      <c r="AC59" s="6">
        <f t="shared" si="19"/>
        <v>0</v>
      </c>
      <c r="AE59" s="4">
        <f t="shared" si="20"/>
        <v>0</v>
      </c>
      <c r="AF59" s="4">
        <f t="shared" si="21"/>
        <v>0</v>
      </c>
    </row>
    <row r="60" spans="1:36" s="46" customFormat="1">
      <c r="A60" s="46" t="s">
        <v>49</v>
      </c>
      <c r="C60" s="47"/>
      <c r="D60" s="46" t="s">
        <v>64</v>
      </c>
      <c r="H60" s="48">
        <f>1/R60</f>
        <v>0.53246180466874282</v>
      </c>
      <c r="I60" s="49">
        <v>0.1</v>
      </c>
      <c r="J60" s="49">
        <v>0.1</v>
      </c>
      <c r="K60" s="47">
        <f t="shared" ref="K60:K65" si="53">H60*I60</f>
        <v>5.3246180466874286E-2</v>
      </c>
      <c r="L60" s="47">
        <f t="shared" ref="L60:L65" si="54">H60*J60</f>
        <v>5.3246180466874286E-2</v>
      </c>
      <c r="M60" s="49">
        <f>H60</f>
        <v>0.53246180466874282</v>
      </c>
      <c r="N60" s="49"/>
      <c r="O60" s="49"/>
      <c r="P60" s="49"/>
      <c r="Q60" s="50"/>
      <c r="R60" s="48">
        <v>1.8780689830364901</v>
      </c>
      <c r="S60" s="48">
        <v>127.17105074252038</v>
      </c>
      <c r="U60" s="51">
        <v>0.32777935620002785</v>
      </c>
      <c r="V60" s="51">
        <v>0.11896737517669516</v>
      </c>
      <c r="W60" s="51">
        <v>1.4313222516597719</v>
      </c>
      <c r="X60" s="124">
        <f>PTW!C25</f>
        <v>0.43478261770958732</v>
      </c>
      <c r="Y60" s="47">
        <f t="shared" si="39"/>
        <v>1.0939130661573218</v>
      </c>
      <c r="AA60" s="52">
        <f t="shared" si="17"/>
        <v>2.05444419968841</v>
      </c>
      <c r="AB60" s="52">
        <f t="shared" si="18"/>
        <v>0.22827157774315668</v>
      </c>
      <c r="AC60" s="52">
        <f t="shared" si="19"/>
        <v>0.22827157774315665</v>
      </c>
      <c r="AD60" s="47">
        <f t="shared" si="22"/>
        <v>139.11407404419882</v>
      </c>
      <c r="AE60" s="47">
        <f t="shared" si="20"/>
        <v>15.457119338244313</v>
      </c>
      <c r="AF60" s="47">
        <f t="shared" si="21"/>
        <v>15.457119338244315</v>
      </c>
      <c r="AI60" s="52">
        <f>AA60-AA9</f>
        <v>-0.8536975010800032</v>
      </c>
      <c r="AJ60" s="52">
        <f>AD60-AD9</f>
        <v>-73.290754546390104</v>
      </c>
    </row>
    <row r="61" spans="1:36" s="46" customFormat="1">
      <c r="A61" s="53" t="s">
        <v>50</v>
      </c>
      <c r="B61" s="53"/>
      <c r="C61" s="47"/>
      <c r="H61" s="48">
        <f t="shared" ref="H61:H71" si="55">1/R61</f>
        <v>0.39704820534628349</v>
      </c>
      <c r="I61" s="49">
        <v>0.1</v>
      </c>
      <c r="J61" s="49">
        <v>0.1</v>
      </c>
      <c r="K61" s="47">
        <f t="shared" si="53"/>
        <v>3.970482053462835E-2</v>
      </c>
      <c r="L61" s="47">
        <f t="shared" si="54"/>
        <v>3.970482053462835E-2</v>
      </c>
      <c r="M61" s="49">
        <f>H61</f>
        <v>0.39704820534628349</v>
      </c>
      <c r="N61" s="49"/>
      <c r="O61" s="49"/>
      <c r="P61" s="49"/>
      <c r="Q61" s="50"/>
      <c r="R61" s="48">
        <v>2.518585870770667</v>
      </c>
      <c r="S61" s="48">
        <v>227.64705238343379</v>
      </c>
      <c r="U61" s="51">
        <v>2.2738890239150558</v>
      </c>
      <c r="V61" s="51">
        <v>0.24101031241175599</v>
      </c>
      <c r="W61" s="51">
        <v>3.6865344438549046E-3</v>
      </c>
      <c r="X61" s="124">
        <f>X60</f>
        <v>0.43478261770958732</v>
      </c>
      <c r="Y61" s="47">
        <f t="shared" si="39"/>
        <v>1.0939130661573218</v>
      </c>
      <c r="AA61" s="52">
        <f t="shared" si="17"/>
        <v>2.7551139922752483</v>
      </c>
      <c r="AB61" s="52">
        <f t="shared" si="18"/>
        <v>0.30612377691947207</v>
      </c>
      <c r="AC61" s="52">
        <f t="shared" si="19"/>
        <v>0.30612377691947201</v>
      </c>
      <c r="AD61" s="47">
        <f t="shared" si="22"/>
        <v>249.0260850744385</v>
      </c>
      <c r="AE61" s="47">
        <f t="shared" si="20"/>
        <v>27.669565008270947</v>
      </c>
      <c r="AF61" s="47">
        <f t="shared" si="21"/>
        <v>27.669565008270943</v>
      </c>
      <c r="AI61" s="52">
        <f>AA61-AA9</f>
        <v>-0.15302770849316483</v>
      </c>
      <c r="AJ61" s="52">
        <f>AD61-AD9</f>
        <v>36.621256483849578</v>
      </c>
    </row>
    <row r="62" spans="1:36" s="46" customFormat="1">
      <c r="A62" s="53" t="s">
        <v>51</v>
      </c>
      <c r="B62" s="53"/>
      <c r="C62" s="47"/>
      <c r="H62" s="48">
        <f t="shared" si="55"/>
        <v>0.25663348046043344</v>
      </c>
      <c r="I62" s="49">
        <v>0.1</v>
      </c>
      <c r="J62" s="49">
        <v>0.1</v>
      </c>
      <c r="K62" s="47">
        <f t="shared" si="53"/>
        <v>2.5663348046043345E-2</v>
      </c>
      <c r="L62" s="47">
        <f t="shared" si="54"/>
        <v>2.5663348046043345E-2</v>
      </c>
      <c r="M62" s="49">
        <f>H62</f>
        <v>0.25663348046043344</v>
      </c>
      <c r="N62" s="49"/>
      <c r="O62" s="49"/>
      <c r="P62" s="49"/>
      <c r="Q62" s="50"/>
      <c r="R62" s="48">
        <v>3.8966077154308612</v>
      </c>
      <c r="S62" s="48">
        <v>396.85943102421049</v>
      </c>
      <c r="U62" s="51">
        <v>3.4286948491577744</v>
      </c>
      <c r="V62" s="51">
        <v>0.43991807940204725</v>
      </c>
      <c r="W62" s="51">
        <v>2.7994786871039373E-2</v>
      </c>
      <c r="X62" s="124">
        <f t="shared" ref="X62:X65" si="56">X61</f>
        <v>0.43478261770958732</v>
      </c>
      <c r="Y62" s="47">
        <f t="shared" si="39"/>
        <v>1.0939130661573218</v>
      </c>
      <c r="AA62" s="52">
        <f t="shared" si="17"/>
        <v>4.2625500935992502</v>
      </c>
      <c r="AB62" s="52">
        <f t="shared" si="18"/>
        <v>0.47361667706658339</v>
      </c>
      <c r="AC62" s="52">
        <f t="shared" si="19"/>
        <v>0.47361667706658339</v>
      </c>
      <c r="AD62" s="47">
        <f t="shared" si="22"/>
        <v>434.12971702514426</v>
      </c>
      <c r="AE62" s="47">
        <f t="shared" si="20"/>
        <v>48.23663522501603</v>
      </c>
      <c r="AF62" s="47">
        <f t="shared" si="21"/>
        <v>48.23663522501603</v>
      </c>
      <c r="AI62" s="52">
        <f>AA62-AA9</f>
        <v>1.354408392830837</v>
      </c>
      <c r="AJ62" s="52">
        <f>AD62-AD9</f>
        <v>221.72488843455534</v>
      </c>
    </row>
    <row r="63" spans="1:36" s="46" customFormat="1">
      <c r="A63" s="53" t="s">
        <v>52</v>
      </c>
      <c r="B63" s="53"/>
      <c r="C63" s="47"/>
      <c r="H63" s="48">
        <f t="shared" si="55"/>
        <v>3.3681129178042535</v>
      </c>
      <c r="I63" s="49">
        <v>0.1</v>
      </c>
      <c r="J63" s="49">
        <v>0.1</v>
      </c>
      <c r="K63" s="47">
        <f t="shared" si="53"/>
        <v>0.33681129178042535</v>
      </c>
      <c r="L63" s="47">
        <f t="shared" si="54"/>
        <v>0.33681129178042535</v>
      </c>
      <c r="M63" s="49"/>
      <c r="N63" s="49"/>
      <c r="O63" s="49"/>
      <c r="P63" s="49"/>
      <c r="Q63" s="50"/>
      <c r="R63" s="48">
        <v>0.29690215987530544</v>
      </c>
      <c r="S63" s="48">
        <v>28.891586579766056</v>
      </c>
      <c r="U63" s="51">
        <v>0.22080596026888544</v>
      </c>
      <c r="V63" s="51">
        <v>7.2929190513158368E-2</v>
      </c>
      <c r="W63" s="51">
        <v>3.167009093261593E-3</v>
      </c>
      <c r="X63" s="124">
        <f t="shared" si="56"/>
        <v>0.43478261770958732</v>
      </c>
      <c r="Y63" s="47">
        <f t="shared" si="39"/>
        <v>1.0939130661573218</v>
      </c>
      <c r="AA63" s="52">
        <f t="shared" si="17"/>
        <v>0.32478515205792674</v>
      </c>
      <c r="AB63" s="52">
        <f t="shared" si="18"/>
        <v>3.6087239117547416E-2</v>
      </c>
      <c r="AC63" s="52">
        <f t="shared" si="19"/>
        <v>3.6087239117547416E-2</v>
      </c>
      <c r="AD63" s="47">
        <f t="shared" si="22"/>
        <v>31.604884061621615</v>
      </c>
      <c r="AE63" s="47">
        <f t="shared" si="20"/>
        <v>3.5116537846246243</v>
      </c>
      <c r="AF63" s="47">
        <f t="shared" si="21"/>
        <v>3.5116537846246239</v>
      </c>
      <c r="AI63" s="52">
        <f>AA63-AA9</f>
        <v>-2.5833565487104866</v>
      </c>
      <c r="AJ63" s="52">
        <f>AD63-AD9</f>
        <v>-180.7999445289673</v>
      </c>
    </row>
    <row r="64" spans="1:36" s="46" customFormat="1">
      <c r="A64" s="53" t="s">
        <v>53</v>
      </c>
      <c r="B64" s="53"/>
      <c r="C64" s="47"/>
      <c r="H64" s="48">
        <f t="shared" si="55"/>
        <v>3.5342105008998197</v>
      </c>
      <c r="I64" s="49">
        <v>0.1</v>
      </c>
      <c r="J64" s="49">
        <v>0.1</v>
      </c>
      <c r="K64" s="47">
        <f t="shared" si="53"/>
        <v>0.35342105008998198</v>
      </c>
      <c r="L64" s="47">
        <f t="shared" si="54"/>
        <v>0.35342105008998198</v>
      </c>
      <c r="M64" s="47"/>
      <c r="N64" s="47"/>
      <c r="O64" s="47"/>
      <c r="P64" s="47"/>
      <c r="Q64" s="50"/>
      <c r="R64" s="48">
        <v>0.28294862452177005</v>
      </c>
      <c r="S64" s="48">
        <v>24.774521933301411</v>
      </c>
      <c r="U64" s="51">
        <v>0.2467857582486834</v>
      </c>
      <c r="V64" s="51">
        <v>3.1236261220229069E-2</v>
      </c>
      <c r="W64" s="51">
        <v>4.9266050528575522E-3</v>
      </c>
      <c r="X64" s="124">
        <f t="shared" si="56"/>
        <v>0.43478261770958732</v>
      </c>
      <c r="Y64" s="47">
        <f t="shared" si="39"/>
        <v>1.0939130661573218</v>
      </c>
      <c r="AA64" s="52">
        <f t="shared" si="17"/>
        <v>0.30952119741560624</v>
      </c>
      <c r="AB64" s="52">
        <f t="shared" si="18"/>
        <v>3.4391244157289586E-2</v>
      </c>
      <c r="AC64" s="52">
        <f t="shared" si="19"/>
        <v>3.4391244157289586E-2</v>
      </c>
      <c r="AD64" s="47">
        <f t="shared" si="22"/>
        <v>27.101173250639565</v>
      </c>
      <c r="AE64" s="47">
        <f t="shared" si="20"/>
        <v>3.0112414722932854</v>
      </c>
      <c r="AF64" s="47">
        <f t="shared" si="21"/>
        <v>3.011241472293285</v>
      </c>
      <c r="AI64" s="52">
        <f>AA64-AA9</f>
        <v>-2.5986205033528069</v>
      </c>
      <c r="AJ64" s="52">
        <f>AD64-AD9</f>
        <v>-185.30365533994936</v>
      </c>
    </row>
    <row r="65" spans="1:36" s="46" customFormat="1">
      <c r="A65" s="53" t="s">
        <v>54</v>
      </c>
      <c r="B65" s="53"/>
      <c r="C65" s="47"/>
      <c r="H65" s="48">
        <f t="shared" si="55"/>
        <v>0.37439751275564598</v>
      </c>
      <c r="I65" s="49">
        <v>0.15</v>
      </c>
      <c r="J65" s="49">
        <v>0.15</v>
      </c>
      <c r="K65" s="47">
        <f t="shared" si="53"/>
        <v>5.6159626913346895E-2</v>
      </c>
      <c r="L65" s="47">
        <f t="shared" si="54"/>
        <v>5.6159626913346895E-2</v>
      </c>
      <c r="M65" s="49">
        <f>H65</f>
        <v>0.37439751275564598</v>
      </c>
      <c r="N65" s="49"/>
      <c r="O65" s="49"/>
      <c r="P65" s="49"/>
      <c r="Q65" s="50"/>
      <c r="R65" s="48">
        <v>2.6709579148637648</v>
      </c>
      <c r="S65" s="48">
        <v>86.157120422268747</v>
      </c>
      <c r="U65" s="51">
        <v>2.4524004693519488</v>
      </c>
      <c r="V65" s="51">
        <v>5.1574455118160696E-3</v>
      </c>
      <c r="W65" s="51">
        <v>0.21340000000000001</v>
      </c>
      <c r="X65" s="124">
        <f t="shared" si="56"/>
        <v>0.43478261770958732</v>
      </c>
      <c r="Y65" s="47">
        <f t="shared" si="39"/>
        <v>1.0939130661573218</v>
      </c>
      <c r="AA65" s="52">
        <f t="shared" si="17"/>
        <v>2.9217957622257877</v>
      </c>
      <c r="AB65" s="52">
        <f t="shared" si="18"/>
        <v>0.51561101686337429</v>
      </c>
      <c r="AC65" s="52">
        <f t="shared" si="19"/>
        <v>0.51561101686337429</v>
      </c>
      <c r="AD65" s="47">
        <f t="shared" si="22"/>
        <v>94.248399772409613</v>
      </c>
      <c r="AE65" s="47">
        <f t="shared" si="20"/>
        <v>16.632070548072285</v>
      </c>
      <c r="AF65" s="47">
        <f t="shared" si="21"/>
        <v>16.632070548072285</v>
      </c>
      <c r="AI65" s="52">
        <f>AA65-AA9</f>
        <v>1.3654061457374578E-2</v>
      </c>
      <c r="AJ65" s="52">
        <f>AD65-AD9</f>
        <v>-118.15642881817931</v>
      </c>
    </row>
    <row r="66" spans="1:36" s="46" customFormat="1">
      <c r="A66" s="53"/>
      <c r="B66" s="53"/>
      <c r="C66" s="47"/>
      <c r="H66" s="48"/>
      <c r="I66" s="47"/>
      <c r="J66" s="47"/>
      <c r="K66" s="47"/>
      <c r="L66" s="47"/>
      <c r="M66" s="47"/>
      <c r="N66" s="47"/>
      <c r="O66" s="47"/>
      <c r="P66" s="47"/>
      <c r="Q66" s="50"/>
      <c r="R66" s="48"/>
      <c r="S66" s="48"/>
      <c r="U66" s="51"/>
      <c r="V66" s="51"/>
      <c r="W66" s="51"/>
      <c r="X66" s="124"/>
      <c r="Y66" s="47"/>
      <c r="AA66" s="52"/>
      <c r="AB66" s="52">
        <f t="shared" si="18"/>
        <v>0</v>
      </c>
      <c r="AC66" s="52">
        <f t="shared" si="19"/>
        <v>0</v>
      </c>
      <c r="AD66" s="47"/>
      <c r="AE66" s="47">
        <f t="shared" si="20"/>
        <v>0</v>
      </c>
      <c r="AF66" s="47">
        <f t="shared" si="21"/>
        <v>0</v>
      </c>
    </row>
    <row r="67" spans="1:36" s="46" customFormat="1">
      <c r="A67" s="53" t="s">
        <v>49</v>
      </c>
      <c r="B67" s="53"/>
      <c r="C67" s="47"/>
      <c r="D67" s="53" t="s">
        <v>65</v>
      </c>
      <c r="H67" s="48">
        <f t="shared" si="55"/>
        <v>0.32575700679343189</v>
      </c>
      <c r="I67" s="49">
        <v>0.1</v>
      </c>
      <c r="J67" s="49">
        <v>0.1</v>
      </c>
      <c r="K67" s="47">
        <f t="shared" ref="K67:K72" si="57">H67*I67</f>
        <v>3.2575700679343192E-2</v>
      </c>
      <c r="L67" s="47">
        <f t="shared" ref="L67:L72" si="58">H67*J67</f>
        <v>3.2575700679343192E-2</v>
      </c>
      <c r="M67" s="49">
        <f>H67</f>
        <v>0.32575700679343189</v>
      </c>
      <c r="N67" s="49"/>
      <c r="O67" s="49"/>
      <c r="P67" s="49"/>
      <c r="Q67" s="50"/>
      <c r="R67" s="48">
        <v>3.069772803487592</v>
      </c>
      <c r="S67" s="48">
        <v>248.36068075117367</v>
      </c>
      <c r="U67" s="51">
        <v>1.3704071093226018</v>
      </c>
      <c r="V67" s="51">
        <v>0.25937525150905422</v>
      </c>
      <c r="W67" s="51">
        <v>1.4399904426559358</v>
      </c>
      <c r="X67" s="124">
        <f>X60</f>
        <v>0.43478261770958732</v>
      </c>
      <c r="Y67" s="47">
        <f t="shared" si="39"/>
        <v>1.0939130661573218</v>
      </c>
      <c r="AA67" s="52">
        <f t="shared" si="17"/>
        <v>3.358064579869469</v>
      </c>
      <c r="AB67" s="52">
        <f t="shared" si="18"/>
        <v>0.37311828665216323</v>
      </c>
      <c r="AC67" s="52">
        <f t="shared" si="19"/>
        <v>0.37311828665216323</v>
      </c>
      <c r="AD67" s="47">
        <f t="shared" si="22"/>
        <v>271.68499379343609</v>
      </c>
      <c r="AE67" s="47">
        <f t="shared" si="20"/>
        <v>30.187221532604013</v>
      </c>
      <c r="AF67" s="47">
        <f t="shared" si="21"/>
        <v>30.187221532604013</v>
      </c>
      <c r="AI67" s="52">
        <f>AA67-AA9</f>
        <v>0.44992287910105588</v>
      </c>
      <c r="AJ67" s="52">
        <f>AD67-AD9</f>
        <v>59.280165202847172</v>
      </c>
    </row>
    <row r="68" spans="1:36" s="46" customFormat="1">
      <c r="A68" s="53" t="s">
        <v>50</v>
      </c>
      <c r="B68" s="53"/>
      <c r="C68" s="47"/>
      <c r="H68" s="48">
        <f t="shared" si="55"/>
        <v>0.26952073374915081</v>
      </c>
      <c r="I68" s="49">
        <v>0.1</v>
      </c>
      <c r="J68" s="49">
        <v>0.1</v>
      </c>
      <c r="K68" s="47">
        <f t="shared" si="57"/>
        <v>2.6952073374915082E-2</v>
      </c>
      <c r="L68" s="47">
        <f t="shared" si="58"/>
        <v>2.6952073374915082E-2</v>
      </c>
      <c r="M68" s="49">
        <f>H68</f>
        <v>0.26952073374915081</v>
      </c>
      <c r="N68" s="49"/>
      <c r="O68" s="49"/>
      <c r="P68" s="49"/>
      <c r="Q68" s="50"/>
      <c r="R68" s="48">
        <v>3.7102896912217638</v>
      </c>
      <c r="S68" s="48">
        <v>348.83668239208708</v>
      </c>
      <c r="U68" s="51">
        <v>3.3165167770376298</v>
      </c>
      <c r="V68" s="51">
        <v>0.38141818874411504</v>
      </c>
      <c r="W68" s="51">
        <v>1.2354725440018748E-2</v>
      </c>
      <c r="X68" s="124">
        <f>X67</f>
        <v>0.43478261770958732</v>
      </c>
      <c r="Y68" s="47">
        <f t="shared" si="39"/>
        <v>1.0939130661573218</v>
      </c>
      <c r="AA68" s="52">
        <f t="shared" si="17"/>
        <v>4.0587343724563025</v>
      </c>
      <c r="AB68" s="52">
        <f t="shared" si="18"/>
        <v>0.4509704858284781</v>
      </c>
      <c r="AC68" s="52">
        <f t="shared" si="19"/>
        <v>0.4509704858284781</v>
      </c>
      <c r="AD68" s="47">
        <f t="shared" si="22"/>
        <v>381.59700482367577</v>
      </c>
      <c r="AE68" s="47">
        <f t="shared" si="20"/>
        <v>42.399667202630646</v>
      </c>
      <c r="AF68" s="47">
        <f t="shared" si="21"/>
        <v>42.399667202630638</v>
      </c>
      <c r="AI68" s="52">
        <f>AA68-AA9</f>
        <v>1.1505926716878894</v>
      </c>
      <c r="AJ68" s="52">
        <f>AD68-AD9</f>
        <v>169.19217623308685</v>
      </c>
    </row>
    <row r="69" spans="1:36" s="46" customFormat="1">
      <c r="A69" s="53" t="s">
        <v>51</v>
      </c>
      <c r="B69" s="53"/>
      <c r="C69" s="47"/>
      <c r="H69" s="48">
        <f t="shared" si="55"/>
        <v>0.1965288471329163</v>
      </c>
      <c r="I69" s="49">
        <v>0.1</v>
      </c>
      <c r="J69" s="49">
        <v>0.1</v>
      </c>
      <c r="K69" s="47">
        <f t="shared" si="57"/>
        <v>1.965288471329163E-2</v>
      </c>
      <c r="L69" s="47">
        <f t="shared" si="58"/>
        <v>1.965288471329163E-2</v>
      </c>
      <c r="M69" s="49">
        <f>H69</f>
        <v>0.1965288471329163</v>
      </c>
      <c r="N69" s="49"/>
      <c r="O69" s="49"/>
      <c r="P69" s="49"/>
      <c r="Q69" s="50"/>
      <c r="R69" s="48">
        <v>5.0883115358819584</v>
      </c>
      <c r="S69" s="48">
        <v>518.04906103286373</v>
      </c>
      <c r="U69" s="51">
        <v>4.4713226022803489</v>
      </c>
      <c r="V69" s="51">
        <v>0.58032595573440626</v>
      </c>
      <c r="W69" s="51">
        <v>3.6662977867203218E-2</v>
      </c>
      <c r="X69" s="124">
        <f t="shared" ref="X69:X72" si="59">X68</f>
        <v>0.43478261770958732</v>
      </c>
      <c r="Y69" s="47">
        <f t="shared" si="39"/>
        <v>1.0939130661573218</v>
      </c>
      <c r="AA69" s="52">
        <f t="shared" si="17"/>
        <v>5.5661704737803044</v>
      </c>
      <c r="AB69" s="52">
        <f t="shared" si="18"/>
        <v>0.61846338597558936</v>
      </c>
      <c r="AC69" s="52">
        <f t="shared" si="19"/>
        <v>0.61846338597558936</v>
      </c>
      <c r="AD69" s="47">
        <f t="shared" si="22"/>
        <v>566.70063677438145</v>
      </c>
      <c r="AE69" s="47">
        <f t="shared" si="20"/>
        <v>62.966737419375718</v>
      </c>
      <c r="AF69" s="47">
        <f t="shared" si="21"/>
        <v>62.966737419375718</v>
      </c>
      <c r="AI69" s="52">
        <f>AA69-AA9</f>
        <v>2.6580287730118912</v>
      </c>
      <c r="AJ69" s="52">
        <f>AD69-AD9</f>
        <v>354.29580818379253</v>
      </c>
    </row>
    <row r="70" spans="1:36" s="46" customFormat="1">
      <c r="A70" s="53" t="s">
        <v>52</v>
      </c>
      <c r="B70" s="53"/>
      <c r="C70" s="47"/>
      <c r="H70" s="48">
        <f t="shared" si="55"/>
        <v>0.67176943611413731</v>
      </c>
      <c r="I70" s="49">
        <v>0.1</v>
      </c>
      <c r="J70" s="49">
        <v>0.1</v>
      </c>
      <c r="K70" s="47">
        <f t="shared" si="57"/>
        <v>6.7176943611413728E-2</v>
      </c>
      <c r="L70" s="47">
        <f t="shared" si="58"/>
        <v>6.7176943611413728E-2</v>
      </c>
      <c r="M70" s="47"/>
      <c r="N70" s="47"/>
      <c r="O70" s="47"/>
      <c r="P70" s="47"/>
      <c r="Q70" s="50"/>
      <c r="R70" s="48">
        <v>1.4886059803264025</v>
      </c>
      <c r="S70" s="48">
        <v>150.08121658841935</v>
      </c>
      <c r="U70" s="51">
        <v>1.2634337133914595</v>
      </c>
      <c r="V70" s="51">
        <v>0.2133370668455174</v>
      </c>
      <c r="W70" s="51">
        <v>1.1835200089425436E-2</v>
      </c>
      <c r="X70" s="124">
        <f t="shared" si="59"/>
        <v>0.43478261770958732</v>
      </c>
      <c r="Y70" s="47">
        <f t="shared" si="39"/>
        <v>1.0939130661573218</v>
      </c>
      <c r="AA70" s="52">
        <f t="shared" si="17"/>
        <v>1.6284055322389808</v>
      </c>
      <c r="AB70" s="52">
        <f t="shared" si="18"/>
        <v>0.18093394802655344</v>
      </c>
      <c r="AC70" s="52">
        <f t="shared" si="19"/>
        <v>0.18093394802655344</v>
      </c>
      <c r="AD70" s="47">
        <f t="shared" si="22"/>
        <v>164.17580381085892</v>
      </c>
      <c r="AE70" s="47">
        <f t="shared" si="20"/>
        <v>18.241755978984326</v>
      </c>
      <c r="AF70" s="47">
        <f t="shared" si="21"/>
        <v>18.241755978984326</v>
      </c>
      <c r="AI70" s="52">
        <f>AA70-AA9</f>
        <v>-1.2797361685294324</v>
      </c>
      <c r="AJ70" s="52">
        <f>AD70-AD9</f>
        <v>-48.229024779729997</v>
      </c>
    </row>
    <row r="71" spans="1:36" s="46" customFormat="1">
      <c r="A71" s="53" t="s">
        <v>53</v>
      </c>
      <c r="B71" s="53"/>
      <c r="C71" s="47"/>
      <c r="H71" s="48">
        <f t="shared" si="55"/>
        <v>0.67812588885539027</v>
      </c>
      <c r="I71" s="49">
        <v>0.1</v>
      </c>
      <c r="J71" s="49">
        <v>0.1</v>
      </c>
      <c r="K71" s="47">
        <f t="shared" si="57"/>
        <v>6.7812588885539024E-2</v>
      </c>
      <c r="L71" s="47">
        <f t="shared" si="58"/>
        <v>6.7812588885539024E-2</v>
      </c>
      <c r="M71" s="47"/>
      <c r="N71" s="47"/>
      <c r="O71" s="47"/>
      <c r="P71" s="47"/>
      <c r="Q71" s="50"/>
      <c r="R71" s="48">
        <v>1.4746524449728671</v>
      </c>
      <c r="S71" s="48">
        <v>145.9641519419547</v>
      </c>
      <c r="U71" s="51">
        <v>1.2894135113712575</v>
      </c>
      <c r="V71" s="51">
        <v>0.17164413755258812</v>
      </c>
      <c r="W71" s="51">
        <v>1.3594796049021396E-2</v>
      </c>
      <c r="X71" s="124">
        <f t="shared" si="59"/>
        <v>0.43478261770958732</v>
      </c>
      <c r="Y71" s="47">
        <f t="shared" si="39"/>
        <v>1.0939130661573218</v>
      </c>
      <c r="AA71" s="52">
        <f t="shared" si="17"/>
        <v>1.6131415775966602</v>
      </c>
      <c r="AB71" s="52">
        <f t="shared" si="18"/>
        <v>0.17923795306629559</v>
      </c>
      <c r="AC71" s="52">
        <f t="shared" si="19"/>
        <v>0.17923795306629559</v>
      </c>
      <c r="AD71" s="47">
        <f>S71*Y71</f>
        <v>159.67209299987687</v>
      </c>
      <c r="AE71" s="47">
        <f t="shared" si="20"/>
        <v>17.741343666652988</v>
      </c>
      <c r="AF71" s="47">
        <f t="shared" si="21"/>
        <v>17.741343666652984</v>
      </c>
      <c r="AI71" s="52">
        <f>AA71-AA9</f>
        <v>-1.2950001231717529</v>
      </c>
      <c r="AJ71" s="52">
        <f>AD71-AD9</f>
        <v>-52.732735590712053</v>
      </c>
    </row>
    <row r="72" spans="1:36" s="46" customFormat="1">
      <c r="A72" s="53" t="s">
        <v>54</v>
      </c>
      <c r="B72" s="53"/>
      <c r="C72" s="47"/>
      <c r="H72" s="48">
        <f>H65*H68/H61</f>
        <v>0.25414519192638707</v>
      </c>
      <c r="I72" s="49">
        <v>0.15</v>
      </c>
      <c r="J72" s="49">
        <v>0.15</v>
      </c>
      <c r="K72" s="47">
        <f t="shared" si="57"/>
        <v>3.8121778788958061E-2</v>
      </c>
      <c r="L72" s="47">
        <f t="shared" si="58"/>
        <v>3.8121778788958061E-2</v>
      </c>
      <c r="Q72" s="50"/>
      <c r="R72" s="48">
        <f>R65*R68/R61</f>
        <v>3.9347586803438293</v>
      </c>
      <c r="S72" s="48">
        <f>S65*S68/S61</f>
        <v>132.02351507691603</v>
      </c>
      <c r="U72" s="51">
        <f>U65*U68/U61</f>
        <v>3.5768796168499959</v>
      </c>
      <c r="V72" s="51">
        <f t="shared" ref="V72:W72" si="60">V65*V68/V61</f>
        <v>8.1620720125144212E-3</v>
      </c>
      <c r="W72" s="51">
        <f t="shared" si="60"/>
        <v>0.71516988354599209</v>
      </c>
      <c r="X72" s="124">
        <f t="shared" si="59"/>
        <v>0.43478261770958732</v>
      </c>
      <c r="Y72" s="47">
        <f t="shared" ref="Y72" si="61">42.5*0.74*8/100*X72</f>
        <v>1.0939130661573218</v>
      </c>
      <c r="AA72" s="52">
        <f>R72*Y72</f>
        <v>4.3042839326040552</v>
      </c>
      <c r="AB72" s="52">
        <f t="shared" si="18"/>
        <v>0.75957951751836272</v>
      </c>
      <c r="AC72" s="52">
        <f t="shared" si="19"/>
        <v>0.75957951751836272</v>
      </c>
      <c r="AD72" s="47">
        <f>S72*Y72</f>
        <v>144.4222481826566</v>
      </c>
      <c r="AE72" s="47">
        <f t="shared" si="20"/>
        <v>25.48627909105705</v>
      </c>
      <c r="AF72" s="47">
        <f t="shared" si="21"/>
        <v>25.486279091057046</v>
      </c>
    </row>
    <row r="73" spans="1:36">
      <c r="S73" s="3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10" sqref="P1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C4" sqref="C4"/>
    </sheetView>
  </sheetViews>
  <sheetFormatPr defaultRowHeight="13.5"/>
  <cols>
    <col min="1" max="1" width="19.125" customWidth="1"/>
  </cols>
  <sheetData>
    <row r="1" spans="1:7" s="9" customFormat="1" ht="54">
      <c r="B1" s="9" t="str">
        <f>'Summary from fuel'!AA1</f>
        <v>WTW fossil energy use</v>
      </c>
      <c r="C1" s="9" t="str">
        <f>'Summary from fuel'!AB1</f>
        <v>Upper limit of error</v>
      </c>
      <c r="D1" s="9" t="str">
        <f>'Summary from fuel'!AC1</f>
        <v>Lower limit of error</v>
      </c>
      <c r="E1" s="9" t="str">
        <f>'Summary from fuel'!AD1</f>
        <v>WTW GHG emission</v>
      </c>
      <c r="F1" s="9" t="str">
        <f>'Summary from fuel'!AE1</f>
        <v>Upper limit of error</v>
      </c>
      <c r="G1" s="9" t="str">
        <f>'Summary from fuel'!AF1</f>
        <v>Lower limit of error</v>
      </c>
    </row>
    <row r="2" spans="1:7">
      <c r="A2" s="3"/>
      <c r="B2" s="3" t="str">
        <f>'Summary from fuel'!AA2</f>
        <v>(MJ/km)</v>
      </c>
      <c r="C2" s="3"/>
      <c r="D2" s="3"/>
      <c r="E2" s="3" t="str">
        <f>'Summary from fuel'!AD2</f>
        <v>(g CO2e/km)</v>
      </c>
      <c r="F2" s="3"/>
      <c r="G2" s="3"/>
    </row>
    <row r="3" spans="1:7">
      <c r="A3" s="3" t="str">
        <f>'Summary from fuel'!A3</f>
        <v>SI ICE-Gasoline (8L/100km)</v>
      </c>
      <c r="B3" s="4">
        <f>'Summary from fuel'!AA3</f>
        <v>3.2246591708348991</v>
      </c>
      <c r="C3" s="4">
        <f>'Summary from fuel'!AB3</f>
        <v>0.1697189037281526</v>
      </c>
      <c r="D3" s="4">
        <f>'Summary from fuel'!AC3</f>
        <v>0.1697189037281526</v>
      </c>
      <c r="E3" s="4">
        <f>'Summary from fuel'!AD3</f>
        <v>235.62100914587327</v>
      </c>
      <c r="F3" s="4">
        <f>'Summary from fuel'!AE3</f>
        <v>12.401105744519647</v>
      </c>
      <c r="G3" s="4">
        <f>'Summary from fuel'!AF3</f>
        <v>12.401105744519647</v>
      </c>
    </row>
    <row r="4" spans="1:7">
      <c r="A4" s="3" t="str">
        <f>'Summary from fuel'!A9</f>
        <v>CI ICE-Diesel</v>
      </c>
      <c r="B4" s="4">
        <f>'Summary from fuel'!AA9</f>
        <v>2.9081417007684132</v>
      </c>
      <c r="C4" s="4">
        <f>'Summary from fuel'!AB9</f>
        <v>0.15306008951412703</v>
      </c>
      <c r="D4" s="4">
        <f>'Summary from fuel'!AC9</f>
        <v>0.15306008951412703</v>
      </c>
      <c r="E4" s="4">
        <f>'Summary from fuel'!AD9</f>
        <v>212.40482859058892</v>
      </c>
      <c r="F4" s="4">
        <f>'Summary from fuel'!AE9</f>
        <v>11.179201504767839</v>
      </c>
      <c r="G4" s="4">
        <f>'Summary from fuel'!AF9</f>
        <v>11.179201504767839</v>
      </c>
    </row>
    <row r="5" spans="1:7" s="3" customFormat="1">
      <c r="B5" s="4"/>
      <c r="C5" s="4"/>
      <c r="D5" s="4"/>
      <c r="E5" s="4"/>
      <c r="F5" s="4"/>
      <c r="G5" s="4"/>
    </row>
    <row r="6" spans="1:7">
      <c r="A6" t="str">
        <f>'Summary from fuel'!A60</f>
        <v>FCV-Hydrogen from natural gas</v>
      </c>
      <c r="B6" s="4">
        <f>'Summary from fuel'!AA60</f>
        <v>2.05444419968841</v>
      </c>
      <c r="C6" s="4">
        <f>'Summary from fuel'!AB60</f>
        <v>0.22827157774315668</v>
      </c>
      <c r="D6" s="4">
        <f>'Summary from fuel'!AC60</f>
        <v>0.22827157774315665</v>
      </c>
      <c r="E6" s="4">
        <f>'Summary from fuel'!AD60</f>
        <v>139.11407404419882</v>
      </c>
      <c r="F6" s="4">
        <f>'Summary from fuel'!AE60</f>
        <v>15.457119338244313</v>
      </c>
      <c r="G6" s="4">
        <f>'Summary from fuel'!AF60</f>
        <v>15.457119338244315</v>
      </c>
    </row>
    <row r="7" spans="1:7">
      <c r="A7" s="3" t="str">
        <f>'Summary from fuel'!A61</f>
        <v>FCV-Hydrogen from coal</v>
      </c>
      <c r="B7" s="4">
        <f>'Summary from fuel'!AA61</f>
        <v>2.7551139922752483</v>
      </c>
      <c r="C7" s="4">
        <f>'Summary from fuel'!AB61</f>
        <v>0.30612377691947207</v>
      </c>
      <c r="D7" s="4">
        <f>'Summary from fuel'!AC61</f>
        <v>0.30612377691947201</v>
      </c>
      <c r="E7" s="4">
        <f>'Summary from fuel'!AD61</f>
        <v>249.0260850744385</v>
      </c>
      <c r="F7" s="4">
        <f>'Summary from fuel'!AE61</f>
        <v>27.669565008270947</v>
      </c>
      <c r="G7" s="4">
        <f>'Summary from fuel'!AF61</f>
        <v>27.669565008270943</v>
      </c>
    </row>
    <row r="8" spans="1:7">
      <c r="A8" s="3" t="str">
        <f>'Summary from fuel'!A62</f>
        <v>FCV-Hydrogen from water electrolysis</v>
      </c>
      <c r="B8" s="4">
        <f>'Summary from fuel'!AA62</f>
        <v>4.2625500935992502</v>
      </c>
      <c r="C8" s="4">
        <f>'Summary from fuel'!AB62</f>
        <v>0.47361667706658339</v>
      </c>
      <c r="D8" s="4">
        <f>'Summary from fuel'!AC62</f>
        <v>0.47361667706658339</v>
      </c>
      <c r="E8" s="4">
        <f>'Summary from fuel'!AD62</f>
        <v>434.12971702514426</v>
      </c>
      <c r="F8" s="4">
        <f>'Summary from fuel'!AE62</f>
        <v>48.23663522501603</v>
      </c>
      <c r="G8" s="4">
        <f>'Summary from fuel'!AF62</f>
        <v>48.23663522501603</v>
      </c>
    </row>
    <row r="9" spans="1:7">
      <c r="A9" s="3" t="str">
        <f>'Summary from fuel'!A63</f>
        <v>FCV-Hydrogen from biomass</v>
      </c>
      <c r="B9" s="4">
        <f>'Summary from fuel'!AA63</f>
        <v>0.32478515205792674</v>
      </c>
      <c r="C9" s="4">
        <f>'Summary from fuel'!AB63</f>
        <v>3.6087239117547416E-2</v>
      </c>
      <c r="D9" s="4">
        <f>'Summary from fuel'!AC63</f>
        <v>3.6087239117547416E-2</v>
      </c>
      <c r="E9" s="4">
        <f>'Summary from fuel'!AD63</f>
        <v>31.604884061621615</v>
      </c>
      <c r="F9" s="4">
        <f>'Summary from fuel'!AE63</f>
        <v>3.5116537846246243</v>
      </c>
      <c r="G9" s="4">
        <f>'Summary from fuel'!AF63</f>
        <v>3.5116537846246239</v>
      </c>
    </row>
    <row r="10" spans="1:7">
      <c r="A10" s="3" t="str">
        <f>'Summary from fuel'!A64</f>
        <v>FCV-Hydrogen from nuclear</v>
      </c>
      <c r="B10" s="4">
        <f>'Summary from fuel'!AA64</f>
        <v>0.30952119741560624</v>
      </c>
      <c r="C10" s="4">
        <f>'Summary from fuel'!AB64</f>
        <v>3.4391244157289586E-2</v>
      </c>
      <c r="D10" s="4">
        <f>'Summary from fuel'!AC64</f>
        <v>3.4391244157289586E-2</v>
      </c>
      <c r="E10" s="4">
        <f>'Summary from fuel'!AD64</f>
        <v>27.101173250639565</v>
      </c>
      <c r="F10" s="4">
        <f>'Summary from fuel'!AE64</f>
        <v>3.0112414722932854</v>
      </c>
      <c r="G10" s="4">
        <f>'Summary from fuel'!AF64</f>
        <v>3.011241472293285</v>
      </c>
    </row>
    <row r="11" spans="1:7">
      <c r="A11" s="3" t="str">
        <f>'Summary from fuel'!A65</f>
        <v>FCV-Hydrogen from coal (CCS)</v>
      </c>
      <c r="B11" s="4">
        <f>'Summary from fuel'!AA65</f>
        <v>2.9217957622257877</v>
      </c>
      <c r="C11" s="4">
        <f>'Summary from fuel'!AB65</f>
        <v>0.51561101686337429</v>
      </c>
      <c r="D11" s="4">
        <f>'Summary from fuel'!AC65</f>
        <v>0.51561101686337429</v>
      </c>
      <c r="E11" s="4">
        <f>'Summary from fuel'!AD65</f>
        <v>94.248399772409613</v>
      </c>
      <c r="F11" s="4">
        <f>'Summary from fuel'!AE65</f>
        <v>16.632070548072285</v>
      </c>
      <c r="G11" s="4">
        <f>'Summary from fuel'!AF65</f>
        <v>16.632070548072285</v>
      </c>
    </row>
    <row r="12" spans="1:7">
      <c r="A12" s="3"/>
      <c r="B12" s="4"/>
      <c r="C12" s="4"/>
      <c r="D12" s="4"/>
      <c r="E12" s="4"/>
      <c r="F12" s="4"/>
      <c r="G12" s="4"/>
    </row>
    <row r="13" spans="1:7">
      <c r="A13" s="3" t="str">
        <f>'Summary from fuel'!A67</f>
        <v>FCV-Hydrogen from natural gas</v>
      </c>
      <c r="B13" s="4">
        <f>'Summary from fuel'!AA67</f>
        <v>3.358064579869469</v>
      </c>
      <c r="C13" s="4">
        <f>'Summary from fuel'!AB67</f>
        <v>0.37311828665216323</v>
      </c>
      <c r="D13" s="4">
        <f>'Summary from fuel'!AC67</f>
        <v>0.37311828665216323</v>
      </c>
      <c r="E13" s="4">
        <f>'Summary from fuel'!AD67</f>
        <v>271.68499379343609</v>
      </c>
      <c r="F13" s="4">
        <f>'Summary from fuel'!AE67</f>
        <v>30.187221532604013</v>
      </c>
      <c r="G13" s="4">
        <f>'Summary from fuel'!AF67</f>
        <v>30.187221532604013</v>
      </c>
    </row>
    <row r="14" spans="1:7">
      <c r="A14" s="3" t="str">
        <f>'Summary from fuel'!A68</f>
        <v>FCV-Hydrogen from coal</v>
      </c>
      <c r="B14" s="4">
        <f>'Summary from fuel'!AA68</f>
        <v>4.0587343724563025</v>
      </c>
      <c r="C14" s="4">
        <f>'Summary from fuel'!AB68</f>
        <v>0.4509704858284781</v>
      </c>
      <c r="D14" s="4">
        <f>'Summary from fuel'!AC68</f>
        <v>0.4509704858284781</v>
      </c>
      <c r="E14" s="4">
        <f>'Summary from fuel'!AD68</f>
        <v>381.59700482367577</v>
      </c>
      <c r="F14" s="4">
        <f>'Summary from fuel'!AE68</f>
        <v>42.399667202630646</v>
      </c>
      <c r="G14" s="4">
        <f>'Summary from fuel'!AF68</f>
        <v>42.399667202630638</v>
      </c>
    </row>
    <row r="15" spans="1:7">
      <c r="A15" s="3" t="str">
        <f>'Summary from fuel'!A69</f>
        <v>FCV-Hydrogen from water electrolysis</v>
      </c>
      <c r="B15" s="4">
        <f>'Summary from fuel'!AA69</f>
        <v>5.5661704737803044</v>
      </c>
      <c r="C15" s="4">
        <f>'Summary from fuel'!AB69</f>
        <v>0.61846338597558936</v>
      </c>
      <c r="D15" s="4">
        <f>'Summary from fuel'!AC69</f>
        <v>0.61846338597558936</v>
      </c>
      <c r="E15" s="4">
        <f>'Summary from fuel'!AD69</f>
        <v>566.70063677438145</v>
      </c>
      <c r="F15" s="4">
        <f>'Summary from fuel'!AE69</f>
        <v>62.966737419375718</v>
      </c>
      <c r="G15" s="4">
        <f>'Summary from fuel'!AF69</f>
        <v>62.966737419375718</v>
      </c>
    </row>
    <row r="16" spans="1:7">
      <c r="A16" s="3" t="str">
        <f>'Summary from fuel'!A70</f>
        <v>FCV-Hydrogen from biomass</v>
      </c>
      <c r="B16" s="4">
        <f>'Summary from fuel'!AA70</f>
        <v>1.6284055322389808</v>
      </c>
      <c r="C16" s="4">
        <f>'Summary from fuel'!AB70</f>
        <v>0.18093394802655344</v>
      </c>
      <c r="D16" s="4">
        <f>'Summary from fuel'!AC70</f>
        <v>0.18093394802655344</v>
      </c>
      <c r="E16" s="4">
        <f>'Summary from fuel'!AD70</f>
        <v>164.17580381085892</v>
      </c>
      <c r="F16" s="4">
        <f>'Summary from fuel'!AE70</f>
        <v>18.241755978984326</v>
      </c>
      <c r="G16" s="4">
        <f>'Summary from fuel'!AF70</f>
        <v>18.241755978984326</v>
      </c>
    </row>
    <row r="17" spans="1:7">
      <c r="A17" s="3" t="str">
        <f>'Summary from fuel'!A71</f>
        <v>FCV-Hydrogen from nuclear</v>
      </c>
      <c r="B17" s="4">
        <f>'Summary from fuel'!AA71</f>
        <v>1.6131415775966602</v>
      </c>
      <c r="C17" s="4">
        <f>'Summary from fuel'!AB71</f>
        <v>0.17923795306629559</v>
      </c>
      <c r="D17" s="4">
        <f>'Summary from fuel'!AC71</f>
        <v>0.17923795306629559</v>
      </c>
      <c r="E17" s="4">
        <f>'Summary from fuel'!AD71</f>
        <v>159.67209299987687</v>
      </c>
      <c r="F17" s="4">
        <f>'Summary from fuel'!AE71</f>
        <v>17.741343666652988</v>
      </c>
      <c r="G17" s="4">
        <f>'Summary from fuel'!AF71</f>
        <v>17.741343666652984</v>
      </c>
    </row>
    <row r="18" spans="1:7">
      <c r="A18" s="3" t="str">
        <f>'Summary from fuel'!A72</f>
        <v>FCV-Hydrogen from coal (CCS)</v>
      </c>
      <c r="B18" s="4">
        <f>'Summary from fuel'!AA72</f>
        <v>4.3042839326040552</v>
      </c>
      <c r="C18" s="4">
        <f>'Summary from fuel'!AB72</f>
        <v>0.75957951751836272</v>
      </c>
      <c r="D18" s="4">
        <f>'Summary from fuel'!AC72</f>
        <v>0.75957951751836272</v>
      </c>
      <c r="E18" s="4">
        <f>'Summary from fuel'!AD72</f>
        <v>144.4222481826566</v>
      </c>
      <c r="F18" s="4">
        <f>'Summary from fuel'!AE72</f>
        <v>25.48627909105705</v>
      </c>
      <c r="G18" s="4">
        <f>'Summary from fuel'!AF72</f>
        <v>25.486279091057046</v>
      </c>
    </row>
    <row r="19" spans="1:7">
      <c r="A19" s="3"/>
    </row>
    <row r="20" spans="1:7">
      <c r="A20" s="3"/>
      <c r="B20">
        <f>B6/B3</f>
        <v>0.63710429253101253</v>
      </c>
      <c r="C20">
        <f>B6/B4</f>
        <v>0.70644570006529184</v>
      </c>
      <c r="E20" s="3">
        <f>E6/E3</f>
        <v>0.59041455831331713</v>
      </c>
      <c r="F20" s="3">
        <f>E6/E4</f>
        <v>0.65494779458305863</v>
      </c>
    </row>
    <row r="21" spans="1:7">
      <c r="B21">
        <f>B7/B3</f>
        <v>0.85438920714275657</v>
      </c>
      <c r="C21">
        <f>B7/B4</f>
        <v>0.94737955566170295</v>
      </c>
      <c r="E21" s="3">
        <f>E7/E3</f>
        <v>1.0568925325341685</v>
      </c>
      <c r="F21" s="3">
        <f>E7/E4</f>
        <v>1.1724125422517451</v>
      </c>
    </row>
    <row r="22" spans="1:7">
      <c r="B22">
        <f>B8/B3</f>
        <v>1.3218606580662693</v>
      </c>
      <c r="C22">
        <f>B8/B4</f>
        <v>1.4657298481958303</v>
      </c>
      <c r="E22" s="3">
        <f>E8/E3</f>
        <v>1.8424915443612839</v>
      </c>
      <c r="F22" s="3">
        <f>E8/E4</f>
        <v>2.0438787569275596</v>
      </c>
    </row>
    <row r="24" spans="1:7">
      <c r="B24">
        <f>B11/B3</f>
        <v>0.90607893964474495</v>
      </c>
      <c r="C24">
        <f>B11/B4</f>
        <v>1.0046951155969348</v>
      </c>
      <c r="E24" s="3">
        <f>E11/E3</f>
        <v>0.39999998350766891</v>
      </c>
      <c r="F24" s="3">
        <f>E11/E4</f>
        <v>0.44372060841457489</v>
      </c>
    </row>
    <row r="25" spans="1:7">
      <c r="B25">
        <f>B18/B3</f>
        <v>1.3348027511042755</v>
      </c>
      <c r="C25">
        <f>B18/B4</f>
        <v>1.4800805378454365</v>
      </c>
      <c r="E25" s="3">
        <f>E18/E3</f>
        <v>0.61294299988862455</v>
      </c>
      <c r="F25" s="3">
        <f>E18/E4</f>
        <v>0.67993863011952049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4" sqref="C4"/>
    </sheetView>
  </sheetViews>
  <sheetFormatPr defaultRowHeight="13.5"/>
  <cols>
    <col min="1" max="1" width="29.125" bestFit="1" customWidth="1"/>
  </cols>
  <sheetData>
    <row r="1" spans="1:7" s="9" customFormat="1" ht="54">
      <c r="B1" s="9" t="str">
        <f>'Summary from fuel'!AA1</f>
        <v>WTW fossil energy use</v>
      </c>
      <c r="C1" s="9" t="str">
        <f>'Summary from fuel'!AB1</f>
        <v>Upper limit of error</v>
      </c>
      <c r="D1" s="9" t="str">
        <f>'Summary from fuel'!AC1</f>
        <v>Lower limit of error</v>
      </c>
      <c r="E1" s="9" t="str">
        <f>'Summary from fuel'!AD1</f>
        <v>WTW GHG emission</v>
      </c>
      <c r="F1" s="9" t="str">
        <f>'Summary from fuel'!AE1</f>
        <v>Upper limit of error</v>
      </c>
      <c r="G1" s="9" t="str">
        <f>'Summary from fuel'!AF1</f>
        <v>Lower limit of error</v>
      </c>
    </row>
    <row r="2" spans="1:7" s="3" customFormat="1">
      <c r="B2" s="3" t="str">
        <f>'Summary from fuel'!AA2</f>
        <v>(MJ/km)</v>
      </c>
      <c r="E2" s="3" t="str">
        <f>'Summary from fuel'!AD2</f>
        <v>(g CO2e/km)</v>
      </c>
    </row>
    <row r="3" spans="1:7">
      <c r="A3" s="3" t="str">
        <f>'Summary from fuel'!A3</f>
        <v>SI ICE-Gasoline (8L/100km)</v>
      </c>
      <c r="B3" s="4">
        <f>'Summary from fuel'!AA3</f>
        <v>3.2246591708348991</v>
      </c>
      <c r="C3" s="4">
        <f>'Summary from fuel'!AB3</f>
        <v>0.1697189037281526</v>
      </c>
      <c r="D3" s="4">
        <f>'Summary from fuel'!AC3</f>
        <v>0.1697189037281526</v>
      </c>
      <c r="E3" s="4">
        <f>'Summary from fuel'!AD3</f>
        <v>235.62100914587327</v>
      </c>
      <c r="F3" s="4">
        <f>'Summary from fuel'!AE3</f>
        <v>12.401105744519647</v>
      </c>
      <c r="G3" s="4">
        <f>'Summary from fuel'!AF3</f>
        <v>12.401105744519647</v>
      </c>
    </row>
    <row r="4" spans="1:7">
      <c r="A4" s="3" t="s">
        <v>76</v>
      </c>
      <c r="B4" s="4">
        <f>B3*0.7</f>
        <v>2.2572614195844292</v>
      </c>
      <c r="C4" s="4">
        <f t="shared" ref="C4:G4" si="0">C3*0.7</f>
        <v>0.11880323260970681</v>
      </c>
      <c r="D4" s="4">
        <f t="shared" si="0"/>
        <v>0.11880323260970681</v>
      </c>
      <c r="E4" s="4">
        <f t="shared" si="0"/>
        <v>164.93470640211129</v>
      </c>
      <c r="F4" s="4">
        <f t="shared" si="0"/>
        <v>8.680774021163753</v>
      </c>
      <c r="G4" s="4">
        <f t="shared" si="0"/>
        <v>8.680774021163753</v>
      </c>
    </row>
    <row r="5" spans="1:7">
      <c r="A5" s="3" t="s">
        <v>77</v>
      </c>
      <c r="B5" s="4">
        <f>B4*0.6+B6*0.4*0.33/0.29</f>
        <v>2.1881578214558917</v>
      </c>
      <c r="C5" s="4">
        <f>C4*0.6+C6*0.4*0.33/0.29</f>
        <v>0.16392649175529456</v>
      </c>
      <c r="D5" s="4">
        <f t="shared" ref="D5:G5" si="1">D4*0.6+D6*0.4*0.33/0.29</f>
        <v>0.16392649175529456</v>
      </c>
      <c r="E5" s="4">
        <f t="shared" si="1"/>
        <v>172.72560138051105</v>
      </c>
      <c r="F5" s="4">
        <f t="shared" si="1"/>
        <v>13.404550805947617</v>
      </c>
      <c r="G5" s="4">
        <f t="shared" si="1"/>
        <v>13.404550805947617</v>
      </c>
    </row>
    <row r="6" spans="1:7">
      <c r="A6" t="str">
        <f>EV!$A$6</f>
        <v>BEV-Grid power (20.3KWh/100km)</v>
      </c>
      <c r="B6" s="4">
        <f>EV!$C$6</f>
        <v>1.8318354637463474</v>
      </c>
      <c r="C6" s="4">
        <f>EV!$D$6</f>
        <v>0.20353727374959418</v>
      </c>
      <c r="D6" s="4">
        <f>EV!$E$6</f>
        <v>0.20353727374959416</v>
      </c>
      <c r="E6" s="4">
        <f>EV!$F$6</f>
        <v>162.05898095743058</v>
      </c>
      <c r="F6" s="4">
        <f>EV!$G$6</f>
        <v>18.006553439714509</v>
      </c>
      <c r="G6" s="4">
        <f>EV!$H$6</f>
        <v>18.006553439714509</v>
      </c>
    </row>
    <row r="7" spans="1:7">
      <c r="B7" s="3"/>
    </row>
    <row r="8" spans="1:7">
      <c r="B8" s="3"/>
    </row>
    <row r="12" spans="1:7">
      <c r="B12" s="4">
        <f>B4/B3</f>
        <v>0.7</v>
      </c>
      <c r="E12" s="4">
        <f>E4/E3</f>
        <v>0.7</v>
      </c>
    </row>
    <row r="13" spans="1:7">
      <c r="B13" s="4">
        <f>B5/B3</f>
        <v>0.67857026294327838</v>
      </c>
      <c r="E13" s="4">
        <f>E5/E3</f>
        <v>0.73306536631279939</v>
      </c>
    </row>
    <row r="14" spans="1:7">
      <c r="B14" s="4">
        <f>B6/B3</f>
        <v>0.56807103222386923</v>
      </c>
      <c r="E14" s="4">
        <f>E6/E3</f>
        <v>0.68779512295993794</v>
      </c>
    </row>
    <row r="17" spans="2:5">
      <c r="B17">
        <f>B6/B4</f>
        <v>0.81153004603409895</v>
      </c>
      <c r="E17" s="3">
        <f>E6/E4</f>
        <v>0.98256446137134001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C4" sqref="C4"/>
    </sheetView>
  </sheetViews>
  <sheetFormatPr defaultRowHeight="13.5"/>
  <cols>
    <col min="1" max="1" width="31.875" bestFit="1" customWidth="1"/>
  </cols>
  <sheetData>
    <row r="1" spans="1:9" s="9" customFormat="1" ht="54">
      <c r="B1" s="9" t="str">
        <f>'Summary from fuel'!AA1</f>
        <v>WTW fossil energy use</v>
      </c>
      <c r="C1" s="9" t="str">
        <f>'Summary from fuel'!AB1</f>
        <v>Upper limit of error</v>
      </c>
      <c r="D1" s="9" t="str">
        <f>'Summary from fuel'!AC1</f>
        <v>Lower limit of error</v>
      </c>
      <c r="E1" s="9" t="str">
        <f>'Summary from fuel'!AD1</f>
        <v>WTW GHG emission</v>
      </c>
      <c r="F1" s="9" t="str">
        <f>'Summary from fuel'!AE1</f>
        <v>Upper limit of error</v>
      </c>
      <c r="G1" s="9" t="str">
        <f>'Summary from fuel'!AF1</f>
        <v>Lower limit of error</v>
      </c>
    </row>
    <row r="2" spans="1:9">
      <c r="A2" s="3"/>
      <c r="B2" s="3" t="str">
        <f>'Summary from fuel'!AA2</f>
        <v>(MJ/km)</v>
      </c>
      <c r="C2" s="3"/>
      <c r="D2" s="3"/>
      <c r="E2" s="3" t="str">
        <f>'Summary from fuel'!AD2</f>
        <v>(g CO2e/km)</v>
      </c>
      <c r="F2" s="3"/>
      <c r="G2" s="3"/>
      <c r="H2" s="3"/>
      <c r="I2" s="3"/>
    </row>
    <row r="3" spans="1:9">
      <c r="A3" s="3" t="str">
        <f>'Summary from fuel'!A3</f>
        <v>SI ICE-Gasoline (8L/100km)</v>
      </c>
      <c r="B3" s="4">
        <f>'Summary from fuel'!AA3</f>
        <v>3.2246591708348991</v>
      </c>
      <c r="C3" s="4">
        <f>'Summary from fuel'!AB3</f>
        <v>0.1697189037281526</v>
      </c>
      <c r="D3" s="4">
        <f>'Summary from fuel'!AC3</f>
        <v>0.1697189037281526</v>
      </c>
      <c r="E3" s="4">
        <f>'Summary from fuel'!AD3</f>
        <v>235.62100914587327</v>
      </c>
      <c r="F3" s="4">
        <f>'Summary from fuel'!AE3</f>
        <v>12.401105744519647</v>
      </c>
      <c r="G3" s="4">
        <f>'Summary from fuel'!AF3</f>
        <v>12.401105744519647</v>
      </c>
      <c r="H3" s="4"/>
      <c r="I3" s="4"/>
    </row>
    <row r="4" spans="1:9">
      <c r="A4" s="3" t="s">
        <v>78</v>
      </c>
      <c r="B4" s="4">
        <f t="shared" ref="B4:G4" si="0">B11*0.15+B3*0.85</f>
        <v>3.5265065381578782</v>
      </c>
      <c r="C4" s="4">
        <f t="shared" si="0"/>
        <v>0.28288687574802629</v>
      </c>
      <c r="D4" s="4">
        <f t="shared" si="0"/>
        <v>0.34064762890598321</v>
      </c>
      <c r="E4" s="4">
        <f t="shared" si="0"/>
        <v>291.84144207053328</v>
      </c>
      <c r="F4" s="4">
        <f t="shared" si="0"/>
        <v>26.699219464584232</v>
      </c>
      <c r="G4" s="4">
        <f t="shared" si="0"/>
        <v>33.431835956976954</v>
      </c>
    </row>
    <row r="5" spans="1:9">
      <c r="A5" s="3" t="s">
        <v>79</v>
      </c>
      <c r="B5" s="4">
        <f t="shared" ref="B5:G5" si="1">B12*0.15+B3*0.85</f>
        <v>3.7401395107443616</v>
      </c>
      <c r="C5" s="4">
        <f t="shared" si="1"/>
        <v>0.39405587205260401</v>
      </c>
      <c r="D5" s="4">
        <f t="shared" si="1"/>
        <v>0.47732080668049548</v>
      </c>
      <c r="E5" s="4">
        <f t="shared" si="1"/>
        <v>260.80293891916347</v>
      </c>
      <c r="F5" s="4">
        <f t="shared" si="1"/>
        <v>25.672210169134495</v>
      </c>
      <c r="G5" s="4">
        <f t="shared" si="1"/>
        <v>30.715966931232089</v>
      </c>
    </row>
    <row r="6" spans="1:9">
      <c r="A6" s="3" t="s">
        <v>80</v>
      </c>
      <c r="B6" s="4">
        <f t="shared" ref="B6:G6" si="2">B13*0.1+B3*0.9</f>
        <v>3.2624784803793454</v>
      </c>
      <c r="C6" s="4">
        <f t="shared" si="2"/>
        <v>0.19277870520288579</v>
      </c>
      <c r="D6" s="4">
        <f t="shared" si="2"/>
        <v>0.24281832001232134</v>
      </c>
      <c r="E6" s="4">
        <f t="shared" si="2"/>
        <v>261.38487433385376</v>
      </c>
      <c r="F6" s="4">
        <f t="shared" si="2"/>
        <v>16.641658070352996</v>
      </c>
      <c r="G6" s="4">
        <f t="shared" si="2"/>
        <v>23.492486695709641</v>
      </c>
    </row>
    <row r="7" spans="1:9">
      <c r="A7" s="3" t="s">
        <v>81</v>
      </c>
      <c r="B7" s="4">
        <f t="shared" ref="B7:G7" si="3">B14*0.1+B3*0.9</f>
        <v>3.107125146334039</v>
      </c>
      <c r="C7" s="4">
        <f t="shared" si="3"/>
        <v>0.17551722364229622</v>
      </c>
      <c r="D7" s="4">
        <f t="shared" si="3"/>
        <v>0.2039799865009948</v>
      </c>
      <c r="E7" s="4">
        <f t="shared" si="3"/>
        <v>234.53741676194545</v>
      </c>
      <c r="F7" s="4">
        <f t="shared" si="3"/>
        <v>13.658607229029849</v>
      </c>
      <c r="G7" s="4">
        <f t="shared" si="3"/>
        <v>16.780622302732557</v>
      </c>
    </row>
    <row r="8" spans="1:9">
      <c r="A8" s="3" t="s">
        <v>82</v>
      </c>
      <c r="B8" s="4">
        <f t="shared" ref="B8:G8" si="4">B15*0.1+B3*0.9</f>
        <v>3.0721988002552867</v>
      </c>
      <c r="C8" s="4">
        <f t="shared" si="4"/>
        <v>0.40775533311115375</v>
      </c>
      <c r="D8" s="4">
        <f t="shared" si="4"/>
        <v>0.19524839998130675</v>
      </c>
      <c r="E8" s="4">
        <f t="shared" si="4"/>
        <v>228.08586256888105</v>
      </c>
      <c r="F8" s="4">
        <f t="shared" si="4"/>
        <v>35.201426676460329</v>
      </c>
      <c r="G8" s="4">
        <f t="shared" si="4"/>
        <v>15.167733754466457</v>
      </c>
    </row>
    <row r="9" spans="1:9">
      <c r="A9" s="3" t="s">
        <v>83</v>
      </c>
      <c r="B9" s="4">
        <f t="shared" ref="B9:G9" si="5">B16*0.1+B3*0.9</f>
        <v>2.9956217857005125</v>
      </c>
      <c r="C9" s="4">
        <f t="shared" si="5"/>
        <v>0.16312796134968216</v>
      </c>
      <c r="D9" s="4">
        <f t="shared" si="5"/>
        <v>0.16312796134968216</v>
      </c>
      <c r="E9" s="4">
        <f t="shared" si="5"/>
        <v>220.03208901986341</v>
      </c>
      <c r="F9" s="4">
        <f t="shared" si="5"/>
        <v>10.275086193559076</v>
      </c>
      <c r="G9" s="4">
        <f t="shared" si="5"/>
        <v>10.275086193559076</v>
      </c>
    </row>
    <row r="10" spans="1:9">
      <c r="A10" s="3" t="s">
        <v>84</v>
      </c>
      <c r="B10" s="4">
        <f t="shared" ref="B10:G10" si="6">B17*0.1+B3*0.9</f>
        <v>2.9539240923370258</v>
      </c>
      <c r="C10" s="4">
        <f t="shared" si="6"/>
        <v>0.1584948843092947</v>
      </c>
      <c r="D10" s="4">
        <f t="shared" si="6"/>
        <v>0.1584948843092947</v>
      </c>
      <c r="E10" s="4">
        <f t="shared" si="6"/>
        <v>213.01065384556534</v>
      </c>
      <c r="F10" s="4">
        <f t="shared" si="6"/>
        <v>11.266744682765394</v>
      </c>
      <c r="G10" s="4">
        <f t="shared" si="6"/>
        <v>11.266744682765394</v>
      </c>
    </row>
    <row r="11" spans="1:9">
      <c r="A11" s="3" t="s">
        <v>85</v>
      </c>
      <c r="B11" s="4">
        <f>'Coal-based'!C6</f>
        <v>5.2369749529880938</v>
      </c>
      <c r="C11" s="4">
        <f>'Coal-based'!D6</f>
        <v>0.92417205052731077</v>
      </c>
      <c r="D11" s="4">
        <f>'Coal-based'!E6</f>
        <v>1.3092437382470234</v>
      </c>
      <c r="E11" s="4">
        <f>'Coal-based'!F6</f>
        <v>610.42389531027345</v>
      </c>
      <c r="F11" s="4">
        <f>'Coal-based'!G6</f>
        <v>107.72186387828356</v>
      </c>
      <c r="G11" s="4">
        <f>'Coal-based'!H6</f>
        <v>152.60597382756836</v>
      </c>
    </row>
    <row r="12" spans="1:9" s="3" customFormat="1">
      <c r="A12" s="3" t="s">
        <v>86</v>
      </c>
      <c r="B12" s="4">
        <f>'Coal-based'!C11</f>
        <v>6.6611947702313152</v>
      </c>
      <c r="C12" s="4">
        <f>'Coal-based'!D11</f>
        <v>1.6652986925578288</v>
      </c>
      <c r="D12" s="4">
        <f>'Coal-based'!E11</f>
        <v>2.2203982567437719</v>
      </c>
      <c r="E12" s="4">
        <f>'Coal-based'!F11</f>
        <v>403.50054096780781</v>
      </c>
      <c r="F12" s="4">
        <f>'Coal-based'!G11</f>
        <v>100.87513524195195</v>
      </c>
      <c r="G12" s="4">
        <f>'Coal-based'!H11</f>
        <v>134.5001803226026</v>
      </c>
    </row>
    <row r="13" spans="1:9">
      <c r="A13" s="3" t="s">
        <v>87</v>
      </c>
      <c r="B13" s="4">
        <f>Biofuel!C6</f>
        <v>3.6028522662793607</v>
      </c>
      <c r="C13" s="4">
        <f>Biofuel!D6</f>
        <v>0.40031691847548456</v>
      </c>
      <c r="D13" s="4">
        <f>Biofuel!E6</f>
        <v>0.90071306656984018</v>
      </c>
      <c r="E13" s="4">
        <f>Biofuel!F6</f>
        <v>493.25966102567833</v>
      </c>
      <c r="F13" s="4">
        <f>Biofuel!G6</f>
        <v>54.80662900285315</v>
      </c>
      <c r="G13" s="4">
        <f>Biofuel!H6</f>
        <v>123.31491525641958</v>
      </c>
    </row>
    <row r="14" spans="1:9">
      <c r="A14" s="3" t="s">
        <v>88</v>
      </c>
      <c r="B14" s="4">
        <f>Biofuel!C7</f>
        <v>2.0493189258262987</v>
      </c>
      <c r="C14" s="4">
        <f>Biofuel!D7</f>
        <v>0.22770210286958875</v>
      </c>
      <c r="D14" s="4">
        <f>Biofuel!E7</f>
        <v>0.51232973145657468</v>
      </c>
      <c r="E14" s="4">
        <f>Biofuel!F7</f>
        <v>224.78508530659494</v>
      </c>
      <c r="F14" s="4">
        <f>Biofuel!G7</f>
        <v>24.976120589621662</v>
      </c>
      <c r="G14" s="4">
        <f>Biofuel!H7</f>
        <v>56.196271326648741</v>
      </c>
    </row>
    <row r="15" spans="1:9">
      <c r="A15" s="3" t="s">
        <v>89</v>
      </c>
      <c r="B15" s="4">
        <f>Biofuel!C8</f>
        <v>1.7000554650387762</v>
      </c>
      <c r="C15" s="4">
        <f>Biofuel!D8</f>
        <v>2.5500831975581639</v>
      </c>
      <c r="D15" s="4">
        <f>Biofuel!E8</f>
        <v>0.42501386625969406</v>
      </c>
      <c r="E15" s="4">
        <f>Biofuel!F8</f>
        <v>160.26954337595097</v>
      </c>
      <c r="F15" s="4">
        <f>Biofuel!G8</f>
        <v>240.40431506392642</v>
      </c>
      <c r="G15" s="4">
        <f>Biofuel!H8</f>
        <v>40.067385843987736</v>
      </c>
    </row>
    <row r="16" spans="1:9">
      <c r="A16" s="3" t="s">
        <v>90</v>
      </c>
      <c r="B16" s="4">
        <f>Biofuel!C9</f>
        <v>0.93428531949103355</v>
      </c>
      <c r="C16" s="4">
        <f>Biofuel!D9</f>
        <v>0.10380947994344818</v>
      </c>
      <c r="D16" s="4">
        <f>Biofuel!E9</f>
        <v>0.10380947994344818</v>
      </c>
      <c r="E16" s="4">
        <f>Biofuel!F9</f>
        <v>79.7318078857746</v>
      </c>
      <c r="F16" s="4">
        <f>Biofuel!G9</f>
        <v>-8.8590897650860665</v>
      </c>
      <c r="G16" s="4">
        <f>Biofuel!H9</f>
        <v>-8.8590897650860665</v>
      </c>
    </row>
    <row r="17" spans="1:7">
      <c r="A17" s="3" t="s">
        <v>91</v>
      </c>
      <c r="B17" s="4">
        <f>Biofuel!C10</f>
        <v>0.5173083858561639</v>
      </c>
      <c r="C17" s="4">
        <f>Biofuel!D10</f>
        <v>5.747870953957377E-2</v>
      </c>
      <c r="D17" s="4">
        <f>Biofuel!E10</f>
        <v>5.7478709539573763E-2</v>
      </c>
      <c r="E17" s="4">
        <f>Biofuel!F10</f>
        <v>9.5174561427939821</v>
      </c>
      <c r="F17" s="4">
        <f>Biofuel!G10</f>
        <v>1.0574951269771091</v>
      </c>
      <c r="G17" s="4">
        <f>Biofuel!H10</f>
        <v>1.0574951269771091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4" sqref="C4"/>
    </sheetView>
  </sheetViews>
  <sheetFormatPr defaultRowHeight="13.5"/>
  <cols>
    <col min="1" max="1" width="34.625" bestFit="1" customWidth="1"/>
  </cols>
  <sheetData>
    <row r="1" spans="1:7" s="9" customFormat="1" ht="54">
      <c r="B1" s="9" t="str">
        <f>'SI ICE based, FFV, Fuel blend'!B1</f>
        <v>WTW fossil energy use</v>
      </c>
      <c r="C1" s="9" t="str">
        <f>'SI ICE based, FFV, Fuel blend'!C1</f>
        <v>Upper limit of error</v>
      </c>
      <c r="D1" s="9" t="str">
        <f>'SI ICE based, FFV, Fuel blend'!D1</f>
        <v>Lower limit of error</v>
      </c>
      <c r="E1" s="9" t="str">
        <f>'SI ICE based, FFV, Fuel blend'!E1</f>
        <v>WTW GHG emission</v>
      </c>
      <c r="F1" s="9" t="str">
        <f>'SI ICE based, FFV, Fuel blend'!F1</f>
        <v>Upper limit of error</v>
      </c>
      <c r="G1" s="9" t="str">
        <f>'SI ICE based, FFV, Fuel blend'!G1</f>
        <v>Lower limit of error</v>
      </c>
    </row>
    <row r="2" spans="1:7">
      <c r="B2" s="3" t="str">
        <f>'SI ICE based, FFV, Fuel blend'!B2</f>
        <v>(MJ/km)</v>
      </c>
      <c r="C2" s="3"/>
      <c r="D2" s="3"/>
      <c r="E2" s="3" t="str">
        <f>'SI ICE based, FFV, Fuel blend'!E2</f>
        <v>(g CO2e/km)</v>
      </c>
      <c r="F2" s="3"/>
      <c r="G2" s="3"/>
    </row>
    <row r="3" spans="1:7">
      <c r="A3" t="str">
        <f>Biofuel!A4</f>
        <v>CI ICE-Diesel</v>
      </c>
      <c r="B3" s="4">
        <f>Biofuel!C4</f>
        <v>2.9081417007684132</v>
      </c>
      <c r="C3" s="4">
        <f>Biofuel!D4</f>
        <v>0.15306008951412703</v>
      </c>
      <c r="D3" s="4">
        <f>Biofuel!E4</f>
        <v>0.15306008951412703</v>
      </c>
      <c r="E3" s="4">
        <f>Biofuel!F4</f>
        <v>212.40482859058892</v>
      </c>
      <c r="F3" s="4">
        <f>Biofuel!G4</f>
        <v>11.179201504767839</v>
      </c>
      <c r="G3" s="4">
        <f>Biofuel!H4</f>
        <v>11.179201504767839</v>
      </c>
    </row>
    <row r="4" spans="1:7">
      <c r="A4" s="3" t="s">
        <v>94</v>
      </c>
      <c r="B4" s="4">
        <f t="shared" ref="B4:G4" si="0">B7*0.05+B3*0.95</f>
        <v>2.8737778954709015</v>
      </c>
      <c r="C4" s="4">
        <f t="shared" si="0"/>
        <v>0.15774522723185502</v>
      </c>
      <c r="D4" s="4">
        <f t="shared" si="0"/>
        <v>0.19299706207023884</v>
      </c>
      <c r="E4" s="4">
        <f t="shared" si="0"/>
        <v>221.50867726537936</v>
      </c>
      <c r="F4" s="4">
        <f t="shared" si="0"/>
        <v>12.811806996676101</v>
      </c>
      <c r="G4" s="4">
        <f t="shared" si="0"/>
        <v>19.073422902809394</v>
      </c>
    </row>
    <row r="5" spans="1:7">
      <c r="A5" s="3" t="s">
        <v>95</v>
      </c>
      <c r="B5" s="4">
        <f t="shared" ref="B5:G5" si="1">B8*0.05+B3*0.95</f>
        <v>2.7873957576688944</v>
      </c>
      <c r="C5" s="4">
        <f t="shared" si="1"/>
        <v>0.14814721192052091</v>
      </c>
      <c r="D5" s="4">
        <f t="shared" si="1"/>
        <v>0.14814721192052091</v>
      </c>
      <c r="E5" s="4">
        <f t="shared" si="1"/>
        <v>203.80935796696156</v>
      </c>
      <c r="F5" s="4">
        <f t="shared" si="1"/>
        <v>10.845215963518566</v>
      </c>
      <c r="G5" s="4">
        <f t="shared" si="1"/>
        <v>10.845215963518566</v>
      </c>
    </row>
    <row r="6" spans="1:7">
      <c r="A6" s="3" t="s">
        <v>96</v>
      </c>
      <c r="B6" s="4">
        <f t="shared" ref="B6:G6" si="2">B9*0.05+B3*0.95</f>
        <v>2.7693677066390832</v>
      </c>
      <c r="C6" s="4">
        <f t="shared" si="2"/>
        <v>0.14706535776569341</v>
      </c>
      <c r="D6" s="4">
        <f t="shared" si="2"/>
        <v>0.14706535776569341</v>
      </c>
      <c r="E6" s="4">
        <f t="shared" si="2"/>
        <v>202.61257988833219</v>
      </c>
      <c r="F6" s="4">
        <f t="shared" si="2"/>
        <v>10.827239611347629</v>
      </c>
      <c r="G6" s="4">
        <f t="shared" si="2"/>
        <v>10.827239611347629</v>
      </c>
    </row>
    <row r="7" spans="1:7">
      <c r="A7" t="str">
        <f>Biofuel!A12</f>
        <v>CI ICE-Waste oil biodiesel</v>
      </c>
      <c r="B7" s="4">
        <f>Biofuel!C12</f>
        <v>2.2208655948181812</v>
      </c>
      <c r="C7" s="4">
        <f>Biofuel!D12</f>
        <v>0.24676284386868683</v>
      </c>
      <c r="D7" s="4">
        <f>Biofuel!E12</f>
        <v>0.95179954063636341</v>
      </c>
      <c r="E7" s="4">
        <f>Biofuel!F12</f>
        <v>394.48180208639752</v>
      </c>
      <c r="F7" s="4">
        <f>Biofuel!G12</f>
        <v>43.831311342933063</v>
      </c>
      <c r="G7" s="4">
        <f>Biofuel!H12</f>
        <v>169.06362946559895</v>
      </c>
    </row>
    <row r="8" spans="1:7">
      <c r="A8" t="str">
        <f>Biofuel!A13</f>
        <v>CI ICE-Jatropha biodiesel</v>
      </c>
      <c r="B8" s="4">
        <f>Biofuel!C13</f>
        <v>0.49322283877804179</v>
      </c>
      <c r="C8" s="4">
        <f>Biofuel!D13</f>
        <v>5.4802537642004649E-2</v>
      </c>
      <c r="D8" s="4">
        <f>Biofuel!E13</f>
        <v>5.4802537642004649E-2</v>
      </c>
      <c r="E8" s="4">
        <f>Biofuel!F13</f>
        <v>40.495416118041561</v>
      </c>
      <c r="F8" s="4">
        <f>Biofuel!G13</f>
        <v>4.4994906797823964</v>
      </c>
      <c r="G8" s="4">
        <f>Biofuel!H13</f>
        <v>4.4994906797823955</v>
      </c>
    </row>
    <row r="9" spans="1:7">
      <c r="A9" t="str">
        <f>Biofuel!A14</f>
        <v>CI ICE-BTL (F-T) biodiesel</v>
      </c>
      <c r="B9" s="4">
        <f>Biofuel!C14</f>
        <v>0.13266181818181819</v>
      </c>
      <c r="C9" s="4">
        <f>Biofuel!D14</f>
        <v>3.3165454545454547E-2</v>
      </c>
      <c r="D9" s="4">
        <f>Biofuel!E14</f>
        <v>3.3165454545454547E-2</v>
      </c>
      <c r="E9" s="4">
        <f>Biofuel!F14</f>
        <v>16.559854545454531</v>
      </c>
      <c r="F9" s="4">
        <f>Biofuel!G14</f>
        <v>4.1399636363636327</v>
      </c>
      <c r="G9" s="4">
        <f>Biofuel!H14</f>
        <v>4.1399636363636327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C4" sqref="C4"/>
    </sheetView>
  </sheetViews>
  <sheetFormatPr defaultRowHeight="13.5"/>
  <sheetData>
    <row r="1" spans="1:13" ht="24.75">
      <c r="A1" s="34" t="s">
        <v>184</v>
      </c>
      <c r="B1" s="35"/>
      <c r="C1" s="35"/>
      <c r="D1" s="35"/>
      <c r="E1" s="35"/>
      <c r="F1" s="35"/>
      <c r="G1" s="35"/>
      <c r="H1" s="3"/>
      <c r="I1" s="3"/>
      <c r="J1" s="3"/>
      <c r="K1" s="3"/>
      <c r="L1" s="3"/>
      <c r="M1" s="3"/>
    </row>
    <row r="2" spans="1:13">
      <c r="A2" s="35"/>
      <c r="B2" s="35"/>
      <c r="C2" s="35"/>
      <c r="D2" s="35"/>
      <c r="E2" s="35"/>
      <c r="F2" s="35"/>
      <c r="G2" s="35"/>
      <c r="H2" s="3"/>
      <c r="I2" s="3"/>
      <c r="J2" s="3"/>
      <c r="K2" s="3"/>
      <c r="L2" s="3"/>
      <c r="M2" s="3"/>
    </row>
    <row r="3" spans="1:13" ht="15.75">
      <c r="A3" s="36" t="s">
        <v>153</v>
      </c>
      <c r="B3" s="36" t="s">
        <v>154</v>
      </c>
      <c r="C3" s="36" t="s">
        <v>155</v>
      </c>
      <c r="D3" s="36"/>
      <c r="E3" s="36" t="s">
        <v>156</v>
      </c>
      <c r="F3" s="35"/>
      <c r="G3" s="35"/>
      <c r="H3" s="3"/>
      <c r="I3" s="3"/>
      <c r="J3" s="3"/>
      <c r="K3" s="3"/>
      <c r="L3" s="3"/>
      <c r="M3" s="3"/>
    </row>
    <row r="4" spans="1:13">
      <c r="A4" s="35" t="s">
        <v>157</v>
      </c>
      <c r="B4" s="35" t="s">
        <v>158</v>
      </c>
      <c r="C4" s="35">
        <v>9.6999999999999993</v>
      </c>
      <c r="D4" s="35"/>
      <c r="E4" s="37" t="s">
        <v>159</v>
      </c>
      <c r="F4" s="35"/>
      <c r="G4" s="35"/>
      <c r="H4" s="3"/>
      <c r="I4" s="3"/>
      <c r="J4" s="3"/>
      <c r="K4" s="3"/>
      <c r="L4" s="3"/>
      <c r="M4" s="3"/>
    </row>
    <row r="5" spans="1:13">
      <c r="A5" s="35" t="s">
        <v>160</v>
      </c>
      <c r="B5" s="35" t="s">
        <v>161</v>
      </c>
      <c r="C5" s="35">
        <v>8.76</v>
      </c>
      <c r="D5" s="35"/>
      <c r="E5" s="37" t="s">
        <v>162</v>
      </c>
      <c r="F5" s="35"/>
      <c r="G5" s="35"/>
      <c r="H5" s="3"/>
      <c r="I5" s="3"/>
      <c r="J5" s="3"/>
      <c r="K5" s="3"/>
      <c r="L5" s="3"/>
      <c r="M5" s="3"/>
    </row>
    <row r="6" spans="1:13">
      <c r="A6" s="35" t="s">
        <v>163</v>
      </c>
      <c r="B6" s="35" t="s">
        <v>164</v>
      </c>
      <c r="C6" s="35">
        <v>1.61</v>
      </c>
      <c r="D6" s="35"/>
      <c r="E6" s="35" t="s">
        <v>165</v>
      </c>
      <c r="F6" s="35"/>
      <c r="G6" s="35"/>
      <c r="H6" s="3"/>
      <c r="I6" s="3"/>
      <c r="J6" s="3"/>
      <c r="K6" s="3"/>
      <c r="L6" s="3"/>
      <c r="M6" s="3"/>
    </row>
    <row r="7" spans="1:13">
      <c r="A7" s="35" t="s">
        <v>166</v>
      </c>
      <c r="B7" s="35" t="s">
        <v>167</v>
      </c>
      <c r="C7" s="35">
        <v>3.79</v>
      </c>
      <c r="D7" s="35"/>
      <c r="E7" s="35" t="s">
        <v>165</v>
      </c>
      <c r="F7" s="35"/>
      <c r="G7" s="35"/>
      <c r="H7" s="3"/>
      <c r="I7" s="3"/>
      <c r="J7" s="3"/>
      <c r="K7" s="3"/>
      <c r="L7" s="3"/>
      <c r="M7" s="3"/>
    </row>
    <row r="8" spans="1:13">
      <c r="A8" s="35" t="s">
        <v>168</v>
      </c>
      <c r="B8" s="35" t="s">
        <v>169</v>
      </c>
      <c r="C8" s="35">
        <v>3412</v>
      </c>
      <c r="D8" s="35"/>
      <c r="E8" s="37" t="s">
        <v>170</v>
      </c>
      <c r="F8" s="35"/>
      <c r="G8" s="35"/>
      <c r="H8" s="3"/>
      <c r="I8" s="3"/>
      <c r="J8" s="3"/>
      <c r="K8" s="3"/>
      <c r="L8" s="3"/>
      <c r="M8" s="3"/>
    </row>
    <row r="9" spans="1:13">
      <c r="A9" s="35" t="s">
        <v>171</v>
      </c>
      <c r="B9" s="35" t="s">
        <v>172</v>
      </c>
      <c r="C9" s="35">
        <v>33.299999999999997</v>
      </c>
      <c r="D9" s="35"/>
      <c r="E9" s="37" t="s">
        <v>173</v>
      </c>
      <c r="F9" s="35"/>
      <c r="G9" s="35"/>
      <c r="H9" s="3"/>
      <c r="I9" s="3"/>
      <c r="J9" s="3"/>
      <c r="K9" s="3"/>
      <c r="L9" s="3"/>
      <c r="M9" s="3"/>
    </row>
    <row r="10" spans="1:13">
      <c r="A10" s="35" t="s">
        <v>174</v>
      </c>
      <c r="B10" s="35" t="s">
        <v>175</v>
      </c>
      <c r="C10" s="35">
        <v>1000</v>
      </c>
      <c r="D10" s="35"/>
      <c r="E10" s="35" t="s">
        <v>165</v>
      </c>
      <c r="F10" s="35"/>
      <c r="G10" s="35"/>
      <c r="H10" s="3"/>
      <c r="I10" s="3"/>
      <c r="J10" s="3"/>
      <c r="K10" s="3"/>
      <c r="L10" s="3"/>
      <c r="M10" s="3"/>
    </row>
    <row r="11" spans="1:13">
      <c r="A11" s="35" t="s">
        <v>176</v>
      </c>
      <c r="B11" s="35" t="s">
        <v>177</v>
      </c>
      <c r="C11" s="38">
        <v>10.3</v>
      </c>
      <c r="D11" s="39"/>
      <c r="E11" s="37" t="s">
        <v>178</v>
      </c>
      <c r="F11" s="35"/>
      <c r="G11" s="35"/>
      <c r="H11" s="3"/>
      <c r="I11" s="3"/>
      <c r="J11" s="3"/>
      <c r="K11" s="3"/>
      <c r="L11" s="3"/>
      <c r="M11" s="3"/>
    </row>
    <row r="12" spans="1:13">
      <c r="A12" s="35" t="s">
        <v>179</v>
      </c>
      <c r="B12" s="35" t="s">
        <v>180</v>
      </c>
      <c r="C12" s="38">
        <v>3.6</v>
      </c>
      <c r="D12" s="35"/>
      <c r="E12" s="35" t="s">
        <v>165</v>
      </c>
      <c r="F12" s="35"/>
      <c r="G12" s="35"/>
      <c r="H12" s="3"/>
      <c r="I12" s="3"/>
      <c r="J12" s="3"/>
      <c r="K12" s="3"/>
      <c r="L12" s="3"/>
      <c r="M12" s="3"/>
    </row>
    <row r="13" spans="1:13">
      <c r="A13" s="35" t="s">
        <v>181</v>
      </c>
      <c r="B13" s="35" t="s">
        <v>182</v>
      </c>
      <c r="C13" s="35">
        <f>600/1000</f>
        <v>0.6</v>
      </c>
      <c r="D13" s="35"/>
      <c r="E13" s="37" t="s">
        <v>183</v>
      </c>
      <c r="F13" s="35"/>
      <c r="G13" s="35"/>
      <c r="H13" s="3"/>
      <c r="I13" s="3"/>
      <c r="J13" s="3"/>
      <c r="K13" s="3"/>
      <c r="L13" s="3"/>
      <c r="M13" s="3"/>
    </row>
    <row r="14" spans="1:13">
      <c r="A14" s="35"/>
      <c r="B14" s="35"/>
      <c r="C14" s="35"/>
      <c r="D14" s="35"/>
      <c r="E14" s="35"/>
      <c r="F14" s="35"/>
      <c r="G14" s="35"/>
      <c r="H14" s="3"/>
      <c r="I14" s="3"/>
      <c r="J14" s="3"/>
      <c r="K14" s="3"/>
      <c r="L14" s="3"/>
      <c r="M14" s="3"/>
    </row>
    <row r="15" spans="1:13">
      <c r="A15" s="35"/>
      <c r="B15" s="35"/>
      <c r="C15" s="35"/>
      <c r="D15" s="35"/>
      <c r="E15" s="35"/>
      <c r="F15" s="35"/>
      <c r="G15" s="35"/>
      <c r="H15" s="3"/>
      <c r="I15" s="3"/>
      <c r="J15" s="3"/>
      <c r="K15" s="3"/>
      <c r="L15" s="3"/>
      <c r="M15" s="3"/>
    </row>
    <row r="16" spans="1:13">
      <c r="A16" s="35"/>
      <c r="B16" s="35"/>
      <c r="C16" s="35"/>
      <c r="D16" s="35"/>
      <c r="E16" s="35"/>
      <c r="F16" s="35"/>
      <c r="G16" s="35"/>
      <c r="H16" s="3"/>
      <c r="I16" s="3"/>
      <c r="J16" s="3"/>
      <c r="K16" s="3"/>
      <c r="L16" s="3"/>
      <c r="M16" s="3"/>
    </row>
    <row r="17" spans="1:13">
      <c r="A17" s="35"/>
      <c r="B17" s="35"/>
      <c r="C17" s="35"/>
      <c r="D17" s="35"/>
      <c r="E17" s="35"/>
      <c r="F17" s="35"/>
      <c r="G17" s="35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</sheetData>
  <phoneticPr fontId="1" type="noConversion"/>
  <hyperlinks>
    <hyperlink ref="E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G7" sqref="G7"/>
    </sheetView>
  </sheetViews>
  <sheetFormatPr defaultRowHeight="13.5"/>
  <cols>
    <col min="1" max="1" width="14.125" customWidth="1"/>
  </cols>
  <sheetData>
    <row r="1" spans="1:13">
      <c r="A1" t="s">
        <v>268</v>
      </c>
      <c r="D1" s="79"/>
      <c r="E1" s="80"/>
      <c r="F1" s="80"/>
      <c r="G1" s="80"/>
      <c r="H1" s="80"/>
      <c r="I1" s="80"/>
      <c r="J1" s="80"/>
      <c r="K1" s="80"/>
      <c r="L1" s="80"/>
      <c r="M1" s="92"/>
    </row>
    <row r="2" spans="1:13">
      <c r="A2" t="s">
        <v>257</v>
      </c>
      <c r="D2" s="66"/>
      <c r="E2" s="5"/>
      <c r="F2" s="5"/>
      <c r="G2" s="5"/>
      <c r="H2" s="5"/>
      <c r="I2" s="5"/>
      <c r="J2" s="5"/>
      <c r="K2" s="5"/>
      <c r="L2" s="5"/>
      <c r="M2" s="67"/>
    </row>
    <row r="3" spans="1:13">
      <c r="A3" s="79" t="s">
        <v>258</v>
      </c>
      <c r="B3" s="92"/>
      <c r="D3" s="66" t="s">
        <v>261</v>
      </c>
      <c r="E3" s="5"/>
      <c r="F3" s="5"/>
      <c r="G3" s="5"/>
      <c r="H3" s="5"/>
      <c r="I3" s="5"/>
      <c r="J3" s="5"/>
      <c r="K3" s="5"/>
      <c r="L3" s="5"/>
      <c r="M3" s="67"/>
    </row>
    <row r="4" spans="1:13">
      <c r="A4" s="66" t="s">
        <v>267</v>
      </c>
      <c r="B4" s="67"/>
      <c r="D4" s="66" t="s">
        <v>259</v>
      </c>
      <c r="E4" s="104">
        <f>F6</f>
        <v>1.1080918884965025</v>
      </c>
      <c r="F4" s="79" t="s">
        <v>260</v>
      </c>
      <c r="G4" s="80"/>
      <c r="H4" s="80"/>
      <c r="I4" s="80"/>
      <c r="J4" s="80"/>
      <c r="K4" s="92"/>
      <c r="L4" s="5"/>
      <c r="M4" s="67"/>
    </row>
    <row r="5" spans="1:13">
      <c r="A5" s="72" t="s">
        <v>263</v>
      </c>
      <c r="B5" s="105">
        <f>E8*100</f>
        <v>100.31147622178867</v>
      </c>
      <c r="D5" s="66"/>
      <c r="E5" s="5"/>
      <c r="F5" s="66" t="s">
        <v>299</v>
      </c>
      <c r="G5" s="5"/>
      <c r="H5" s="5"/>
      <c r="I5" s="5"/>
      <c r="J5" s="5"/>
      <c r="K5" s="67"/>
      <c r="L5" s="5"/>
      <c r="M5" s="67"/>
    </row>
    <row r="6" spans="1:13">
      <c r="D6" s="66"/>
      <c r="E6" s="5"/>
      <c r="F6" s="103">
        <f>32*35.59/(28*0.835*43.96)</f>
        <v>1.1080918884965025</v>
      </c>
      <c r="G6" s="73"/>
      <c r="H6" s="73"/>
      <c r="I6" s="73"/>
      <c r="J6" s="73"/>
      <c r="K6" s="78"/>
      <c r="L6" s="5"/>
      <c r="M6" s="67"/>
    </row>
    <row r="7" spans="1:13">
      <c r="D7" s="66" t="s">
        <v>262</v>
      </c>
      <c r="E7" s="5"/>
      <c r="F7" s="5"/>
      <c r="G7" s="5"/>
      <c r="H7" s="5"/>
      <c r="I7" s="5"/>
      <c r="J7" s="5"/>
      <c r="K7" s="5"/>
      <c r="L7" s="5"/>
      <c r="M7" s="67"/>
    </row>
    <row r="8" spans="1:13">
      <c r="D8" s="66" t="s">
        <v>265</v>
      </c>
      <c r="E8" s="104">
        <f>E4*F10</f>
        <v>1.0031147622178866</v>
      </c>
      <c r="F8" s="5" t="s">
        <v>264</v>
      </c>
      <c r="G8" s="5"/>
      <c r="H8" s="5"/>
      <c r="I8" s="5"/>
      <c r="J8" s="5"/>
      <c r="K8" s="5"/>
      <c r="L8" s="5"/>
      <c r="M8" s="67"/>
    </row>
    <row r="9" spans="1:13">
      <c r="D9" s="66"/>
      <c r="E9" s="5"/>
      <c r="F9" s="79" t="s">
        <v>266</v>
      </c>
      <c r="G9" s="80"/>
      <c r="H9" s="80"/>
      <c r="I9" s="80"/>
      <c r="J9" s="80"/>
      <c r="K9" s="80"/>
      <c r="L9" s="80"/>
      <c r="M9" s="92"/>
    </row>
    <row r="10" spans="1:13">
      <c r="D10" s="66"/>
      <c r="E10" s="5"/>
      <c r="F10" s="103">
        <f>1.72/1.9</f>
        <v>0.90526315789473688</v>
      </c>
      <c r="G10" s="73"/>
      <c r="H10" s="73"/>
      <c r="I10" s="73"/>
      <c r="J10" s="73"/>
      <c r="K10" s="73"/>
      <c r="L10" s="73"/>
      <c r="M10" s="78"/>
    </row>
    <row r="11" spans="1:13">
      <c r="D11" s="72"/>
      <c r="E11" s="73"/>
      <c r="F11" s="73"/>
      <c r="G11" s="73"/>
      <c r="H11" s="73"/>
      <c r="I11" s="73"/>
      <c r="J11" s="73"/>
      <c r="K11" s="73"/>
      <c r="L11" s="73"/>
      <c r="M11" s="78"/>
    </row>
    <row r="13" spans="1:13">
      <c r="A13" t="s">
        <v>269</v>
      </c>
    </row>
    <row r="14" spans="1:13">
      <c r="A14" s="3" t="s">
        <v>257</v>
      </c>
      <c r="B14" s="3"/>
    </row>
    <row r="15" spans="1:13">
      <c r="A15" s="79" t="s">
        <v>258</v>
      </c>
      <c r="B15" s="92"/>
    </row>
    <row r="16" spans="1:13">
      <c r="A16" s="66" t="s">
        <v>271</v>
      </c>
      <c r="B16" s="67"/>
    </row>
    <row r="17" spans="1:5">
      <c r="A17" s="72" t="s">
        <v>263</v>
      </c>
      <c r="B17" s="105">
        <f>E4*100</f>
        <v>110.80918884965025</v>
      </c>
    </row>
    <row r="18" spans="1:5" ht="15.75">
      <c r="A18" s="106" t="s">
        <v>272</v>
      </c>
      <c r="B18" s="107">
        <f>100/78*100</f>
        <v>128.2051282051282</v>
      </c>
      <c r="E18" s="108" t="s">
        <v>275</v>
      </c>
    </row>
    <row r="19" spans="1:5" ht="15.75">
      <c r="A19" s="106" t="s">
        <v>273</v>
      </c>
      <c r="B19" s="91">
        <f>100/90*100</f>
        <v>111.11111111111111</v>
      </c>
      <c r="E19" s="108" t="s">
        <v>277</v>
      </c>
    </row>
    <row r="20" spans="1:5" ht="14.25">
      <c r="E20" s="108" t="s">
        <v>276</v>
      </c>
    </row>
    <row r="22" spans="1:5">
      <c r="A22" t="s">
        <v>270</v>
      </c>
    </row>
    <row r="23" spans="1:5">
      <c r="A23" s="3" t="s">
        <v>257</v>
      </c>
      <c r="B23" s="3"/>
    </row>
    <row r="24" spans="1:5">
      <c r="A24" s="79" t="s">
        <v>258</v>
      </c>
      <c r="B24" s="92"/>
    </row>
    <row r="25" spans="1:5">
      <c r="A25" s="66" t="s">
        <v>274</v>
      </c>
      <c r="B25" s="67"/>
    </row>
    <row r="26" spans="1:5">
      <c r="A26" s="72" t="s">
        <v>263</v>
      </c>
      <c r="B26" s="105">
        <v>110</v>
      </c>
    </row>
    <row r="27" spans="1:5" ht="14.25">
      <c r="A27" s="106" t="s">
        <v>272</v>
      </c>
      <c r="B27">
        <v>115</v>
      </c>
      <c r="E27" s="108" t="s">
        <v>279</v>
      </c>
    </row>
    <row r="28" spans="1:5" ht="15.75">
      <c r="A28" s="106" t="s">
        <v>273</v>
      </c>
      <c r="B28">
        <v>105</v>
      </c>
      <c r="E28" s="108" t="s">
        <v>280</v>
      </c>
    </row>
    <row r="30" spans="1:5">
      <c r="B30" s="105">
        <f>48.6/(42.8*0.9)</f>
        <v>1.2616822429906545</v>
      </c>
    </row>
    <row r="31" spans="1:5">
      <c r="E31" s="109" t="s">
        <v>278</v>
      </c>
    </row>
    <row r="34" spans="6:6" ht="14.25">
      <c r="F34" s="108"/>
    </row>
  </sheetData>
  <phoneticPr fontId="1" type="noConversion"/>
  <hyperlinks>
    <hyperlink ref="E20" r:id="rId1" display="http://wenku.baidu.com/view/75a1357e168884868762d6ba.html"/>
    <hyperlink ref="E27" location="_ftn1" display="_ftn1"/>
    <hyperlink ref="E31" location="_ftnref1" display="_ftnref1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workbookViewId="0">
      <selection activeCell="E59" sqref="E59"/>
    </sheetView>
  </sheetViews>
  <sheetFormatPr defaultColWidth="8.875" defaultRowHeight="13.5"/>
  <cols>
    <col min="1" max="1" width="8.875" style="3"/>
    <col min="2" max="2" width="24.25" style="3" customWidth="1"/>
    <col min="3" max="3" width="19.625" style="3" customWidth="1"/>
    <col min="4" max="5" width="10.5" style="3" customWidth="1"/>
    <col min="6" max="6" width="12.125" style="3" customWidth="1"/>
    <col min="7" max="7" width="11.75" style="3" customWidth="1"/>
    <col min="8" max="9" width="11" style="3" customWidth="1"/>
    <col min="10" max="16384" width="8.875" style="3"/>
  </cols>
  <sheetData>
    <row r="1" spans="1:9">
      <c r="A1" s="109" t="s">
        <v>241</v>
      </c>
    </row>
    <row r="2" spans="1:9">
      <c r="A2" s="109" t="s">
        <v>242</v>
      </c>
    </row>
    <row r="4" spans="1:9">
      <c r="A4" s="3" t="s">
        <v>243</v>
      </c>
      <c r="E4" s="4"/>
      <c r="H4" s="4"/>
    </row>
    <row r="5" spans="1:9">
      <c r="C5" s="79"/>
      <c r="D5" s="80" t="str">
        <f>'NG-based'!C1</f>
        <v>WTW fossil energy use</v>
      </c>
      <c r="E5" s="80" t="str">
        <f>'NG-based'!D1</f>
        <v>Upper limit of error</v>
      </c>
      <c r="F5" s="80" t="str">
        <f>'NG-based'!E1</f>
        <v>Lower limit of error</v>
      </c>
      <c r="G5" s="80" t="str">
        <f>'NG-based'!F1</f>
        <v>WTW GHG emission</v>
      </c>
      <c r="H5" s="80" t="str">
        <f>'NG-based'!G1</f>
        <v>Upper limit of error</v>
      </c>
      <c r="I5" s="92" t="str">
        <f>'NG-based'!H1</f>
        <v>Lower limit of error</v>
      </c>
    </row>
    <row r="6" spans="1:9">
      <c r="C6" s="66"/>
      <c r="D6" s="5" t="str">
        <f>'NG-based'!C2</f>
        <v>(MJ/km)</v>
      </c>
      <c r="E6" s="5"/>
      <c r="F6" s="5"/>
      <c r="G6" s="5" t="str">
        <f>'NG-based'!F2</f>
        <v>(g CO2e/km)</v>
      </c>
      <c r="H6" s="5"/>
      <c r="I6" s="67"/>
    </row>
    <row r="7" spans="1:9">
      <c r="B7" s="3" t="str">
        <f>'NG-based'!A3</f>
        <v>SI ICE-Gasoline (8L/100km)</v>
      </c>
      <c r="C7" s="66" t="str">
        <f>'NG-based'!B3</f>
        <v>汽油车</v>
      </c>
      <c r="D7" s="93">
        <f>'NG-based'!C3</f>
        <v>3.2246591708348991</v>
      </c>
      <c r="E7" s="93">
        <f>'NG-based'!D3</f>
        <v>0.1697189037281526</v>
      </c>
      <c r="F7" s="93">
        <f>'NG-based'!E3</f>
        <v>0.1697189037281526</v>
      </c>
      <c r="G7" s="93">
        <f>'NG-based'!F3</f>
        <v>235.62100914587327</v>
      </c>
      <c r="H7" s="93">
        <f>'NG-based'!G3</f>
        <v>12.401105744519647</v>
      </c>
      <c r="I7" s="94">
        <f>'NG-based'!H3</f>
        <v>12.401105744519647</v>
      </c>
    </row>
    <row r="8" spans="1:9">
      <c r="B8" s="3" t="str">
        <f>'NG-based'!A4</f>
        <v>CI ICE-Diesel</v>
      </c>
      <c r="C8" s="66" t="str">
        <f>'NG-based'!B4</f>
        <v>柴油车</v>
      </c>
      <c r="D8" s="93">
        <f>'NG-based'!C4</f>
        <v>2.9081417007684132</v>
      </c>
      <c r="E8" s="93">
        <f>'NG-based'!D4</f>
        <v>0.15306008951412703</v>
      </c>
      <c r="F8" s="93">
        <f>'NG-based'!E4</f>
        <v>0.15306008951412703</v>
      </c>
      <c r="G8" s="93">
        <f>'NG-based'!F4</f>
        <v>212.40482859058892</v>
      </c>
      <c r="H8" s="93">
        <f>'NG-based'!G4</f>
        <v>11.179201504767839</v>
      </c>
      <c r="I8" s="94">
        <f>'NG-based'!H4</f>
        <v>11.179201504767839</v>
      </c>
    </row>
    <row r="9" spans="1:9">
      <c r="C9" s="66"/>
      <c r="D9" s="5"/>
      <c r="E9" s="5"/>
      <c r="F9" s="5"/>
      <c r="G9" s="5"/>
      <c r="H9" s="5"/>
      <c r="I9" s="67"/>
    </row>
    <row r="10" spans="1:9">
      <c r="B10" s="3" t="str">
        <f>'NG-based'!A6</f>
        <v>SI ICE-LPG</v>
      </c>
      <c r="C10" s="66" t="str">
        <f>'NG-based'!B6</f>
        <v>LPG车</v>
      </c>
      <c r="D10" s="93">
        <f>'NG-based'!C6</f>
        <v>3.1912734652460677</v>
      </c>
      <c r="E10" s="93">
        <f>'NG-based'!D6</f>
        <v>0.16796176132874041</v>
      </c>
      <c r="F10" s="93">
        <f>'NG-based'!E6</f>
        <v>0.16796176132874041</v>
      </c>
      <c r="G10" s="93">
        <f>'NG-based'!F6</f>
        <v>227.69800000000001</v>
      </c>
      <c r="H10" s="93">
        <f>'NG-based'!G6</f>
        <v>11.984105263157897</v>
      </c>
      <c r="I10" s="94">
        <f>'NG-based'!H6</f>
        <v>11.984105263157897</v>
      </c>
    </row>
    <row r="11" spans="1:9">
      <c r="B11" s="3" t="str">
        <f>'NG-based'!A7</f>
        <v>SI ICE-CNG</v>
      </c>
      <c r="C11" s="66" t="str">
        <f>'NG-based'!B7</f>
        <v>CNG车</v>
      </c>
      <c r="D11" s="93">
        <f>'NG-based'!C7</f>
        <v>3.159802115762921</v>
      </c>
      <c r="E11" s="93">
        <f>'NG-based'!D7</f>
        <v>0.35108912397365794</v>
      </c>
      <c r="F11" s="93">
        <f>'NG-based'!E7</f>
        <v>0.35108912397365794</v>
      </c>
      <c r="G11" s="93">
        <f>'NG-based'!F7</f>
        <v>205.20844234425346</v>
      </c>
      <c r="H11" s="93">
        <f>'NG-based'!G7</f>
        <v>22.800938038250386</v>
      </c>
      <c r="I11" s="94">
        <f>'NG-based'!H7</f>
        <v>22.800938038250386</v>
      </c>
    </row>
    <row r="12" spans="1:9">
      <c r="B12" s="3" t="str">
        <f>'NG-based'!A8</f>
        <v>SI ICE-LNG1</v>
      </c>
      <c r="C12" s="66" t="str">
        <f>'NG-based'!B8</f>
        <v>LNG车(海外进口)</v>
      </c>
      <c r="D12" s="93">
        <f>'NG-based'!C8</f>
        <v>3.1813962635499022</v>
      </c>
      <c r="E12" s="93">
        <f>'NG-based'!D8</f>
        <v>0.1674419086078896</v>
      </c>
      <c r="F12" s="93">
        <f>'NG-based'!E8</f>
        <v>0.16744190860788963</v>
      </c>
      <c r="G12" s="93">
        <f>'NG-based'!F8</f>
        <v>191.11390199824376</v>
      </c>
      <c r="H12" s="93">
        <f>'NG-based'!G8</f>
        <v>10.058626420960199</v>
      </c>
      <c r="I12" s="94">
        <f>'NG-based'!H8</f>
        <v>10.058626420960199</v>
      </c>
    </row>
    <row r="13" spans="1:9">
      <c r="B13" s="3" t="str">
        <f>'NG-based'!A9</f>
        <v>SI ICE-LNG2</v>
      </c>
      <c r="C13" s="66" t="str">
        <f>'NG-based'!B9</f>
        <v>LNG车(井口液化)</v>
      </c>
      <c r="D13" s="93">
        <f>'NG-based'!C9</f>
        <v>3.1338313891309624</v>
      </c>
      <c r="E13" s="93">
        <f>'NG-based'!D9</f>
        <v>0.16493849416478751</v>
      </c>
      <c r="F13" s="93">
        <f>'NG-based'!E9</f>
        <v>0.16493849416478751</v>
      </c>
      <c r="G13" s="93">
        <f>'NG-based'!F9</f>
        <v>195.55523695489578</v>
      </c>
      <c r="H13" s="93">
        <f>'NG-based'!G9</f>
        <v>10.292380892362937</v>
      </c>
      <c r="I13" s="94">
        <f>'NG-based'!H9</f>
        <v>10.292380892362937</v>
      </c>
    </row>
    <row r="14" spans="1:9">
      <c r="B14" s="3" t="str">
        <f>'NG-based'!A10</f>
        <v>SI ICE-LNG3</v>
      </c>
      <c r="C14" s="66" t="str">
        <f>'NG-based'!B10</f>
        <v>LNG车(管道气液化)</v>
      </c>
      <c r="D14" s="93">
        <f>'NG-based'!C10</f>
        <v>3.1716781492886774</v>
      </c>
      <c r="E14" s="93">
        <f>'NG-based'!D10</f>
        <v>0.1669304289099304</v>
      </c>
      <c r="F14" s="93">
        <f>'NG-based'!E10</f>
        <v>0.1669304289099304</v>
      </c>
      <c r="G14" s="93">
        <f>'NG-based'!F10</f>
        <v>198.04654989186992</v>
      </c>
      <c r="H14" s="93">
        <f>'NG-based'!G10</f>
        <v>10.423502625887892</v>
      </c>
      <c r="I14" s="94">
        <f>'NG-based'!H10</f>
        <v>10.423502625887892</v>
      </c>
    </row>
    <row r="15" spans="1:9">
      <c r="B15" s="3" t="str">
        <f>'NG-based'!A11</f>
        <v>CI ICE-GTL</v>
      </c>
      <c r="C15" s="72" t="str">
        <f>'NG-based'!B11</f>
        <v>GTL车</v>
      </c>
      <c r="D15" s="95">
        <f>'NG-based'!C11</f>
        <v>4.8861088829297961</v>
      </c>
      <c r="E15" s="95">
        <f>'NG-based'!D11</f>
        <v>0.86225450875231702</v>
      </c>
      <c r="F15" s="95">
        <f>'NG-based'!E11</f>
        <v>0.86225450875231702</v>
      </c>
      <c r="G15" s="95">
        <f>'NG-based'!F11</f>
        <v>331.24517656787822</v>
      </c>
      <c r="H15" s="95">
        <f>'NG-based'!G11</f>
        <v>58.45503115903734</v>
      </c>
      <c r="I15" s="96">
        <f>'NG-based'!H11</f>
        <v>58.455031159037333</v>
      </c>
    </row>
    <row r="17" spans="2:8">
      <c r="B17" s="79"/>
      <c r="C17" s="80"/>
      <c r="D17" s="80" t="str">
        <f>'NG-based'!C13</f>
        <v>能耗</v>
      </c>
      <c r="E17" s="80" t="s">
        <v>244</v>
      </c>
      <c r="F17" s="80"/>
      <c r="G17" s="80" t="str">
        <f>'NG-based'!F13</f>
        <v>排放</v>
      </c>
      <c r="H17" s="92" t="s">
        <v>245</v>
      </c>
    </row>
    <row r="18" spans="2:8">
      <c r="B18" s="66" t="str">
        <f>'NG-based'!A14</f>
        <v>相对汽油车</v>
      </c>
      <c r="C18" s="5" t="str">
        <f>'NG-based'!B14</f>
        <v>LPG车</v>
      </c>
      <c r="D18" s="97">
        <f>'NG-based'!C14</f>
        <v>0.98964674906086669</v>
      </c>
      <c r="E18" s="98">
        <f>1-D18</f>
        <v>1.0353250939133307E-2</v>
      </c>
      <c r="F18" s="5"/>
      <c r="G18" s="97">
        <f>'NG-based'!F14</f>
        <v>0.96637392745836126</v>
      </c>
      <c r="H18" s="99">
        <f>1-G18</f>
        <v>3.3626072541638741E-2</v>
      </c>
    </row>
    <row r="19" spans="2:8">
      <c r="B19" s="66"/>
      <c r="C19" s="5" t="str">
        <f>'NG-based'!B15</f>
        <v>CNG车</v>
      </c>
      <c r="D19" s="97">
        <f>'NG-based'!C15</f>
        <v>0.97988715965439976</v>
      </c>
      <c r="E19" s="98">
        <f t="shared" ref="E19:E23" si="0">1-D19</f>
        <v>2.0112840345600236E-2</v>
      </c>
      <c r="F19" s="5"/>
      <c r="G19" s="97">
        <f>'NG-based'!F15</f>
        <v>0.87092591228657645</v>
      </c>
      <c r="H19" s="99">
        <f t="shared" ref="H19:H23" si="1">1-G19</f>
        <v>0.12907408771342355</v>
      </c>
    </row>
    <row r="20" spans="2:8">
      <c r="B20" s="66"/>
      <c r="C20" s="5" t="str">
        <f>'NG-based'!B16</f>
        <v>LNG车(海外进口)</v>
      </c>
      <c r="D20" s="97">
        <f>'NG-based'!C16</f>
        <v>0.9865837271497454</v>
      </c>
      <c r="E20" s="98">
        <f t="shared" si="0"/>
        <v>1.3416272850254596E-2</v>
      </c>
      <c r="F20" s="5"/>
      <c r="G20" s="97">
        <f>'NG-based'!F16</f>
        <v>0.8111072212576973</v>
      </c>
      <c r="H20" s="99">
        <f t="shared" si="1"/>
        <v>0.1888927787423027</v>
      </c>
    </row>
    <row r="21" spans="2:8">
      <c r="B21" s="66"/>
      <c r="C21" s="5" t="str">
        <f>'NG-based'!B17</f>
        <v>LNG车(井口液化)</v>
      </c>
      <c r="D21" s="97">
        <f>'NG-based'!C17</f>
        <v>0.97183337001149783</v>
      </c>
      <c r="E21" s="98">
        <f t="shared" si="0"/>
        <v>2.8166629988502168E-2</v>
      </c>
      <c r="F21" s="5"/>
      <c r="G21" s="97">
        <f>'NG-based'!F17</f>
        <v>0.82995670744210792</v>
      </c>
      <c r="H21" s="99">
        <f t="shared" si="1"/>
        <v>0.17004329255789208</v>
      </c>
    </row>
    <row r="22" spans="2:8">
      <c r="B22" s="66"/>
      <c r="C22" s="5" t="str">
        <f>'NG-based'!B18</f>
        <v>LNG车(管道气液化)</v>
      </c>
      <c r="D22" s="97">
        <f>'NG-based'!C18</f>
        <v>0.98357003988967173</v>
      </c>
      <c r="E22" s="98">
        <f t="shared" si="0"/>
        <v>1.6429960110328268E-2</v>
      </c>
      <c r="F22" s="5"/>
      <c r="G22" s="97">
        <f>'NG-based'!F18</f>
        <v>0.84053009793052469</v>
      </c>
      <c r="H22" s="99">
        <f t="shared" si="1"/>
        <v>0.15946990206947531</v>
      </c>
    </row>
    <row r="23" spans="2:8">
      <c r="B23" s="72"/>
      <c r="C23" s="73" t="str">
        <f>'NG-based'!B19</f>
        <v>GTL车</v>
      </c>
      <c r="D23" s="100">
        <f>'NG-based'!C19</f>
        <v>1.6801481446515305</v>
      </c>
      <c r="E23" s="101">
        <f t="shared" si="0"/>
        <v>-0.68014814465153051</v>
      </c>
      <c r="F23" s="73"/>
      <c r="G23" s="100">
        <f>'NG-based'!F19</f>
        <v>1.5594992767624625</v>
      </c>
      <c r="H23" s="102">
        <f t="shared" si="1"/>
        <v>-0.55949927676246247</v>
      </c>
    </row>
    <row r="25" spans="2:8">
      <c r="B25" s="79" t="str">
        <f>'NG-based'!A21</f>
        <v>相对柴油车</v>
      </c>
      <c r="C25" s="80"/>
      <c r="D25" s="80" t="str">
        <f>'NG-based'!C21</f>
        <v>能耗</v>
      </c>
      <c r="E25" s="80" t="s">
        <v>244</v>
      </c>
      <c r="F25" s="80"/>
      <c r="G25" s="80" t="str">
        <f>'NG-based'!F21</f>
        <v>排放</v>
      </c>
      <c r="H25" s="92" t="s">
        <v>245</v>
      </c>
    </row>
    <row r="26" spans="2:8">
      <c r="B26" s="66"/>
      <c r="C26" s="5" t="str">
        <f>'NG-based'!B22</f>
        <v>LPG车</v>
      </c>
      <c r="D26" s="97">
        <f>'NG-based'!C22</f>
        <v>1.0973583111176608</v>
      </c>
      <c r="E26" s="98">
        <f>1-D26</f>
        <v>-9.7358311117660801E-2</v>
      </c>
      <c r="F26" s="5"/>
      <c r="G26" s="97">
        <f>'NG-based'!F22</f>
        <v>1.0720001118189677</v>
      </c>
      <c r="H26" s="99">
        <f>1-G26</f>
        <v>-7.2000111818967705E-2</v>
      </c>
    </row>
    <row r="27" spans="2:8">
      <c r="B27" s="66"/>
      <c r="C27" s="5" t="str">
        <f>'NG-based'!B23</f>
        <v>CNG车</v>
      </c>
      <c r="D27" s="97">
        <f>'NG-based'!C23</f>
        <v>1.0865365036813757</v>
      </c>
      <c r="E27" s="98">
        <f t="shared" ref="E27:E31" si="2">1-D27</f>
        <v>-8.6536503681375665E-2</v>
      </c>
      <c r="F27" s="5"/>
      <c r="G27" s="97">
        <f>'NG-based'!F23</f>
        <v>0.96611947904345186</v>
      </c>
      <c r="H27" s="99">
        <f t="shared" ref="H27:H31" si="3">1-G27</f>
        <v>3.3880520956548144E-2</v>
      </c>
    </row>
    <row r="28" spans="2:8">
      <c r="B28" s="66"/>
      <c r="C28" s="5" t="str">
        <f>'NG-based'!B24</f>
        <v>LNG车(海外进口)</v>
      </c>
      <c r="D28" s="97">
        <f>'NG-based'!C24</f>
        <v>1.0939619148232314</v>
      </c>
      <c r="E28" s="98">
        <f t="shared" si="2"/>
        <v>-9.3961914823231352E-2</v>
      </c>
      <c r="F28" s="5"/>
      <c r="G28" s="97">
        <f>'NG-based'!F24</f>
        <v>0.89976251136275487</v>
      </c>
      <c r="H28" s="99">
        <f t="shared" si="3"/>
        <v>0.10023748863724513</v>
      </c>
    </row>
    <row r="29" spans="2:8">
      <c r="B29" s="66"/>
      <c r="C29" s="5" t="str">
        <f>'NG-based'!B25</f>
        <v>LNG车(井口液化)</v>
      </c>
      <c r="D29" s="97">
        <f>'NG-based'!C25</f>
        <v>1.0776061525141349</v>
      </c>
      <c r="E29" s="98">
        <f t="shared" si="2"/>
        <v>-7.7606152514134941E-2</v>
      </c>
      <c r="F29" s="5"/>
      <c r="G29" s="97">
        <f>'NG-based'!F25</f>
        <v>0.92067227592000367</v>
      </c>
      <c r="H29" s="99">
        <f t="shared" si="3"/>
        <v>7.9327724079996331E-2</v>
      </c>
    </row>
    <row r="30" spans="2:8">
      <c r="B30" s="66"/>
      <c r="C30" s="5" t="str">
        <f>'NG-based'!B26</f>
        <v>LNG车(管道气液化)</v>
      </c>
      <c r="D30" s="97">
        <f>'NG-based'!C26</f>
        <v>1.0906202226840014</v>
      </c>
      <c r="E30" s="98">
        <f t="shared" si="2"/>
        <v>-9.0620222684001384E-2</v>
      </c>
      <c r="F30" s="5"/>
      <c r="G30" s="97">
        <f>'NG-based'!F26</f>
        <v>0.93240135455491624</v>
      </c>
      <c r="H30" s="99">
        <f t="shared" si="3"/>
        <v>6.759864544508376E-2</v>
      </c>
    </row>
    <row r="31" spans="2:8">
      <c r="B31" s="72"/>
      <c r="C31" s="73" t="str">
        <f>'NG-based'!B27</f>
        <v>GTL车</v>
      </c>
      <c r="D31" s="100">
        <f>'NG-based'!C27</f>
        <v>1.6801481446515305</v>
      </c>
      <c r="E31" s="101">
        <f t="shared" si="2"/>
        <v>-0.68014814465153051</v>
      </c>
      <c r="F31" s="73"/>
      <c r="G31" s="100">
        <f>'NG-based'!F27</f>
        <v>1.5594992767624625</v>
      </c>
      <c r="H31" s="102">
        <f t="shared" si="3"/>
        <v>-0.55949927676246247</v>
      </c>
    </row>
    <row r="35" spans="1:9">
      <c r="A35" s="3" t="s">
        <v>240</v>
      </c>
    </row>
    <row r="36" spans="1:9" s="9" customFormat="1" ht="54">
      <c r="B36" s="63"/>
      <c r="C36" s="64"/>
      <c r="D36" s="64" t="str">
        <f>'Summary from fuel'!AA1</f>
        <v>WTW fossil energy use</v>
      </c>
      <c r="E36" s="64" t="str">
        <f>'Summary from fuel'!AB1</f>
        <v>Upper limit of error</v>
      </c>
      <c r="F36" s="64" t="str">
        <f>'Summary from fuel'!AC1</f>
        <v>Lower limit of error</v>
      </c>
      <c r="G36" s="64" t="str">
        <f>'Summary from fuel'!AD1</f>
        <v>WTW GHG emission</v>
      </c>
      <c r="H36" s="64" t="str">
        <f>'Summary from fuel'!AE1</f>
        <v>Upper limit of error</v>
      </c>
      <c r="I36" s="65" t="str">
        <f>'Summary from fuel'!AF1</f>
        <v>Lower limit of error</v>
      </c>
    </row>
    <row r="37" spans="1:9">
      <c r="B37" s="72"/>
      <c r="C37" s="73"/>
      <c r="D37" s="73" t="str">
        <f>'Summary from fuel'!AA2</f>
        <v>(MJ/km)</v>
      </c>
      <c r="E37" s="73"/>
      <c r="F37" s="73"/>
      <c r="G37" s="73" t="str">
        <f>'Summary from fuel'!AD2</f>
        <v>(g CO2e/km)</v>
      </c>
      <c r="H37" s="73"/>
      <c r="I37" s="78"/>
    </row>
    <row r="38" spans="1:9">
      <c r="B38" s="79" t="str">
        <f>'Summary from fuel'!A3</f>
        <v>SI ICE-Gasoline (8L/100km)</v>
      </c>
      <c r="C38" s="80" t="s">
        <v>185</v>
      </c>
      <c r="D38" s="81">
        <f>'Summary from fuel'!AA3</f>
        <v>3.2246591708348991</v>
      </c>
      <c r="E38" s="82">
        <f>'Summary from fuel'!AB3</f>
        <v>0.1697189037281526</v>
      </c>
      <c r="F38" s="82">
        <f>'Summary from fuel'!AC3</f>
        <v>0.1697189037281526</v>
      </c>
      <c r="G38" s="83">
        <f>'Summary from fuel'!AD3</f>
        <v>235.62100914587327</v>
      </c>
      <c r="H38" s="82">
        <f>'Summary from fuel'!AE3</f>
        <v>12.401105744519647</v>
      </c>
      <c r="I38" s="84">
        <f>'Summary from fuel'!AF3</f>
        <v>12.401105744519647</v>
      </c>
    </row>
    <row r="39" spans="1:9">
      <c r="B39" s="72" t="str">
        <f>'Summary from fuel'!A9</f>
        <v>CI ICE-Diesel</v>
      </c>
      <c r="C39" s="73" t="s">
        <v>186</v>
      </c>
      <c r="D39" s="74">
        <f>'Summary from fuel'!AA9</f>
        <v>2.9081417007684132</v>
      </c>
      <c r="E39" s="75">
        <f>'Summary from fuel'!AB9</f>
        <v>0.15306008951412703</v>
      </c>
      <c r="F39" s="75">
        <f>'Summary from fuel'!AC9</f>
        <v>0.15306008951412703</v>
      </c>
      <c r="G39" s="76">
        <f>'Summary from fuel'!AD9</f>
        <v>212.40482859058892</v>
      </c>
      <c r="H39" s="75">
        <f>'Summary from fuel'!AE9</f>
        <v>11.179201504767839</v>
      </c>
      <c r="I39" s="77">
        <f>'Summary from fuel'!AF9</f>
        <v>11.179201504767839</v>
      </c>
    </row>
    <row r="40" spans="1:9">
      <c r="B40" s="66"/>
      <c r="C40" s="5"/>
      <c r="D40" s="68"/>
      <c r="E40" s="69"/>
      <c r="F40" s="69"/>
      <c r="G40" s="70"/>
      <c r="H40" s="69"/>
      <c r="I40" s="71"/>
    </row>
    <row r="41" spans="1:9">
      <c r="B41" s="66"/>
      <c r="C41" s="5"/>
      <c r="D41" s="68"/>
      <c r="E41" s="69"/>
      <c r="F41" s="69"/>
      <c r="G41" s="70"/>
      <c r="H41" s="69"/>
      <c r="I41" s="71"/>
    </row>
    <row r="42" spans="1:9">
      <c r="B42" s="79" t="str">
        <f>'NG-based'!A6</f>
        <v>SI ICE-LPG</v>
      </c>
      <c r="C42" s="80" t="s">
        <v>187</v>
      </c>
      <c r="D42" s="81">
        <f>'NG-based'!C6</f>
        <v>3.1912734652460677</v>
      </c>
      <c r="E42" s="82">
        <f>'NG-based'!D6</f>
        <v>0.16796176132874041</v>
      </c>
      <c r="F42" s="82">
        <f>'NG-based'!E6</f>
        <v>0.16796176132874041</v>
      </c>
      <c r="G42" s="83">
        <f>'NG-based'!F6</f>
        <v>227.69800000000001</v>
      </c>
      <c r="H42" s="82">
        <f>'NG-based'!G6</f>
        <v>11.984105263157897</v>
      </c>
      <c r="I42" s="84">
        <f>'NG-based'!H6</f>
        <v>11.984105263157897</v>
      </c>
    </row>
    <row r="43" spans="1:9">
      <c r="B43" s="66" t="str">
        <f>'NG-based'!A7</f>
        <v>SI ICE-CNG</v>
      </c>
      <c r="C43" s="5" t="s">
        <v>188</v>
      </c>
      <c r="D43" s="68">
        <f>'NG-based'!C7</f>
        <v>3.159802115762921</v>
      </c>
      <c r="E43" s="69">
        <f>'NG-based'!D7</f>
        <v>0.35108912397365794</v>
      </c>
      <c r="F43" s="69">
        <f>'NG-based'!E7</f>
        <v>0.35108912397365794</v>
      </c>
      <c r="G43" s="70">
        <f>'NG-based'!F7</f>
        <v>205.20844234425346</v>
      </c>
      <c r="H43" s="69">
        <f>'NG-based'!G7</f>
        <v>22.800938038250386</v>
      </c>
      <c r="I43" s="71">
        <f>'NG-based'!H7</f>
        <v>22.800938038250386</v>
      </c>
    </row>
    <row r="44" spans="1:9">
      <c r="B44" s="66" t="str">
        <f>'NG-based'!A8</f>
        <v>SI ICE-LNG1</v>
      </c>
      <c r="C44" s="5" t="s">
        <v>217</v>
      </c>
      <c r="D44" s="68">
        <f>'NG-based'!C8</f>
        <v>3.1813962635499022</v>
      </c>
      <c r="E44" s="69">
        <f>'NG-based'!D8</f>
        <v>0.1674419086078896</v>
      </c>
      <c r="F44" s="69">
        <f>'NG-based'!E8</f>
        <v>0.16744190860788963</v>
      </c>
      <c r="G44" s="70">
        <f>'NG-based'!F8</f>
        <v>191.11390199824376</v>
      </c>
      <c r="H44" s="69">
        <f>'NG-based'!G8</f>
        <v>10.058626420960199</v>
      </c>
      <c r="I44" s="71">
        <f>'NG-based'!H8</f>
        <v>10.058626420960199</v>
      </c>
    </row>
    <row r="45" spans="1:9">
      <c r="B45" s="66" t="str">
        <f>'NG-based'!A9</f>
        <v>SI ICE-LNG2</v>
      </c>
      <c r="C45" s="5" t="s">
        <v>218</v>
      </c>
      <c r="D45" s="68">
        <f>'NG-based'!C9</f>
        <v>3.1338313891309624</v>
      </c>
      <c r="E45" s="69">
        <f>'NG-based'!D9</f>
        <v>0.16493849416478751</v>
      </c>
      <c r="F45" s="69">
        <f>'NG-based'!E9</f>
        <v>0.16493849416478751</v>
      </c>
      <c r="G45" s="70">
        <f>'NG-based'!F9</f>
        <v>195.55523695489578</v>
      </c>
      <c r="H45" s="69">
        <f>'NG-based'!G9</f>
        <v>10.292380892362937</v>
      </c>
      <c r="I45" s="71">
        <f>'NG-based'!H9</f>
        <v>10.292380892362937</v>
      </c>
    </row>
    <row r="46" spans="1:9">
      <c r="B46" s="66" t="str">
        <f>'NG-based'!A10</f>
        <v>SI ICE-LNG3</v>
      </c>
      <c r="C46" s="5" t="s">
        <v>219</v>
      </c>
      <c r="D46" s="68">
        <f>'NG-based'!C10</f>
        <v>3.1716781492886774</v>
      </c>
      <c r="E46" s="69">
        <f>'NG-based'!D10</f>
        <v>0.1669304289099304</v>
      </c>
      <c r="F46" s="69">
        <f>'NG-based'!E10</f>
        <v>0.1669304289099304</v>
      </c>
      <c r="G46" s="70">
        <f>'NG-based'!F10</f>
        <v>198.04654989186992</v>
      </c>
      <c r="H46" s="69">
        <f>'NG-based'!G10</f>
        <v>10.423502625887892</v>
      </c>
      <c r="I46" s="71">
        <f>'NG-based'!H10</f>
        <v>10.423502625887892</v>
      </c>
    </row>
    <row r="47" spans="1:9">
      <c r="B47" s="72" t="str">
        <f>'NG-based'!A11</f>
        <v>CI ICE-GTL</v>
      </c>
      <c r="C47" s="73" t="s">
        <v>213</v>
      </c>
      <c r="D47" s="74">
        <f>'NG-based'!C11</f>
        <v>4.8861088829297961</v>
      </c>
      <c r="E47" s="75">
        <f>'NG-based'!D11</f>
        <v>0.86225450875231702</v>
      </c>
      <c r="F47" s="75">
        <f>'NG-based'!E11</f>
        <v>0.86225450875231702</v>
      </c>
      <c r="G47" s="76">
        <f>'NG-based'!F11</f>
        <v>331.24517656787822</v>
      </c>
      <c r="H47" s="75">
        <f>'NG-based'!G11</f>
        <v>58.45503115903734</v>
      </c>
      <c r="I47" s="77">
        <f>'NG-based'!H11</f>
        <v>58.455031159037333</v>
      </c>
    </row>
    <row r="48" spans="1:9">
      <c r="B48" s="66"/>
      <c r="C48" s="5"/>
      <c r="D48" s="68"/>
      <c r="E48" s="69"/>
      <c r="F48" s="69"/>
      <c r="G48" s="70"/>
      <c r="H48" s="69"/>
      <c r="I48" s="71"/>
    </row>
    <row r="49" spans="2:9">
      <c r="B49" s="66"/>
      <c r="C49" s="5"/>
      <c r="D49" s="68"/>
      <c r="E49" s="69"/>
      <c r="F49" s="69"/>
      <c r="G49" s="70"/>
      <c r="H49" s="69"/>
      <c r="I49" s="71"/>
    </row>
    <row r="50" spans="2:9">
      <c r="B50" s="79" t="str">
        <f>'Coal-based'!A6</f>
        <v>SI ICE-Methanol from coal</v>
      </c>
      <c r="C50" s="80" t="s">
        <v>189</v>
      </c>
      <c r="D50" s="81">
        <f>'Coal-based'!C6</f>
        <v>5.2369749529880938</v>
      </c>
      <c r="E50" s="82">
        <f>'Coal-based'!D6</f>
        <v>0.92417205052731077</v>
      </c>
      <c r="F50" s="82">
        <f>'Coal-based'!E6</f>
        <v>1.3092437382470234</v>
      </c>
      <c r="G50" s="83">
        <f>'Coal-based'!F6</f>
        <v>610.42389531027345</v>
      </c>
      <c r="H50" s="82">
        <f>'Coal-based'!G6</f>
        <v>107.72186387828356</v>
      </c>
      <c r="I50" s="84">
        <f>'Coal-based'!H6</f>
        <v>152.60597382756836</v>
      </c>
    </row>
    <row r="51" spans="2:9">
      <c r="B51" s="66" t="str">
        <f>'Coal-based'!A7</f>
        <v>SI ICE-DME from coal</v>
      </c>
      <c r="C51" s="5" t="s">
        <v>190</v>
      </c>
      <c r="D51" s="68">
        <f>'Coal-based'!C7</f>
        <v>5.3881571902773313</v>
      </c>
      <c r="E51" s="69">
        <f>'Coal-based'!D7</f>
        <v>0.95085126887247029</v>
      </c>
      <c r="F51" s="69">
        <f>'Coal-based'!E7</f>
        <v>1.3470392975693328</v>
      </c>
      <c r="G51" s="70">
        <f>'Coal-based'!F7</f>
        <v>627.62763636363627</v>
      </c>
      <c r="H51" s="69">
        <f>'Coal-based'!G7</f>
        <v>110.75781818181817</v>
      </c>
      <c r="I51" s="71">
        <f>'Coal-based'!H7</f>
        <v>156.90690909090907</v>
      </c>
    </row>
    <row r="52" spans="2:9">
      <c r="B52" s="66" t="str">
        <f>'Coal-based'!A8</f>
        <v>CI ICE-CTL</v>
      </c>
      <c r="C52" s="5" t="s">
        <v>191</v>
      </c>
      <c r="D52" s="68">
        <f>'Coal-based'!C8</f>
        <v>6.1462662609392522</v>
      </c>
      <c r="E52" s="69">
        <f>'Coal-based'!D8</f>
        <v>0.68291847343769474</v>
      </c>
      <c r="F52" s="69">
        <f>'Coal-based'!E8</f>
        <v>1.0846352225186915</v>
      </c>
      <c r="G52" s="70">
        <f>'Coal-based'!F8</f>
        <v>584.48395967883687</v>
      </c>
      <c r="H52" s="69">
        <f>'Coal-based'!G8</f>
        <v>64.942662186537433</v>
      </c>
      <c r="I52" s="71">
        <f>'Coal-based'!H8</f>
        <v>103.14422817861828</v>
      </c>
    </row>
    <row r="53" spans="2:9">
      <c r="B53" s="72" t="str">
        <f>'Coal-based'!A9</f>
        <v>CI ICE-ICTL</v>
      </c>
      <c r="C53" s="73" t="s">
        <v>192</v>
      </c>
      <c r="D53" s="74">
        <f>'Coal-based'!C9</f>
        <v>6.1718098415346114</v>
      </c>
      <c r="E53" s="75">
        <f>'Coal-based'!D9</f>
        <v>0.68575664905940137</v>
      </c>
      <c r="F53" s="75">
        <f>'Coal-based'!E9</f>
        <v>1.0891429132119901</v>
      </c>
      <c r="G53" s="76">
        <f>'Coal-based'!F9</f>
        <v>663.53781818181824</v>
      </c>
      <c r="H53" s="75">
        <f>'Coal-based'!G9</f>
        <v>73.726424242424258</v>
      </c>
      <c r="I53" s="77">
        <f>'Coal-based'!H9</f>
        <v>117.0949090909091</v>
      </c>
    </row>
    <row r="54" spans="2:9">
      <c r="B54" s="66"/>
      <c r="C54" s="5"/>
      <c r="D54" s="68"/>
      <c r="E54" s="69"/>
      <c r="F54" s="69"/>
      <c r="G54" s="70"/>
      <c r="H54" s="69"/>
      <c r="I54" s="71"/>
    </row>
    <row r="55" spans="2:9">
      <c r="B55" s="79" t="str">
        <f>'Coal-based'!A11</f>
        <v>SI ICE-Methanol from coal (CCS)</v>
      </c>
      <c r="C55" s="80" t="s">
        <v>193</v>
      </c>
      <c r="D55" s="81">
        <f>'Coal-based'!C11</f>
        <v>6.6611947702313152</v>
      </c>
      <c r="E55" s="82">
        <f>'Coal-based'!D11</f>
        <v>1.6652986925578288</v>
      </c>
      <c r="F55" s="82">
        <f>'Coal-based'!E11</f>
        <v>2.2203982567437719</v>
      </c>
      <c r="G55" s="83">
        <f>'Coal-based'!F11</f>
        <v>403.50054096780781</v>
      </c>
      <c r="H55" s="82">
        <f>'Coal-based'!G11</f>
        <v>100.87513524195195</v>
      </c>
      <c r="I55" s="84">
        <f>'Coal-based'!H11</f>
        <v>134.5001803226026</v>
      </c>
    </row>
    <row r="56" spans="2:9">
      <c r="B56" s="66" t="str">
        <f>'Coal-based'!A12</f>
        <v>SI ICE-DME from coal (CCS)</v>
      </c>
      <c r="C56" s="5" t="s">
        <v>194</v>
      </c>
      <c r="D56" s="68">
        <f>'Coal-based'!C12</f>
        <v>6.535064935064935</v>
      </c>
      <c r="E56" s="69">
        <f>'Coal-based'!D12</f>
        <v>1.6337662337662338</v>
      </c>
      <c r="F56" s="69">
        <f>'Coal-based'!E12</f>
        <v>2.1783549783549785</v>
      </c>
      <c r="G56" s="70">
        <f>'Coal-based'!F12</f>
        <v>445.56072727272726</v>
      </c>
      <c r="H56" s="69">
        <f>'Coal-based'!G12</f>
        <v>111.39018181818182</v>
      </c>
      <c r="I56" s="71">
        <f>'Coal-based'!H12</f>
        <v>148.52024242424241</v>
      </c>
    </row>
    <row r="57" spans="2:9">
      <c r="B57" s="66" t="str">
        <f>'Coal-based'!A13</f>
        <v>CI ICE-CTL(CCS)</v>
      </c>
      <c r="C57" s="5" t="s">
        <v>195</v>
      </c>
      <c r="D57" s="68">
        <f>'Coal-based'!C13</f>
        <v>6.0604347149013806</v>
      </c>
      <c r="E57" s="69">
        <f>'Coal-based'!D13</f>
        <v>1.0694884791002439</v>
      </c>
      <c r="F57" s="69">
        <f>'Coal-based'!E13</f>
        <v>1.5151086787253454</v>
      </c>
      <c r="G57" s="70">
        <f>'Coal-based'!F13</f>
        <v>362.93738760279467</v>
      </c>
      <c r="H57" s="69">
        <f>'Coal-based'!G13</f>
        <v>64.047774282846134</v>
      </c>
      <c r="I57" s="71">
        <f>'Coal-based'!H13</f>
        <v>90.734346900698668</v>
      </c>
    </row>
    <row r="58" spans="2:9">
      <c r="B58" s="72" t="str">
        <f>'Coal-based'!A14</f>
        <v>CI ICE-ICTL(CCS)</v>
      </c>
      <c r="C58" s="73" t="s">
        <v>196</v>
      </c>
      <c r="D58" s="74">
        <f>'Coal-based'!C14</f>
        <v>6.8810852204354003</v>
      </c>
      <c r="E58" s="75">
        <f>'Coal-based'!D14</f>
        <v>1.2143091565474238</v>
      </c>
      <c r="F58" s="75">
        <f>'Coal-based'!E14</f>
        <v>1.7202713051088503</v>
      </c>
      <c r="G58" s="76">
        <f>'Coal-based'!F14</f>
        <v>574.79163636363637</v>
      </c>
      <c r="H58" s="75">
        <f>'Coal-based'!G14</f>
        <v>101.43381818181821</v>
      </c>
      <c r="I58" s="77">
        <f>'Coal-based'!H14</f>
        <v>143.69790909090909</v>
      </c>
    </row>
    <row r="59" spans="2:9">
      <c r="B59" s="66"/>
      <c r="C59" s="5"/>
      <c r="D59" s="68"/>
      <c r="E59" s="69"/>
      <c r="F59" s="69"/>
      <c r="G59" s="70"/>
      <c r="H59" s="69"/>
      <c r="I59" s="71"/>
    </row>
    <row r="60" spans="2:9">
      <c r="B60" s="66"/>
      <c r="C60" s="5"/>
      <c r="D60" s="68"/>
      <c r="E60" s="69"/>
      <c r="F60" s="69"/>
      <c r="G60" s="70"/>
      <c r="H60" s="69"/>
      <c r="I60" s="71"/>
    </row>
    <row r="61" spans="2:9">
      <c r="B61" s="85" t="str">
        <f>EV!A6</f>
        <v>BEV-Grid power (20.3KWh/100km)</v>
      </c>
      <c r="C61" s="86" t="s">
        <v>197</v>
      </c>
      <c r="D61" s="87">
        <f>EV!C6</f>
        <v>1.8318354637463474</v>
      </c>
      <c r="E61" s="88">
        <f>EV!D6</f>
        <v>0.20353727374959418</v>
      </c>
      <c r="F61" s="88">
        <f>EV!E6</f>
        <v>0.20353727374959416</v>
      </c>
      <c r="G61" s="89">
        <f>EV!F6</f>
        <v>162.05898095743058</v>
      </c>
      <c r="H61" s="88">
        <f>EV!G6</f>
        <v>18.006553439714509</v>
      </c>
      <c r="I61" s="90">
        <f>EV!H6</f>
        <v>18.006553439714509</v>
      </c>
    </row>
    <row r="62" spans="2:9">
      <c r="B62" s="66"/>
      <c r="C62" s="5"/>
      <c r="D62" s="68"/>
      <c r="E62" s="69"/>
      <c r="F62" s="69"/>
      <c r="G62" s="70"/>
      <c r="H62" s="69"/>
      <c r="I62" s="71"/>
    </row>
    <row r="63" spans="2:9">
      <c r="B63" s="79" t="str">
        <f>EV!A8</f>
        <v>BEV-Coal power</v>
      </c>
      <c r="C63" s="80" t="s">
        <v>198</v>
      </c>
      <c r="D63" s="81">
        <f>EV!C8</f>
        <v>2.2901099542227317</v>
      </c>
      <c r="E63" s="82">
        <f>EV!D8</f>
        <v>0.25445666158030356</v>
      </c>
      <c r="F63" s="82">
        <f>EV!E8</f>
        <v>0.25445666158030356</v>
      </c>
      <c r="G63" s="83">
        <f>EV!F8</f>
        <v>208.15086900056673</v>
      </c>
      <c r="H63" s="82">
        <f>EV!G8</f>
        <v>23.127874333396306</v>
      </c>
      <c r="I63" s="84">
        <f>EV!H8</f>
        <v>23.127874333396303</v>
      </c>
    </row>
    <row r="64" spans="2:9">
      <c r="B64" s="66" t="str">
        <f>EV!A9</f>
        <v>BEV-Oil power</v>
      </c>
      <c r="C64" s="5" t="s">
        <v>199</v>
      </c>
      <c r="D64" s="68">
        <f>EV!C9</f>
        <v>2.9467721559962441</v>
      </c>
      <c r="E64" s="69">
        <f>EV!D9</f>
        <v>0.32741912844402715</v>
      </c>
      <c r="F64" s="69">
        <f>EV!E9</f>
        <v>0.3274191284440271</v>
      </c>
      <c r="G64" s="70">
        <f>EV!F9</f>
        <v>223.31665737085774</v>
      </c>
      <c r="H64" s="69">
        <f>EV!G9</f>
        <v>24.812961930095305</v>
      </c>
      <c r="I64" s="71">
        <f>EV!H9</f>
        <v>24.812961930095305</v>
      </c>
    </row>
    <row r="65" spans="2:9">
      <c r="B65" s="66" t="str">
        <f>EV!A10</f>
        <v>BEV-Gas power</v>
      </c>
      <c r="C65" s="5" t="s">
        <v>200</v>
      </c>
      <c r="D65" s="68">
        <f>EV!C10</f>
        <v>1.8885006165580507</v>
      </c>
      <c r="E65" s="69">
        <f>EV!D10</f>
        <v>0.20983340183978341</v>
      </c>
      <c r="F65" s="69">
        <f>EV!E10</f>
        <v>0.20983340183978344</v>
      </c>
      <c r="G65" s="70">
        <f>EV!F10</f>
        <v>112.46805213474198</v>
      </c>
      <c r="H65" s="69">
        <f>EV!G10</f>
        <v>12.496450237193555</v>
      </c>
      <c r="I65" s="71">
        <f>EV!H10</f>
        <v>12.496450237193553</v>
      </c>
    </row>
    <row r="66" spans="2:9">
      <c r="B66" s="66" t="str">
        <f>EV!A11</f>
        <v>BEV-Nuclear power</v>
      </c>
      <c r="C66" s="5" t="s">
        <v>201</v>
      </c>
      <c r="D66" s="68">
        <f>EV!C11</f>
        <v>4.5288000000000002E-2</v>
      </c>
      <c r="E66" s="69">
        <f>EV!D11</f>
        <v>5.0320000000000009E-3</v>
      </c>
      <c r="F66" s="69">
        <f>EV!E11</f>
        <v>5.032E-3</v>
      </c>
      <c r="G66" s="70">
        <f>EV!F11</f>
        <v>4.6725714285714286</v>
      </c>
      <c r="H66" s="69">
        <f>EV!G11</f>
        <v>0.51917460317460318</v>
      </c>
      <c r="I66" s="71">
        <f>EV!H11</f>
        <v>0.51917460317460318</v>
      </c>
    </row>
    <row r="67" spans="2:9">
      <c r="B67" s="66" t="str">
        <f>EV!A12</f>
        <v>BEV-Large Hydro power</v>
      </c>
      <c r="C67" s="5" t="s">
        <v>202</v>
      </c>
      <c r="D67" s="68">
        <f>EV!C12</f>
        <v>0</v>
      </c>
      <c r="E67" s="69">
        <f>EV!D12</f>
        <v>0</v>
      </c>
      <c r="F67" s="69">
        <f>EV!E12</f>
        <v>0</v>
      </c>
      <c r="G67" s="70">
        <f>EV!F12</f>
        <v>3.5942857142857143</v>
      </c>
      <c r="H67" s="69">
        <f>EV!G12</f>
        <v>0</v>
      </c>
      <c r="I67" s="71">
        <f>EV!H12</f>
        <v>0</v>
      </c>
    </row>
    <row r="68" spans="2:9">
      <c r="B68" s="66" t="str">
        <f>EV!A13</f>
        <v>BEV-Biopower</v>
      </c>
      <c r="C68" s="5" t="s">
        <v>203</v>
      </c>
      <c r="D68" s="68">
        <f>EV!C13</f>
        <v>5.4633142857142859E-2</v>
      </c>
      <c r="E68" s="69">
        <f>EV!D13</f>
        <v>6.0703492063492069E-3</v>
      </c>
      <c r="F68" s="69">
        <f>EV!E13</f>
        <v>6.070349206349206E-3</v>
      </c>
      <c r="G68" s="70">
        <f>EV!F13</f>
        <v>4.1693714285714281</v>
      </c>
      <c r="H68" s="69">
        <f>EV!G13</f>
        <v>0.46326349206349204</v>
      </c>
      <c r="I68" s="71">
        <f>EV!H13</f>
        <v>0.46326349206349204</v>
      </c>
    </row>
    <row r="69" spans="2:9">
      <c r="B69" s="72" t="str">
        <f>EV!A14</f>
        <v>BEV-Coal power(IGCC+CCS)</v>
      </c>
      <c r="C69" s="73" t="s">
        <v>204</v>
      </c>
      <c r="D69" s="74">
        <f>EV!C14</f>
        <v>2.5645028374065189</v>
      </c>
      <c r="E69" s="75">
        <f>EV!D14</f>
        <v>0.45255932424820922</v>
      </c>
      <c r="F69" s="75">
        <f>EV!E14</f>
        <v>0.45255932424820922</v>
      </c>
      <c r="G69" s="76">
        <f>EV!F14</f>
        <v>67.649635642902126</v>
      </c>
      <c r="H69" s="75">
        <f>EV!G14</f>
        <v>11.938170995806258</v>
      </c>
      <c r="I69" s="77">
        <f>EV!H14</f>
        <v>11.938170995806258</v>
      </c>
    </row>
    <row r="70" spans="2:9">
      <c r="B70" s="66"/>
      <c r="C70" s="5"/>
      <c r="D70" s="68"/>
      <c r="E70" s="69"/>
      <c r="F70" s="69"/>
      <c r="G70" s="70"/>
      <c r="H70" s="69"/>
      <c r="I70" s="71"/>
    </row>
    <row r="71" spans="2:9">
      <c r="B71" s="66"/>
      <c r="C71" s="5"/>
      <c r="D71" s="68"/>
      <c r="E71" s="5"/>
      <c r="F71" s="5"/>
      <c r="G71" s="70"/>
      <c r="H71" s="5"/>
      <c r="I71" s="67"/>
    </row>
    <row r="72" spans="2:9">
      <c r="B72" s="79" t="str">
        <f>'Summary from fuel'!A29</f>
        <v>SI ICE-Corn ethanol</v>
      </c>
      <c r="C72" s="80" t="s">
        <v>205</v>
      </c>
      <c r="D72" s="81">
        <f>'Summary from fuel'!AA29</f>
        <v>3.6028522662793607</v>
      </c>
      <c r="E72" s="82">
        <f>'Summary from fuel'!AB29</f>
        <v>0.40031691847548456</v>
      </c>
      <c r="F72" s="82">
        <f>'Summary from fuel'!AC29</f>
        <v>0.90071306656984018</v>
      </c>
      <c r="G72" s="83">
        <f>'Summary from fuel'!AD29</f>
        <v>493.25966102567833</v>
      </c>
      <c r="H72" s="82">
        <f>'Summary from fuel'!AE29</f>
        <v>54.80662900285315</v>
      </c>
      <c r="I72" s="84">
        <f>'Summary from fuel'!AF29</f>
        <v>123.31491525641958</v>
      </c>
    </row>
    <row r="73" spans="2:9">
      <c r="B73" s="66" t="str">
        <f>'Summary from fuel'!A30</f>
        <v>SI ICE-Cassava ethanol</v>
      </c>
      <c r="C73" s="5" t="s">
        <v>206</v>
      </c>
      <c r="D73" s="68">
        <f>'Summary from fuel'!AA30</f>
        <v>2.0493189258262987</v>
      </c>
      <c r="E73" s="69">
        <f>'Summary from fuel'!AB30</f>
        <v>0.22770210286958875</v>
      </c>
      <c r="F73" s="69">
        <f>'Summary from fuel'!AC30</f>
        <v>0.51232973145657468</v>
      </c>
      <c r="G73" s="70">
        <f>'Summary from fuel'!AD30</f>
        <v>224.78508530659494</v>
      </c>
      <c r="H73" s="69">
        <f>'Summary from fuel'!AE30</f>
        <v>24.976120589621662</v>
      </c>
      <c r="I73" s="71">
        <f>'Summary from fuel'!AF30</f>
        <v>56.196271326648741</v>
      </c>
    </row>
    <row r="74" spans="2:9">
      <c r="B74" s="66" t="str">
        <f>'Summary from fuel'!A31</f>
        <v>SI ICE-Sweet sorghum ethanol</v>
      </c>
      <c r="C74" s="5" t="s">
        <v>207</v>
      </c>
      <c r="D74" s="68">
        <f>'Summary from fuel'!AA31</f>
        <v>1.7000554650387762</v>
      </c>
      <c r="E74" s="69">
        <f>'Summary from fuel'!AB31</f>
        <v>2.5500831975581639</v>
      </c>
      <c r="F74" s="69">
        <f>'Summary from fuel'!AC31</f>
        <v>0.42501386625969406</v>
      </c>
      <c r="G74" s="70">
        <f>'Summary from fuel'!AD31</f>
        <v>160.26954337595097</v>
      </c>
      <c r="H74" s="69">
        <f>'Summary from fuel'!AE31</f>
        <v>240.40431506392642</v>
      </c>
      <c r="I74" s="71">
        <f>'Summary from fuel'!AF31</f>
        <v>40.067385843987736</v>
      </c>
    </row>
    <row r="75" spans="2:9">
      <c r="B75" s="66" t="str">
        <f>'Summary from fuel'!A32</f>
        <v>SI ICE-Woody ethanol</v>
      </c>
      <c r="C75" s="5" t="s">
        <v>209</v>
      </c>
      <c r="D75" s="68">
        <f>'Summary from fuel'!AA32</f>
        <v>0.93428531949103355</v>
      </c>
      <c r="E75" s="69">
        <f>'Summary from fuel'!AB32</f>
        <v>0.10380947994344818</v>
      </c>
      <c r="F75" s="69">
        <f>'Summary from fuel'!AC32</f>
        <v>0.10380947994344818</v>
      </c>
      <c r="G75" s="70">
        <f>'Summary from fuel'!AD32</f>
        <v>79.7318078857746</v>
      </c>
      <c r="H75" s="69">
        <f>'Summary from fuel'!AE32</f>
        <v>-8.8590897650860665</v>
      </c>
      <c r="I75" s="71">
        <f>'Summary from fuel'!AF32</f>
        <v>-8.8590897650860665</v>
      </c>
    </row>
    <row r="76" spans="2:9">
      <c r="B76" s="72" t="str">
        <f>'Summary from fuel'!A33</f>
        <v>SI ICE-Herbaceous ethanol</v>
      </c>
      <c r="C76" s="73" t="s">
        <v>208</v>
      </c>
      <c r="D76" s="74">
        <f>'Summary from fuel'!AA33</f>
        <v>0.5173083858561639</v>
      </c>
      <c r="E76" s="75">
        <f>'Summary from fuel'!AB33</f>
        <v>5.747870953957377E-2</v>
      </c>
      <c r="F76" s="75">
        <f>'Summary from fuel'!AC33</f>
        <v>5.7478709539573763E-2</v>
      </c>
      <c r="G76" s="76">
        <f>'Summary from fuel'!AD33</f>
        <v>9.5174561427939821</v>
      </c>
      <c r="H76" s="75">
        <f>'Summary from fuel'!AE33</f>
        <v>1.0574951269771091</v>
      </c>
      <c r="I76" s="77">
        <f>'Summary from fuel'!AF33</f>
        <v>1.0574951269771091</v>
      </c>
    </row>
    <row r="77" spans="2:9">
      <c r="B77" s="66"/>
      <c r="C77" s="5"/>
      <c r="D77" s="68"/>
      <c r="E77" s="69"/>
      <c r="F77" s="69"/>
      <c r="G77" s="70"/>
      <c r="H77" s="69"/>
      <c r="I77" s="71"/>
    </row>
    <row r="78" spans="2:9">
      <c r="B78" s="79" t="str">
        <f>'Summary from fuel'!A35</f>
        <v>CI ICE-Waste oil biodiesel</v>
      </c>
      <c r="C78" s="80" t="s">
        <v>210</v>
      </c>
      <c r="D78" s="81">
        <f>'Summary from fuel'!AA35</f>
        <v>2.2208655948181812</v>
      </c>
      <c r="E78" s="82">
        <f>'Summary from fuel'!AB35</f>
        <v>0.24676284386868683</v>
      </c>
      <c r="F78" s="82">
        <f>'Summary from fuel'!AC35</f>
        <v>0.95179954063636341</v>
      </c>
      <c r="G78" s="83">
        <f>'Summary from fuel'!AD35</f>
        <v>394.48180208639752</v>
      </c>
      <c r="H78" s="82">
        <f>'Summary from fuel'!AE35</f>
        <v>43.831311342933063</v>
      </c>
      <c r="I78" s="84">
        <f>'Summary from fuel'!AF35</f>
        <v>169.06362946559895</v>
      </c>
    </row>
    <row r="79" spans="2:9">
      <c r="B79" s="66" t="str">
        <f>'Summary from fuel'!A36</f>
        <v>CI ICE-Jatropha biodiesel</v>
      </c>
      <c r="C79" s="5" t="s">
        <v>211</v>
      </c>
      <c r="D79" s="68">
        <f>'Summary from fuel'!AA36</f>
        <v>0.49322283877804179</v>
      </c>
      <c r="E79" s="69">
        <f>'Summary from fuel'!AB36</f>
        <v>5.4802537642004649E-2</v>
      </c>
      <c r="F79" s="69">
        <f>'Summary from fuel'!AC36</f>
        <v>5.4802537642004649E-2</v>
      </c>
      <c r="G79" s="70">
        <f>'Summary from fuel'!AD36</f>
        <v>40.495416118041561</v>
      </c>
      <c r="H79" s="69">
        <f>'Summary from fuel'!AE36</f>
        <v>4.4994906797823964</v>
      </c>
      <c r="I79" s="71">
        <f>'Summary from fuel'!AF36</f>
        <v>4.4994906797823955</v>
      </c>
    </row>
    <row r="80" spans="2:9">
      <c r="B80" s="72" t="str">
        <f>'Summary from fuel'!A37</f>
        <v>CI ICE-BTL (F-T) biodiesel</v>
      </c>
      <c r="C80" s="73" t="s">
        <v>212</v>
      </c>
      <c r="D80" s="74">
        <f>'Summary from fuel'!AA37</f>
        <v>0.13266181818181819</v>
      </c>
      <c r="E80" s="75">
        <f>'Summary from fuel'!AB37</f>
        <v>3.3165454545454547E-2</v>
      </c>
      <c r="F80" s="75">
        <f>'Summary from fuel'!AC37</f>
        <v>3.3165454545454547E-2</v>
      </c>
      <c r="G80" s="76">
        <f>'Summary from fuel'!AD37</f>
        <v>16.559854545454531</v>
      </c>
      <c r="H80" s="75">
        <f>'Summary from fuel'!AE37</f>
        <v>4.1399636363636327</v>
      </c>
      <c r="I80" s="77">
        <f>'Summary from fuel'!AF37</f>
        <v>4.1399636363636327</v>
      </c>
    </row>
    <row r="82" spans="5:8">
      <c r="E82" s="4"/>
      <c r="H82" s="4"/>
    </row>
    <row r="83" spans="5:8">
      <c r="E83" s="4"/>
      <c r="H83" s="4"/>
    </row>
  </sheetData>
  <phoneticPr fontId="1" type="noConversion"/>
  <hyperlinks>
    <hyperlink ref="A1" location="'Key Output'!A4" display="气体燃料"/>
    <hyperlink ref="A2" location="'Key Output'!A35" display="全面比较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E4" sqref="E4"/>
    </sheetView>
  </sheetViews>
  <sheetFormatPr defaultColWidth="8.875" defaultRowHeight="13.5"/>
  <cols>
    <col min="1" max="1" width="15.75" style="3" customWidth="1"/>
    <col min="2" max="2" width="10.625" style="3" customWidth="1"/>
    <col min="3" max="16384" width="8.875" style="3"/>
  </cols>
  <sheetData>
    <row r="1" spans="1:15">
      <c r="G1" s="79" t="s">
        <v>288</v>
      </c>
      <c r="H1" s="80"/>
      <c r="I1" s="80"/>
      <c r="J1" s="92"/>
      <c r="L1" s="79" t="s">
        <v>289</v>
      </c>
      <c r="M1" s="80"/>
      <c r="N1" s="80"/>
      <c r="O1" s="92"/>
    </row>
    <row r="2" spans="1:15">
      <c r="B2" s="79" t="s">
        <v>281</v>
      </c>
      <c r="C2" s="80" t="s">
        <v>283</v>
      </c>
      <c r="D2" s="80"/>
      <c r="E2" s="92" t="s">
        <v>285</v>
      </c>
      <c r="G2" s="66" t="str">
        <f>B2</f>
        <v>WTW GHG</v>
      </c>
      <c r="H2" s="5" t="str">
        <f>C2</f>
        <v>单位距离能耗</v>
      </c>
      <c r="I2" s="5"/>
      <c r="J2" s="67" t="str">
        <f>E2</f>
        <v>减碳比例</v>
      </c>
      <c r="L2" s="66" t="str">
        <f>G2</f>
        <v>WTW GHG</v>
      </c>
      <c r="M2" s="5" t="str">
        <f>H2</f>
        <v>单位距离能耗</v>
      </c>
      <c r="N2" s="5"/>
      <c r="O2" s="67" t="str">
        <f>J2</f>
        <v>减碳比例</v>
      </c>
    </row>
    <row r="3" spans="1:15" ht="16.5">
      <c r="B3" s="66" t="s">
        <v>282</v>
      </c>
      <c r="C3" s="5" t="s">
        <v>284</v>
      </c>
      <c r="D3" s="5"/>
      <c r="E3" s="67"/>
      <c r="G3" s="66" t="str">
        <f>B3</f>
        <v>g CO2,e/MJ</v>
      </c>
      <c r="H3" s="5" t="str">
        <f>C3</f>
        <v>柴油=100</v>
      </c>
      <c r="I3" s="5"/>
      <c r="J3" s="67"/>
      <c r="L3" s="66" t="str">
        <f>G3</f>
        <v>g CO2,e/MJ</v>
      </c>
      <c r="M3" s="5" t="str">
        <f>H3</f>
        <v>柴油=100</v>
      </c>
      <c r="N3" s="5"/>
      <c r="O3" s="67"/>
    </row>
    <row r="4" spans="1:15">
      <c r="A4" s="3" t="str">
        <f>'NG-based'!B16</f>
        <v>LNG车(海外进口)</v>
      </c>
      <c r="B4" s="110">
        <f>'Summary from fuel'!M13</f>
        <v>79.331102844888193</v>
      </c>
      <c r="C4" s="104">
        <f>'Key Input'!B17</f>
        <v>110.80918884965025</v>
      </c>
      <c r="D4" s="5"/>
      <c r="E4" s="111">
        <f>1-(B4*C4)/(B7*C7)</f>
        <v>4.8113633672313139E-2</v>
      </c>
      <c r="G4" s="110">
        <f>B4</f>
        <v>79.331102844888193</v>
      </c>
      <c r="H4" s="104">
        <f>'Key Input'!B18</f>
        <v>128.2051282051282</v>
      </c>
      <c r="I4" s="5"/>
      <c r="J4" s="111">
        <f>1-(G4*H4)/(G7*H7)</f>
        <v>-0.10132304819357874</v>
      </c>
      <c r="L4" s="110">
        <f>G4</f>
        <v>79.331102844888193</v>
      </c>
      <c r="M4" s="104">
        <f>'Key Input'!B19</f>
        <v>111.11111111111111</v>
      </c>
      <c r="N4" s="5"/>
      <c r="O4" s="111">
        <f>1-(L4*M4)/(L7*M7)</f>
        <v>4.5520024898898503E-2</v>
      </c>
    </row>
    <row r="5" spans="1:15">
      <c r="A5" s="3" t="str">
        <f>'NG-based'!B17</f>
        <v>LNG车(井口液化)</v>
      </c>
      <c r="B5" s="110">
        <f>'Summary from fuel'!M14</f>
        <v>80.535179732183479</v>
      </c>
      <c r="C5" s="104">
        <f>C4</f>
        <v>110.80918884965025</v>
      </c>
      <c r="D5" s="5"/>
      <c r="E5" s="111">
        <f>1-(B5*C5)/(B7*C7)</f>
        <v>3.3666029492806726E-2</v>
      </c>
      <c r="G5" s="110">
        <f>B5</f>
        <v>80.535179732183479</v>
      </c>
      <c r="H5" s="104">
        <f>H4</f>
        <v>128.2051282051282</v>
      </c>
      <c r="I5" s="5"/>
      <c r="J5" s="111">
        <f>1-(G5*H5)/(G7*H7)</f>
        <v>-0.1180387823787985</v>
      </c>
      <c r="L5" s="110">
        <f>G5</f>
        <v>80.535179732183479</v>
      </c>
      <c r="M5" s="104">
        <f>M4</f>
        <v>111.11111111111111</v>
      </c>
      <c r="N5" s="5"/>
      <c r="O5" s="111">
        <f>1-(L5*M5)/(L7*M7)</f>
        <v>3.1033055271707966E-2</v>
      </c>
    </row>
    <row r="6" spans="1:15">
      <c r="A6" s="3" t="str">
        <f>'NG-based'!B18</f>
        <v>LNG车(管道气液化)</v>
      </c>
      <c r="B6" s="110">
        <f>'Summary from fuel'!M15</f>
        <v>79.574175655440698</v>
      </c>
      <c r="C6" s="104">
        <f>C5</f>
        <v>110.80918884965025</v>
      </c>
      <c r="D6" s="5"/>
      <c r="E6" s="111">
        <f>1-(B6*C6)/(B7*C7)</f>
        <v>4.5197026111186922E-2</v>
      </c>
      <c r="G6" s="110">
        <f>B6</f>
        <v>79.574175655440698</v>
      </c>
      <c r="H6" s="104">
        <f>H5</f>
        <v>128.2051282051282</v>
      </c>
      <c r="I6" s="5"/>
      <c r="J6" s="111">
        <f>1-(G6*H6)/(G7*H7)</f>
        <v>-0.10469753410201355</v>
      </c>
      <c r="L6" s="110">
        <f>G6</f>
        <v>79.574175655440698</v>
      </c>
      <c r="M6" s="104">
        <f>M5</f>
        <v>111.11111111111111</v>
      </c>
      <c r="N6" s="5"/>
      <c r="O6" s="111">
        <f>1-(L6*M6)/(L7*M7)</f>
        <v>4.2595470444921513E-2</v>
      </c>
    </row>
    <row r="7" spans="1:15">
      <c r="A7" s="3" t="s">
        <v>286</v>
      </c>
      <c r="B7" s="103">
        <f>'[1]Oil-based'!K13</f>
        <v>92.349417616977121</v>
      </c>
      <c r="C7" s="112">
        <v>100</v>
      </c>
      <c r="D7" s="73"/>
      <c r="E7" s="78" t="s">
        <v>287</v>
      </c>
      <c r="G7" s="103">
        <f>B7</f>
        <v>92.349417616977121</v>
      </c>
      <c r="H7" s="112">
        <f>C7</f>
        <v>100</v>
      </c>
      <c r="I7" s="73"/>
      <c r="J7" s="78" t="str">
        <f>E7</f>
        <v>-</v>
      </c>
      <c r="L7" s="103">
        <f>G7</f>
        <v>92.349417616977121</v>
      </c>
      <c r="M7" s="112">
        <f>H7</f>
        <v>100</v>
      </c>
      <c r="N7" s="73"/>
      <c r="O7" s="78" t="str">
        <f>J7</f>
        <v>-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N14" sqref="N14"/>
    </sheetView>
  </sheetViews>
  <sheetFormatPr defaultRowHeight="13.5"/>
  <cols>
    <col min="1" max="1" width="8.875" style="3"/>
  </cols>
  <sheetData>
    <row r="1" spans="1:15">
      <c r="B1" s="3"/>
      <c r="C1" s="3"/>
      <c r="D1" s="3"/>
      <c r="E1" s="3"/>
      <c r="F1" s="3"/>
      <c r="G1" s="79" t="s">
        <v>288</v>
      </c>
      <c r="H1" s="80"/>
      <c r="I1" s="80"/>
      <c r="J1" s="92"/>
      <c r="K1" s="3"/>
      <c r="L1" s="79" t="s">
        <v>289</v>
      </c>
      <c r="M1" s="80"/>
      <c r="N1" s="80"/>
      <c r="O1" s="92"/>
    </row>
    <row r="2" spans="1:15">
      <c r="B2" s="79" t="s">
        <v>281</v>
      </c>
      <c r="C2" s="80" t="s">
        <v>283</v>
      </c>
      <c r="D2" s="80"/>
      <c r="E2" s="92" t="s">
        <v>285</v>
      </c>
      <c r="F2" s="3"/>
      <c r="G2" s="66" t="str">
        <f>B2</f>
        <v>WTW GHG</v>
      </c>
      <c r="H2" s="5" t="str">
        <f>C2</f>
        <v>单位距离能耗</v>
      </c>
      <c r="I2" s="5"/>
      <c r="J2" s="67" t="str">
        <f>E2</f>
        <v>减碳比例</v>
      </c>
      <c r="K2" s="3"/>
      <c r="L2" s="66" t="str">
        <f>G2</f>
        <v>WTW GHG</v>
      </c>
      <c r="M2" s="5" t="str">
        <f>H2</f>
        <v>单位距离能耗</v>
      </c>
      <c r="N2" s="5"/>
      <c r="O2" s="67" t="str">
        <f>J2</f>
        <v>减碳比例</v>
      </c>
    </row>
    <row r="3" spans="1:15" ht="16.5">
      <c r="B3" s="66" t="s">
        <v>282</v>
      </c>
      <c r="C3" s="5" t="s">
        <v>284</v>
      </c>
      <c r="D3" s="5"/>
      <c r="E3" s="67"/>
      <c r="F3" s="3"/>
      <c r="G3" s="66" t="str">
        <f>B3</f>
        <v>g CO2,e/MJ</v>
      </c>
      <c r="H3" s="5" t="str">
        <f>C3</f>
        <v>柴油=100</v>
      </c>
      <c r="I3" s="5"/>
      <c r="J3" s="67"/>
      <c r="K3" s="3"/>
      <c r="L3" s="66" t="str">
        <f>G3</f>
        <v>g CO2,e/MJ</v>
      </c>
      <c r="M3" s="5" t="str">
        <f>H3</f>
        <v>柴油=100</v>
      </c>
      <c r="N3" s="5"/>
      <c r="O3" s="67"/>
    </row>
    <row r="4" spans="1:15">
      <c r="A4" s="3" t="s">
        <v>291</v>
      </c>
      <c r="B4" s="113">
        <f>'Summary from fuel'!M13</f>
        <v>79.331102844888193</v>
      </c>
      <c r="C4" s="104">
        <f>'Key Input'!B26</f>
        <v>110</v>
      </c>
      <c r="D4" s="5"/>
      <c r="E4" s="111">
        <f>1-(B4*C4)/(B7*C7)</f>
        <v>5.5064824649909583E-2</v>
      </c>
      <c r="F4" s="3"/>
      <c r="G4" s="110">
        <f>B4</f>
        <v>79.331102844888193</v>
      </c>
      <c r="H4" s="104">
        <f>'Key Input'!B27</f>
        <v>115</v>
      </c>
      <c r="I4" s="5"/>
      <c r="J4" s="111">
        <f>1-(G4*H4)/(G7*H7)</f>
        <v>1.2113225770359892E-2</v>
      </c>
      <c r="K4" s="3"/>
      <c r="L4" s="110">
        <f>G4</f>
        <v>79.331102844888193</v>
      </c>
      <c r="M4" s="104">
        <f>'Key Input'!B28</f>
        <v>105</v>
      </c>
      <c r="N4" s="5"/>
      <c r="O4" s="111">
        <f>1-(L4*M4)/(L7*M7)</f>
        <v>9.801642352945894E-2</v>
      </c>
    </row>
    <row r="5" spans="1:15">
      <c r="A5" s="3" t="s">
        <v>292</v>
      </c>
      <c r="B5" s="113">
        <f>'Summary from fuel'!M14</f>
        <v>80.535179732183479</v>
      </c>
      <c r="C5" s="104">
        <f>C4</f>
        <v>110</v>
      </c>
      <c r="D5" s="5"/>
      <c r="E5" s="111">
        <f>1-(B5*C5)/(B7*C7)</f>
        <v>4.0722724718990855E-2</v>
      </c>
      <c r="F5" s="3"/>
      <c r="G5" s="110">
        <f>B5</f>
        <v>80.535179732183479</v>
      </c>
      <c r="H5" s="104">
        <f>H4</f>
        <v>115</v>
      </c>
      <c r="I5" s="5"/>
      <c r="J5" s="111">
        <f>1-(G5*H5)/(G7*H7)</f>
        <v>-2.8807877937822024E-3</v>
      </c>
      <c r="K5" s="3"/>
      <c r="L5" s="110">
        <f>G5</f>
        <v>80.535179732183479</v>
      </c>
      <c r="M5" s="104">
        <f>M4</f>
        <v>105</v>
      </c>
      <c r="N5" s="5"/>
      <c r="O5" s="111">
        <f>1-(L5*M5)/(L7*M7)</f>
        <v>8.4326237231763912E-2</v>
      </c>
    </row>
    <row r="6" spans="1:15">
      <c r="A6" s="3" t="s">
        <v>293</v>
      </c>
      <c r="B6" s="113">
        <f>'Summary from fuel'!M15</f>
        <v>79.574175655440698</v>
      </c>
      <c r="C6" s="104">
        <f>C5</f>
        <v>110</v>
      </c>
      <c r="D6" s="5"/>
      <c r="E6" s="111">
        <f>1-(B6*C6)/(B7*C7)</f>
        <v>5.2169515740472461E-2</v>
      </c>
      <c r="F6" s="3"/>
      <c r="G6" s="110">
        <f>B6</f>
        <v>79.574175655440698</v>
      </c>
      <c r="H6" s="104">
        <f>H5</f>
        <v>115</v>
      </c>
      <c r="I6" s="5"/>
      <c r="J6" s="111">
        <f>1-(G6*H6)/(G7*H7)</f>
        <v>9.086311910493805E-3</v>
      </c>
      <c r="K6" s="3"/>
      <c r="L6" s="110">
        <f>G6</f>
        <v>79.574175655440698</v>
      </c>
      <c r="M6" s="104">
        <f>M5</f>
        <v>105</v>
      </c>
      <c r="N6" s="5"/>
      <c r="O6" s="111">
        <f>1-(L6*M6)/(L7*M7)</f>
        <v>9.5252719570451005E-2</v>
      </c>
    </row>
    <row r="7" spans="1:15">
      <c r="A7" s="3" t="s">
        <v>290</v>
      </c>
      <c r="B7" s="114">
        <f>'[1]Oil-based'!K13</f>
        <v>92.349417616977121</v>
      </c>
      <c r="C7" s="112">
        <v>100</v>
      </c>
      <c r="D7" s="73"/>
      <c r="E7" s="78" t="s">
        <v>287</v>
      </c>
      <c r="F7" s="3"/>
      <c r="G7" s="103">
        <f>B7</f>
        <v>92.349417616977121</v>
      </c>
      <c r="H7" s="112">
        <f>C7</f>
        <v>100</v>
      </c>
      <c r="I7" s="73"/>
      <c r="J7" s="78" t="str">
        <f>E7</f>
        <v>-</v>
      </c>
      <c r="K7" s="3"/>
      <c r="L7" s="103">
        <f>G7</f>
        <v>92.349417616977121</v>
      </c>
      <c r="M7" s="112">
        <f>H7</f>
        <v>100</v>
      </c>
      <c r="N7" s="73"/>
      <c r="O7" s="78" t="str">
        <f>J7</f>
        <v>-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zoomScale="80" zoomScaleNormal="80" workbookViewId="0">
      <selection activeCell="B8" sqref="B8"/>
    </sheetView>
  </sheetViews>
  <sheetFormatPr defaultRowHeight="13.5"/>
  <cols>
    <col min="1" max="1" width="22" bestFit="1" customWidth="1"/>
    <col min="2" max="2" width="22" style="3" customWidth="1"/>
    <col min="3" max="3" width="12" customWidth="1"/>
    <col min="4" max="4" width="9.875" customWidth="1"/>
    <col min="5" max="5" width="12" customWidth="1"/>
    <col min="6" max="6" width="10" customWidth="1"/>
    <col min="7" max="7" width="11.375" customWidth="1"/>
    <col min="8" max="8" width="10.5" customWidth="1"/>
  </cols>
  <sheetData>
    <row r="1" spans="1:8" s="9" customFormat="1" ht="40.5">
      <c r="C1" s="9" t="str">
        <f>'Summary from fuel'!AA1</f>
        <v>WTW fossil energy use</v>
      </c>
      <c r="D1" s="9" t="str">
        <f>'Summary from fuel'!AB1</f>
        <v>Upper limit of error</v>
      </c>
      <c r="E1" s="9" t="str">
        <f>'Summary from fuel'!AC1</f>
        <v>Lower limit of error</v>
      </c>
      <c r="F1" s="9" t="str">
        <f>'Summary from fuel'!AD1</f>
        <v>WTW GHG emission</v>
      </c>
      <c r="G1" s="9" t="str">
        <f>'Summary from fuel'!AE1</f>
        <v>Upper limit of error</v>
      </c>
      <c r="H1" s="9" t="str">
        <f>'Summary from fuel'!AF1</f>
        <v>Lower limit of error</v>
      </c>
    </row>
    <row r="2" spans="1:8">
      <c r="A2" s="3"/>
      <c r="C2" s="3" t="str">
        <f>'Summary from fuel'!AA2</f>
        <v>(MJ/km)</v>
      </c>
      <c r="D2" s="3"/>
      <c r="E2" s="3"/>
      <c r="F2" s="3" t="str">
        <f>'Summary from fuel'!AD2</f>
        <v>(g CO2e/km)</v>
      </c>
      <c r="G2" s="3"/>
      <c r="H2" s="3"/>
    </row>
    <row r="3" spans="1:8">
      <c r="A3" s="3" t="str">
        <f>'Summary from fuel'!A3</f>
        <v>SI ICE-Gasoline (8L/100km)</v>
      </c>
      <c r="B3" s="3" t="str">
        <f>'Key Output'!C38</f>
        <v>汽油车</v>
      </c>
      <c r="C3" s="4">
        <f>'Summary from fuel'!AA3</f>
        <v>3.2246591708348991</v>
      </c>
      <c r="D3" s="4">
        <f>'Summary from fuel'!AB3</f>
        <v>0.1697189037281526</v>
      </c>
      <c r="E3" s="4">
        <f>'Summary from fuel'!AC3</f>
        <v>0.1697189037281526</v>
      </c>
      <c r="F3" s="4">
        <f>'Summary from fuel'!AD3</f>
        <v>235.62100914587327</v>
      </c>
      <c r="G3" s="4">
        <f>'Summary from fuel'!AE3</f>
        <v>12.401105744519647</v>
      </c>
      <c r="H3" s="4">
        <f>'Summary from fuel'!AF3</f>
        <v>12.401105744519647</v>
      </c>
    </row>
    <row r="4" spans="1:8">
      <c r="A4" s="3" t="str">
        <f>'Summary from fuel'!A9</f>
        <v>CI ICE-Diesel</v>
      </c>
      <c r="B4" s="3" t="str">
        <f>'Key Output'!C39</f>
        <v>柴油车</v>
      </c>
      <c r="C4" s="4">
        <f>'Summary from fuel'!AA9</f>
        <v>2.9081417007684132</v>
      </c>
      <c r="D4" s="4">
        <f>'Summary from fuel'!AB9</f>
        <v>0.15306008951412703</v>
      </c>
      <c r="E4" s="4">
        <f>'Summary from fuel'!AC9</f>
        <v>0.15306008951412703</v>
      </c>
      <c r="F4" s="4">
        <f>'Summary from fuel'!AD9</f>
        <v>212.40482859058892</v>
      </c>
      <c r="G4" s="4">
        <f>'Summary from fuel'!AE9</f>
        <v>11.179201504767839</v>
      </c>
      <c r="H4" s="4">
        <f>'Summary from fuel'!AF9</f>
        <v>11.179201504767839</v>
      </c>
    </row>
    <row r="5" spans="1:8" s="3" customFormat="1">
      <c r="C5" s="4"/>
      <c r="D5" s="4"/>
      <c r="E5" s="4"/>
      <c r="F5" s="4"/>
      <c r="G5" s="4"/>
      <c r="H5" s="4"/>
    </row>
    <row r="6" spans="1:8">
      <c r="A6" s="3" t="str">
        <f>'Summary from fuel'!A10</f>
        <v>SI ICE-LPG</v>
      </c>
      <c r="B6" s="3" t="str">
        <f>'Key Output'!C42</f>
        <v>LPG车</v>
      </c>
      <c r="C6" s="4">
        <f>'Summary from fuel'!AA10</f>
        <v>3.1912734652460677</v>
      </c>
      <c r="D6" s="4">
        <f>'Summary from fuel'!AB10</f>
        <v>0.16796176132874041</v>
      </c>
      <c r="E6" s="4">
        <f>'Summary from fuel'!AC10</f>
        <v>0.16796176132874041</v>
      </c>
      <c r="F6" s="4">
        <f>'Summary from fuel'!AD10</f>
        <v>227.69800000000001</v>
      </c>
      <c r="G6" s="4">
        <f>'Summary from fuel'!AE10</f>
        <v>11.984105263157897</v>
      </c>
      <c r="H6" s="4">
        <f>'Summary from fuel'!AF10</f>
        <v>11.984105263157897</v>
      </c>
    </row>
    <row r="7" spans="1:8">
      <c r="A7" s="3" t="str">
        <f>'Summary from fuel'!A12</f>
        <v>SI ICE-CNG</v>
      </c>
      <c r="B7" s="3" t="str">
        <f>'Key Output'!C43</f>
        <v>CNG车</v>
      </c>
      <c r="C7" s="4">
        <f>'Summary from fuel'!AA12</f>
        <v>3.159802115762921</v>
      </c>
      <c r="D7" s="4">
        <f>'Summary from fuel'!AB12</f>
        <v>0.35108912397365794</v>
      </c>
      <c r="E7" s="4">
        <f>'Summary from fuel'!AC12</f>
        <v>0.35108912397365794</v>
      </c>
      <c r="F7" s="4">
        <f>'Summary from fuel'!AD12</f>
        <v>205.20844234425346</v>
      </c>
      <c r="G7" s="4">
        <f>'Summary from fuel'!AE12</f>
        <v>22.800938038250386</v>
      </c>
      <c r="H7" s="4">
        <f>'Summary from fuel'!AF12</f>
        <v>22.800938038250386</v>
      </c>
    </row>
    <row r="8" spans="1:8">
      <c r="A8" s="3" t="str">
        <f>'Summary from fuel'!A13</f>
        <v>SI ICE-LNG1</v>
      </c>
      <c r="B8" s="3" t="str">
        <f>'Key Output'!C44</f>
        <v>LNG车(海外进口)</v>
      </c>
      <c r="C8" s="4">
        <f>'Summary from fuel'!AA13</f>
        <v>3.1813962635499022</v>
      </c>
      <c r="D8" s="4">
        <f>'Summary from fuel'!AB13</f>
        <v>0.1674419086078896</v>
      </c>
      <c r="E8" s="4">
        <f>'Summary from fuel'!AC13</f>
        <v>0.16744190860788963</v>
      </c>
      <c r="F8" s="4">
        <f>'Summary from fuel'!AD13</f>
        <v>191.11390199824376</v>
      </c>
      <c r="G8" s="4">
        <f>'Summary from fuel'!AE13</f>
        <v>10.058626420960199</v>
      </c>
      <c r="H8" s="4">
        <f>'Summary from fuel'!AF13</f>
        <v>10.058626420960199</v>
      </c>
    </row>
    <row r="9" spans="1:8" s="3" customFormat="1">
      <c r="A9" s="3" t="str">
        <f>'Summary from fuel'!A14</f>
        <v>SI ICE-LNG2</v>
      </c>
      <c r="B9" s="3" t="str">
        <f>'Key Output'!C45</f>
        <v>LNG车(井口液化)</v>
      </c>
      <c r="C9" s="4">
        <f>'Summary from fuel'!AA14</f>
        <v>3.1338313891309624</v>
      </c>
      <c r="D9" s="4">
        <f>'Summary from fuel'!AB14</f>
        <v>0.16493849416478751</v>
      </c>
      <c r="E9" s="4">
        <f>'Summary from fuel'!AC14</f>
        <v>0.16493849416478751</v>
      </c>
      <c r="F9" s="4">
        <f>'Summary from fuel'!AD14</f>
        <v>195.55523695489578</v>
      </c>
      <c r="G9" s="4">
        <f>'Summary from fuel'!AE14</f>
        <v>10.292380892362937</v>
      </c>
      <c r="H9" s="4">
        <f>'Summary from fuel'!AF14</f>
        <v>10.292380892362937</v>
      </c>
    </row>
    <row r="10" spans="1:8" s="3" customFormat="1">
      <c r="A10" s="3" t="str">
        <f>'Summary from fuel'!A15</f>
        <v>SI ICE-LNG3</v>
      </c>
      <c r="B10" s="3" t="str">
        <f>'Key Output'!C46</f>
        <v>LNG车(管道气液化)</v>
      </c>
      <c r="C10" s="4">
        <f>'Summary from fuel'!AA15</f>
        <v>3.1716781492886774</v>
      </c>
      <c r="D10" s="4">
        <f>'Summary from fuel'!AB15</f>
        <v>0.1669304289099304</v>
      </c>
      <c r="E10" s="4">
        <f>'Summary from fuel'!AC15</f>
        <v>0.1669304289099304</v>
      </c>
      <c r="F10" s="4">
        <f>'Summary from fuel'!AD15</f>
        <v>198.04654989186992</v>
      </c>
      <c r="G10" s="4">
        <f>'Summary from fuel'!AE15</f>
        <v>10.423502625887892</v>
      </c>
      <c r="H10" s="4">
        <f>'Summary from fuel'!AF15</f>
        <v>10.423502625887892</v>
      </c>
    </row>
    <row r="11" spans="1:8">
      <c r="A11" s="3" t="str">
        <f>'Summary from fuel'!A16</f>
        <v>CI ICE-GTL</v>
      </c>
      <c r="B11" s="3" t="str">
        <f>'Key Output'!C47</f>
        <v>GTL车</v>
      </c>
      <c r="C11" s="4">
        <f>'Summary from fuel'!AA16</f>
        <v>4.8861088829297961</v>
      </c>
      <c r="D11" s="4">
        <f>'Summary from fuel'!AB16</f>
        <v>0.86225450875231702</v>
      </c>
      <c r="E11" s="4">
        <f>'Summary from fuel'!AC16</f>
        <v>0.86225450875231702</v>
      </c>
      <c r="F11" s="4">
        <f>'Summary from fuel'!AD16</f>
        <v>331.24517656787822</v>
      </c>
      <c r="G11" s="4">
        <f>'Summary from fuel'!AE16</f>
        <v>58.45503115903734</v>
      </c>
      <c r="H11" s="4">
        <f>'Summary from fuel'!AF16</f>
        <v>58.455031159037333</v>
      </c>
    </row>
    <row r="13" spans="1:8">
      <c r="C13" t="s">
        <v>221</v>
      </c>
      <c r="F13" t="s">
        <v>222</v>
      </c>
    </row>
    <row r="14" spans="1:8">
      <c r="A14" t="s">
        <v>220</v>
      </c>
      <c r="B14" s="3" t="str">
        <f>B6</f>
        <v>LPG车</v>
      </c>
      <c r="C14" s="61">
        <f>C6/C3</f>
        <v>0.98964674906086669</v>
      </c>
      <c r="F14" s="61">
        <f>F6/F3</f>
        <v>0.96637392745836126</v>
      </c>
    </row>
    <row r="15" spans="1:8">
      <c r="B15" s="3" t="str">
        <f t="shared" ref="B15:B19" si="0">B7</f>
        <v>CNG车</v>
      </c>
      <c r="C15" s="61">
        <f>C7/C3</f>
        <v>0.97988715965439976</v>
      </c>
      <c r="F15" s="61">
        <f>F7/F3</f>
        <v>0.87092591228657645</v>
      </c>
    </row>
    <row r="16" spans="1:8">
      <c r="B16" s="3" t="str">
        <f t="shared" si="0"/>
        <v>LNG车(海外进口)</v>
      </c>
      <c r="C16" s="61">
        <f>C8/C3</f>
        <v>0.9865837271497454</v>
      </c>
      <c r="F16" s="61">
        <f>F8/F3</f>
        <v>0.8111072212576973</v>
      </c>
    </row>
    <row r="17" spans="1:6">
      <c r="B17" s="3" t="str">
        <f t="shared" si="0"/>
        <v>LNG车(井口液化)</v>
      </c>
      <c r="C17" s="61">
        <f>C9/C3</f>
        <v>0.97183337001149783</v>
      </c>
      <c r="F17" s="61">
        <f>F9/F3</f>
        <v>0.82995670744210792</v>
      </c>
    </row>
    <row r="18" spans="1:6">
      <c r="B18" s="3" t="str">
        <f t="shared" si="0"/>
        <v>LNG车(管道气液化)</v>
      </c>
      <c r="C18" s="61">
        <f>C10/C3</f>
        <v>0.98357003988967173</v>
      </c>
      <c r="F18" s="61">
        <f>F10/F3</f>
        <v>0.84053009793052469</v>
      </c>
    </row>
    <row r="19" spans="1:6">
      <c r="B19" s="3" t="str">
        <f t="shared" si="0"/>
        <v>GTL车</v>
      </c>
      <c r="C19" s="61">
        <f>C11/C4</f>
        <v>1.6801481446515305</v>
      </c>
      <c r="F19" s="61">
        <f>F11/F4</f>
        <v>1.5594992767624625</v>
      </c>
    </row>
    <row r="21" spans="1:6">
      <c r="A21" s="3" t="s">
        <v>223</v>
      </c>
      <c r="C21" s="3" t="s">
        <v>221</v>
      </c>
      <c r="D21" s="3"/>
      <c r="E21" s="3"/>
      <c r="F21" s="3" t="s">
        <v>222</v>
      </c>
    </row>
    <row r="22" spans="1:6">
      <c r="B22" s="3" t="str">
        <f>B14</f>
        <v>LPG车</v>
      </c>
      <c r="C22" s="61">
        <f>C6/C4</f>
        <v>1.0973583111176608</v>
      </c>
      <c r="D22" s="61"/>
      <c r="E22" s="61"/>
      <c r="F22" s="61">
        <f>F6/F4</f>
        <v>1.0720001118189677</v>
      </c>
    </row>
    <row r="23" spans="1:6">
      <c r="B23" s="3" t="str">
        <f t="shared" ref="B23:B27" si="1">B15</f>
        <v>CNG车</v>
      </c>
      <c r="C23" s="61">
        <f>C7/C4</f>
        <v>1.0865365036813757</v>
      </c>
      <c r="F23" s="61">
        <f>F7/F4</f>
        <v>0.96611947904345186</v>
      </c>
    </row>
    <row r="24" spans="1:6">
      <c r="B24" s="3" t="str">
        <f t="shared" si="1"/>
        <v>LNG车(海外进口)</v>
      </c>
      <c r="C24" s="61">
        <f>C8/C4</f>
        <v>1.0939619148232314</v>
      </c>
      <c r="F24" s="61">
        <f>F8/F4</f>
        <v>0.89976251136275487</v>
      </c>
    </row>
    <row r="25" spans="1:6">
      <c r="B25" s="3" t="str">
        <f t="shared" si="1"/>
        <v>LNG车(井口液化)</v>
      </c>
      <c r="C25" s="61">
        <f>C9/C4</f>
        <v>1.0776061525141349</v>
      </c>
      <c r="F25" s="61">
        <f>F9/F4</f>
        <v>0.92067227592000367</v>
      </c>
    </row>
    <row r="26" spans="1:6">
      <c r="B26" s="3" t="str">
        <f t="shared" si="1"/>
        <v>LNG车(管道气液化)</v>
      </c>
      <c r="C26" s="61">
        <f>C10/C4</f>
        <v>1.0906202226840014</v>
      </c>
      <c r="F26" s="61">
        <f>F10/F4</f>
        <v>0.93240135455491624</v>
      </c>
    </row>
    <row r="27" spans="1:6">
      <c r="B27" s="3" t="str">
        <f t="shared" si="1"/>
        <v>GTL车</v>
      </c>
      <c r="C27" s="61">
        <f>C11/C4</f>
        <v>1.6801481446515305</v>
      </c>
      <c r="F27" s="61">
        <f>F11/F4</f>
        <v>1.5594992767624625</v>
      </c>
    </row>
    <row r="28" spans="1:6">
      <c r="D28" s="61"/>
    </row>
    <row r="29" spans="1:6">
      <c r="D29" s="6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E10" sqref="E10"/>
    </sheetView>
  </sheetViews>
  <sheetFormatPr defaultRowHeight="13.5"/>
  <cols>
    <col min="1" max="1" width="24.25" customWidth="1"/>
    <col min="2" max="2" width="24.25" style="3" customWidth="1"/>
    <col min="3" max="4" width="10.5" customWidth="1"/>
    <col min="5" max="5" width="12.125" customWidth="1"/>
    <col min="6" max="6" width="11.75" customWidth="1"/>
    <col min="7" max="8" width="11" customWidth="1"/>
  </cols>
  <sheetData>
    <row r="1" spans="1:8" s="9" customFormat="1" ht="54">
      <c r="C1" s="9" t="str">
        <f>'Summary from fuel'!AA1</f>
        <v>WTW fossil energy use</v>
      </c>
      <c r="D1" s="9" t="str">
        <f>'Summary from fuel'!AB1</f>
        <v>Upper limit of error</v>
      </c>
      <c r="E1" s="9" t="str">
        <f>'Summary from fuel'!AC1</f>
        <v>Lower limit of error</v>
      </c>
      <c r="F1" s="9" t="str">
        <f>'Summary from fuel'!AD1</f>
        <v>WTW GHG emission</v>
      </c>
      <c r="G1" s="9" t="str">
        <f>'Summary from fuel'!AE1</f>
        <v>Upper limit of error</v>
      </c>
      <c r="H1" s="9" t="str">
        <f>'Summary from fuel'!AF1</f>
        <v>Lower limit of error</v>
      </c>
    </row>
    <row r="2" spans="1:8">
      <c r="A2" s="3"/>
      <c r="C2" s="3" t="str">
        <f>'Summary from fuel'!AA2</f>
        <v>(MJ/km)</v>
      </c>
      <c r="D2" s="3"/>
      <c r="E2" s="3"/>
      <c r="F2" s="3" t="str">
        <f>'Summary from fuel'!AD2</f>
        <v>(g CO2e/km)</v>
      </c>
      <c r="G2" s="3"/>
      <c r="H2" s="3"/>
    </row>
    <row r="3" spans="1:8">
      <c r="A3" s="3" t="str">
        <f>'Summary from fuel'!A3</f>
        <v>SI ICE-Gasoline (8L/100km)</v>
      </c>
      <c r="B3" s="3" t="str">
        <f>'Key Output'!C38</f>
        <v>汽油车</v>
      </c>
      <c r="C3" s="4">
        <f>'Summary from fuel'!AA3</f>
        <v>3.2246591708348991</v>
      </c>
      <c r="D3" s="4">
        <f>'Summary from fuel'!AB3</f>
        <v>0.1697189037281526</v>
      </c>
      <c r="E3" s="4">
        <f>'Summary from fuel'!AC3</f>
        <v>0.1697189037281526</v>
      </c>
      <c r="F3" s="4">
        <f>'Summary from fuel'!AD3</f>
        <v>235.62100914587327</v>
      </c>
      <c r="G3" s="4">
        <f>'Summary from fuel'!AE3</f>
        <v>12.401105744519647</v>
      </c>
      <c r="H3" s="4">
        <f>'Summary from fuel'!AF3</f>
        <v>12.401105744519647</v>
      </c>
    </row>
    <row r="4" spans="1:8">
      <c r="A4" s="3" t="str">
        <f>'Summary from fuel'!A9</f>
        <v>CI ICE-Diesel</v>
      </c>
      <c r="B4" s="3" t="str">
        <f>'Key Output'!C39</f>
        <v>柴油车</v>
      </c>
      <c r="C4" s="4">
        <f>'Summary from fuel'!AA9</f>
        <v>2.9081417007684132</v>
      </c>
      <c r="D4" s="4">
        <f>'Summary from fuel'!AB9</f>
        <v>0.15306008951412703</v>
      </c>
      <c r="E4" s="4">
        <f>'Summary from fuel'!AC9</f>
        <v>0.15306008951412703</v>
      </c>
      <c r="F4" s="4">
        <f>'Summary from fuel'!AD9</f>
        <v>212.40482859058892</v>
      </c>
      <c r="G4" s="4">
        <f>'Summary from fuel'!AE9</f>
        <v>11.179201504767839</v>
      </c>
      <c r="H4" s="4">
        <f>'Summary from fuel'!AF9</f>
        <v>11.179201504767839</v>
      </c>
    </row>
    <row r="5" spans="1:8" s="3" customFormat="1">
      <c r="C5" s="4"/>
      <c r="D5" s="4"/>
      <c r="E5" s="4"/>
      <c r="F5" s="4"/>
      <c r="G5" s="4"/>
      <c r="H5" s="4"/>
    </row>
    <row r="6" spans="1:8">
      <c r="A6" t="str">
        <f>'Summary from fuel'!A29</f>
        <v>SI ICE-Corn ethanol</v>
      </c>
      <c r="B6" s="3" t="str">
        <f>'Key Output'!C72</f>
        <v>玉米乙醇汽车</v>
      </c>
      <c r="C6" s="4">
        <f>'Summary from fuel'!AA29</f>
        <v>3.6028522662793607</v>
      </c>
      <c r="D6" s="4">
        <f>'Summary from fuel'!AB29</f>
        <v>0.40031691847548456</v>
      </c>
      <c r="E6" s="4">
        <f>'Summary from fuel'!AC29</f>
        <v>0.90071306656984018</v>
      </c>
      <c r="F6" s="4">
        <f>'Summary from fuel'!AD29</f>
        <v>493.25966102567833</v>
      </c>
      <c r="G6" s="4">
        <f>'Summary from fuel'!AE29</f>
        <v>54.80662900285315</v>
      </c>
      <c r="H6" s="4">
        <f>'Summary from fuel'!AF29</f>
        <v>123.31491525641958</v>
      </c>
    </row>
    <row r="7" spans="1:8">
      <c r="A7" s="3" t="str">
        <f>'Summary from fuel'!A30</f>
        <v>SI ICE-Cassava ethanol</v>
      </c>
      <c r="B7" s="3" t="str">
        <f>'Key Output'!C73</f>
        <v>木薯乙醇汽车</v>
      </c>
      <c r="C7" s="4">
        <f>'Summary from fuel'!AA30</f>
        <v>2.0493189258262987</v>
      </c>
      <c r="D7" s="4">
        <f>'Summary from fuel'!AB30</f>
        <v>0.22770210286958875</v>
      </c>
      <c r="E7" s="4">
        <f>'Summary from fuel'!AC30</f>
        <v>0.51232973145657468</v>
      </c>
      <c r="F7" s="4">
        <f>'Summary from fuel'!AD30</f>
        <v>224.78508530659494</v>
      </c>
      <c r="G7" s="4">
        <f>'Summary from fuel'!AE30</f>
        <v>24.976120589621662</v>
      </c>
      <c r="H7" s="4">
        <f>'Summary from fuel'!AF30</f>
        <v>56.196271326648741</v>
      </c>
    </row>
    <row r="8" spans="1:8">
      <c r="A8" s="3" t="str">
        <f>'Summary from fuel'!A31</f>
        <v>SI ICE-Sweet sorghum ethanol</v>
      </c>
      <c r="B8" s="3" t="str">
        <f>'Key Output'!C74</f>
        <v>甜高粱乙醇汽车</v>
      </c>
      <c r="C8" s="4">
        <f>'Summary from fuel'!AA31</f>
        <v>1.7000554650387762</v>
      </c>
      <c r="D8" s="4">
        <f>'Summary from fuel'!AB31</f>
        <v>2.5500831975581639</v>
      </c>
      <c r="E8" s="4">
        <f>'Summary from fuel'!AC31</f>
        <v>0.42501386625969406</v>
      </c>
      <c r="F8" s="4">
        <f>'Summary from fuel'!AD31</f>
        <v>160.26954337595097</v>
      </c>
      <c r="G8" s="4">
        <f>'Summary from fuel'!AE31</f>
        <v>240.40431506392642</v>
      </c>
      <c r="H8" s="4">
        <f>'Summary from fuel'!AF31</f>
        <v>40.067385843987736</v>
      </c>
    </row>
    <row r="9" spans="1:8">
      <c r="A9" s="3" t="str">
        <f>'Summary from fuel'!A32</f>
        <v>SI ICE-Woody ethanol</v>
      </c>
      <c r="B9" s="3" t="str">
        <f>'Key Output'!C75</f>
        <v>木本二代生物燃料汽车</v>
      </c>
      <c r="C9" s="4">
        <f>'Summary from fuel'!AA32</f>
        <v>0.93428531949103355</v>
      </c>
      <c r="D9" s="4">
        <f>'Summary from fuel'!AB32</f>
        <v>0.10380947994344818</v>
      </c>
      <c r="E9" s="4">
        <f>'Summary from fuel'!AC32</f>
        <v>0.10380947994344818</v>
      </c>
      <c r="F9" s="4">
        <f>'Summary from fuel'!AD32</f>
        <v>79.7318078857746</v>
      </c>
      <c r="G9" s="4">
        <f>'Summary from fuel'!AE32</f>
        <v>-8.8590897650860665</v>
      </c>
      <c r="H9" s="4">
        <f>'Summary from fuel'!AF32</f>
        <v>-8.8590897650860665</v>
      </c>
    </row>
    <row r="10" spans="1:8">
      <c r="A10" s="3" t="str">
        <f>'Summary from fuel'!A33</f>
        <v>SI ICE-Herbaceous ethanol</v>
      </c>
      <c r="B10" s="3" t="str">
        <f>'Key Output'!C76</f>
        <v>草本二代生物燃料汽车</v>
      </c>
      <c r="C10" s="4">
        <f>'Summary from fuel'!AA33</f>
        <v>0.5173083858561639</v>
      </c>
      <c r="D10" s="4">
        <f>'Summary from fuel'!AB33</f>
        <v>5.747870953957377E-2</v>
      </c>
      <c r="E10" s="4">
        <f>'Summary from fuel'!AC33</f>
        <v>5.7478709539573763E-2</v>
      </c>
      <c r="F10" s="4">
        <f>'Summary from fuel'!AD33</f>
        <v>9.5174561427939821</v>
      </c>
      <c r="G10" s="4">
        <f>'Summary from fuel'!AE33</f>
        <v>1.0574951269771091</v>
      </c>
      <c r="H10" s="4">
        <f>'Summary from fuel'!AF33</f>
        <v>1.0574951269771091</v>
      </c>
    </row>
    <row r="11" spans="1:8" s="3" customFormat="1">
      <c r="C11" s="4"/>
      <c r="D11" s="4"/>
      <c r="E11" s="4"/>
      <c r="F11" s="4"/>
      <c r="G11" s="4"/>
      <c r="H11" s="4"/>
    </row>
    <row r="12" spans="1:8">
      <c r="A12" s="3" t="str">
        <f>'Summary from fuel'!A35</f>
        <v>CI ICE-Waste oil biodiesel</v>
      </c>
      <c r="B12" s="3" t="str">
        <f>'Key Output'!C78</f>
        <v>废弃油生物柴油汽车</v>
      </c>
      <c r="C12" s="4">
        <f>'Summary from fuel'!AA35</f>
        <v>2.2208655948181812</v>
      </c>
      <c r="D12" s="4">
        <f>'Summary from fuel'!AB35</f>
        <v>0.24676284386868683</v>
      </c>
      <c r="E12" s="4">
        <f>'Summary from fuel'!AC35</f>
        <v>0.95179954063636341</v>
      </c>
      <c r="F12" s="4">
        <f>'Summary from fuel'!AD35</f>
        <v>394.48180208639752</v>
      </c>
      <c r="G12" s="4">
        <f>'Summary from fuel'!AE35</f>
        <v>43.831311342933063</v>
      </c>
      <c r="H12" s="4">
        <f>'Summary from fuel'!AF35</f>
        <v>169.06362946559895</v>
      </c>
    </row>
    <row r="13" spans="1:8">
      <c r="A13" s="3" t="str">
        <f>'Summary from fuel'!A36</f>
        <v>CI ICE-Jatropha biodiesel</v>
      </c>
      <c r="B13" s="3" t="str">
        <f>'Key Output'!C79</f>
        <v>小桐子生物柴油汽车</v>
      </c>
      <c r="C13" s="4">
        <f>'Summary from fuel'!AA36</f>
        <v>0.49322283877804179</v>
      </c>
      <c r="D13" s="4">
        <f>'Summary from fuel'!AB36</f>
        <v>5.4802537642004649E-2</v>
      </c>
      <c r="E13" s="4">
        <f>'Summary from fuel'!AC36</f>
        <v>5.4802537642004649E-2</v>
      </c>
      <c r="F13" s="4">
        <f>'Summary from fuel'!AD36</f>
        <v>40.495416118041561</v>
      </c>
      <c r="G13" s="4">
        <f>'Summary from fuel'!AE36</f>
        <v>4.4994906797823964</v>
      </c>
      <c r="H13" s="4">
        <f>'Summary from fuel'!AF36</f>
        <v>4.4994906797823955</v>
      </c>
    </row>
    <row r="14" spans="1:8">
      <c r="A14" s="3" t="str">
        <f>'Summary from fuel'!A37</f>
        <v>CI ICE-BTL (F-T) biodiesel</v>
      </c>
      <c r="B14" s="3" t="str">
        <f>'Key Output'!C80</f>
        <v>费托生物柴油汽车</v>
      </c>
      <c r="C14" s="4">
        <f>'Summary from fuel'!AA37</f>
        <v>0.13266181818181819</v>
      </c>
      <c r="D14" s="4">
        <f>'Summary from fuel'!AB37</f>
        <v>3.3165454545454547E-2</v>
      </c>
      <c r="E14" s="4">
        <f>'Summary from fuel'!AC37</f>
        <v>3.3165454545454547E-2</v>
      </c>
      <c r="F14" s="4">
        <f>'Summary from fuel'!AD37</f>
        <v>16.559854545454531</v>
      </c>
      <c r="G14" s="4">
        <f>'Summary from fuel'!AE37</f>
        <v>4.1399636363636327</v>
      </c>
      <c r="H14" s="4">
        <f>'Summary from fuel'!AF37</f>
        <v>4.1399636363636327</v>
      </c>
    </row>
    <row r="15" spans="1:8">
      <c r="A15" s="3"/>
    </row>
    <row r="16" spans="1:8">
      <c r="D16" s="4">
        <f>C6/C3</f>
        <v>1.117281571604525</v>
      </c>
      <c r="E16" s="3"/>
      <c r="F16" s="3"/>
      <c r="G16" s="4">
        <f>F6/F3</f>
        <v>2.0934451592994434</v>
      </c>
    </row>
    <row r="17" spans="4:7">
      <c r="D17" s="4">
        <f>C7/C3</f>
        <v>0.63551489235239333</v>
      </c>
      <c r="E17" s="3"/>
      <c r="F17" s="3"/>
      <c r="G17" s="4">
        <f>F7/F3</f>
        <v>0.95401121538966926</v>
      </c>
    </row>
    <row r="18" spans="4:7">
      <c r="D18" s="4">
        <f>C8/C3</f>
        <v>0.5272046982250882</v>
      </c>
      <c r="E18" s="3"/>
      <c r="F18" s="3"/>
      <c r="G18" s="4">
        <f>F8/F3</f>
        <v>0.68020056427450359</v>
      </c>
    </row>
    <row r="19" spans="4:7">
      <c r="D19" s="4">
        <f>C9/C3</f>
        <v>0.2897314940881448</v>
      </c>
      <c r="E19" s="3"/>
      <c r="F19" s="3"/>
      <c r="G19" s="4">
        <f>F9/F3</f>
        <v>0.33839006196774474</v>
      </c>
    </row>
    <row r="20" spans="4:7">
      <c r="D20" s="4">
        <f>C10/C4</f>
        <v>0.17788279908075882</v>
      </c>
      <c r="G20" s="4">
        <f>F10/F4</f>
        <v>4.4808096906021444E-2</v>
      </c>
    </row>
    <row r="21" spans="4:7">
      <c r="D21" s="4"/>
      <c r="G21" s="4"/>
    </row>
    <row r="22" spans="4:7">
      <c r="D22" s="4"/>
      <c r="G22" s="4"/>
    </row>
    <row r="23" spans="4:7">
      <c r="D23" s="4">
        <f>C12/C4</f>
        <v>0.76367172694211083</v>
      </c>
      <c r="G23" s="4">
        <f>F12/F4</f>
        <v>1.8572167342144685</v>
      </c>
    </row>
    <row r="24" spans="4:7">
      <c r="D24" s="4">
        <f>C13/C4</f>
        <v>0.1696006899002612</v>
      </c>
      <c r="G24" s="4">
        <f>F13/F4</f>
        <v>0.19065205055246942</v>
      </c>
    </row>
    <row r="25" spans="4:7">
      <c r="D25" s="4">
        <f>C14/C4</f>
        <v>4.5617384512854096E-2</v>
      </c>
      <c r="G25" s="4">
        <f>F14/F4</f>
        <v>7.7963644495924855E-2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E11" sqref="E11"/>
    </sheetView>
  </sheetViews>
  <sheetFormatPr defaultRowHeight="13.5"/>
  <cols>
    <col min="1" max="1" width="23.5" customWidth="1"/>
    <col min="2" max="2" width="23.5" style="3" customWidth="1"/>
    <col min="3" max="3" width="12.875" customWidth="1"/>
    <col min="4" max="4" width="11.75" customWidth="1"/>
    <col min="5" max="5" width="10.5" customWidth="1"/>
    <col min="6" max="6" width="10.625" customWidth="1"/>
    <col min="7" max="7" width="11" customWidth="1"/>
    <col min="8" max="8" width="9.875" customWidth="1"/>
  </cols>
  <sheetData>
    <row r="1" spans="1:8" s="9" customFormat="1" ht="40.5">
      <c r="C1" s="9" t="str">
        <f>'Summary from fuel'!AA1</f>
        <v>WTW fossil energy use</v>
      </c>
      <c r="D1" s="9" t="str">
        <f>'Summary from fuel'!AB1</f>
        <v>Upper limit of error</v>
      </c>
      <c r="E1" s="9" t="str">
        <f>'Summary from fuel'!AC1</f>
        <v>Lower limit of error</v>
      </c>
      <c r="F1" s="9" t="str">
        <f>'Summary from fuel'!AD1</f>
        <v>WTW GHG emission</v>
      </c>
      <c r="G1" s="9" t="str">
        <f>'Summary from fuel'!AE1</f>
        <v>Upper limit of error</v>
      </c>
      <c r="H1" s="9" t="str">
        <f>'Summary from fuel'!AF1</f>
        <v>Lower limit of error</v>
      </c>
    </row>
    <row r="2" spans="1:8">
      <c r="A2" s="3"/>
      <c r="C2" s="3" t="str">
        <f>'Summary from fuel'!AA2</f>
        <v>(MJ/km)</v>
      </c>
      <c r="D2" s="3"/>
      <c r="E2" s="3"/>
      <c r="F2" s="3" t="str">
        <f>'Summary from fuel'!AD2</f>
        <v>(g CO2e/km)</v>
      </c>
      <c r="G2" s="3"/>
      <c r="H2" s="3"/>
    </row>
    <row r="3" spans="1:8">
      <c r="A3" s="3" t="str">
        <f>'Summary from fuel'!A3</f>
        <v>SI ICE-Gasoline (8L/100km)</v>
      </c>
      <c r="B3" s="3" t="str">
        <f>'Key Output'!C38</f>
        <v>汽油车</v>
      </c>
      <c r="C3" s="4">
        <f>'Summary from fuel'!AA3</f>
        <v>3.2246591708348991</v>
      </c>
      <c r="D3" s="4">
        <f>'Summary from fuel'!AB3</f>
        <v>0.1697189037281526</v>
      </c>
      <c r="E3" s="4">
        <f>'Summary from fuel'!AC3</f>
        <v>0.1697189037281526</v>
      </c>
      <c r="F3" s="4">
        <f>'Summary from fuel'!AD3</f>
        <v>235.62100914587327</v>
      </c>
      <c r="G3" s="4">
        <f>'Summary from fuel'!AE3</f>
        <v>12.401105744519647</v>
      </c>
      <c r="H3" s="4">
        <f>'Summary from fuel'!AF3</f>
        <v>12.401105744519647</v>
      </c>
    </row>
    <row r="4" spans="1:8">
      <c r="A4" s="3" t="str">
        <f>'Summary from fuel'!A9</f>
        <v>CI ICE-Diesel</v>
      </c>
      <c r="B4" s="3" t="str">
        <f>'Key Output'!C39</f>
        <v>柴油车</v>
      </c>
      <c r="C4" s="4">
        <f>'Summary from fuel'!AA9</f>
        <v>2.9081417007684132</v>
      </c>
      <c r="D4" s="4">
        <f>'Summary from fuel'!AB9</f>
        <v>0.15306008951412703</v>
      </c>
      <c r="E4" s="4">
        <f>'Summary from fuel'!AC9</f>
        <v>0.15306008951412703</v>
      </c>
      <c r="F4" s="4">
        <f>'Summary from fuel'!AD9</f>
        <v>212.40482859058892</v>
      </c>
      <c r="G4" s="4">
        <f>'Summary from fuel'!AE9</f>
        <v>11.179201504767839</v>
      </c>
      <c r="H4" s="4">
        <f>'Summary from fuel'!AF9</f>
        <v>11.179201504767839</v>
      </c>
    </row>
    <row r="5" spans="1:8" s="3" customFormat="1">
      <c r="C5" s="4"/>
      <c r="D5" s="4"/>
      <c r="E5" s="4"/>
      <c r="F5" s="4"/>
      <c r="G5" s="4"/>
      <c r="H5" s="4"/>
    </row>
    <row r="6" spans="1:8">
      <c r="A6" t="str">
        <f>'Summary from fuel'!A18</f>
        <v>SI ICE-Methanol from coal</v>
      </c>
      <c r="B6" s="3" t="str">
        <f>'Key Output'!C50</f>
        <v>甲醇（煤基）汽车</v>
      </c>
      <c r="C6" s="4">
        <f>'Summary from fuel'!AA18</f>
        <v>5.2369749529880938</v>
      </c>
      <c r="D6" s="4">
        <f>'Summary from fuel'!AB18</f>
        <v>0.92417205052731077</v>
      </c>
      <c r="E6" s="4">
        <f>'Summary from fuel'!AC18</f>
        <v>1.3092437382470234</v>
      </c>
      <c r="F6" s="4">
        <f>'Summary from fuel'!AD18</f>
        <v>610.42389531027345</v>
      </c>
      <c r="G6" s="4">
        <f>'Summary from fuel'!AE18</f>
        <v>107.72186387828356</v>
      </c>
      <c r="H6" s="4">
        <f>'Summary from fuel'!AF18</f>
        <v>152.60597382756836</v>
      </c>
    </row>
    <row r="7" spans="1:8">
      <c r="A7" s="3" t="str">
        <f>'Summary from fuel'!A19</f>
        <v>SI ICE-DME from coal</v>
      </c>
      <c r="B7" s="3" t="str">
        <f>'Key Output'!C51</f>
        <v>DME（煤基）汽车</v>
      </c>
      <c r="C7" s="4">
        <f>'Summary from fuel'!AA19</f>
        <v>5.3881571902773313</v>
      </c>
      <c r="D7" s="4">
        <f>'Summary from fuel'!AB19</f>
        <v>0.95085126887247029</v>
      </c>
      <c r="E7" s="4">
        <f>'Summary from fuel'!AC19</f>
        <v>1.3470392975693328</v>
      </c>
      <c r="F7" s="4">
        <f>'Summary from fuel'!AD19</f>
        <v>627.62763636363627</v>
      </c>
      <c r="G7" s="4">
        <f>'Summary from fuel'!AE19</f>
        <v>110.75781818181817</v>
      </c>
      <c r="H7" s="4">
        <f>'Summary from fuel'!AF19</f>
        <v>156.90690909090907</v>
      </c>
    </row>
    <row r="8" spans="1:8">
      <c r="A8" s="3" t="str">
        <f>'Summary from fuel'!A20</f>
        <v>CI ICE-CTL</v>
      </c>
      <c r="B8" s="3" t="str">
        <f>'Key Output'!C52</f>
        <v>CTL（煤基）汽车</v>
      </c>
      <c r="C8" s="4">
        <f>'Summary from fuel'!AA20</f>
        <v>6.1462662609392522</v>
      </c>
      <c r="D8" s="4">
        <f>'Summary from fuel'!AB20</f>
        <v>0.68291847343769474</v>
      </c>
      <c r="E8" s="4">
        <f>'Summary from fuel'!AC20</f>
        <v>1.0846352225186915</v>
      </c>
      <c r="F8" s="4">
        <f>'Summary from fuel'!AD20</f>
        <v>584.48395967883687</v>
      </c>
      <c r="G8" s="4">
        <f>'Summary from fuel'!AE20</f>
        <v>64.942662186537433</v>
      </c>
      <c r="H8" s="4">
        <f>'Summary from fuel'!AF20</f>
        <v>103.14422817861828</v>
      </c>
    </row>
    <row r="9" spans="1:8">
      <c r="A9" s="3" t="str">
        <f>'Summary from fuel'!A21</f>
        <v>CI ICE-ICTL</v>
      </c>
      <c r="B9" s="3" t="str">
        <f>'Key Output'!C53</f>
        <v>ICTL（煤基）汽车</v>
      </c>
      <c r="C9" s="4">
        <f>'Summary from fuel'!AA21</f>
        <v>6.1718098415346114</v>
      </c>
      <c r="D9" s="4">
        <f>'Summary from fuel'!AB21</f>
        <v>0.68575664905940137</v>
      </c>
      <c r="E9" s="4">
        <f>'Summary from fuel'!AC21</f>
        <v>1.0891429132119901</v>
      </c>
      <c r="F9" s="4">
        <f>'Summary from fuel'!AD21</f>
        <v>663.53781818181824</v>
      </c>
      <c r="G9" s="4">
        <f>'Summary from fuel'!AE21</f>
        <v>73.726424242424258</v>
      </c>
      <c r="H9" s="4">
        <f>'Summary from fuel'!AF21</f>
        <v>117.0949090909091</v>
      </c>
    </row>
    <row r="10" spans="1:8">
      <c r="A10" s="3"/>
      <c r="C10" s="4"/>
      <c r="D10" s="4"/>
      <c r="E10" s="4"/>
      <c r="F10" s="4"/>
      <c r="G10" s="4"/>
      <c r="H10" s="4"/>
    </row>
    <row r="11" spans="1:8">
      <c r="A11" s="3" t="str">
        <f>'Summary from fuel'!A23</f>
        <v>SI ICE-Methanol from coal (CCS)</v>
      </c>
      <c r="B11" s="3" t="str">
        <f>'Key Output'!C55</f>
        <v>甲醇（煤基+CCS）汽车</v>
      </c>
      <c r="C11" s="4">
        <f>'Summary from fuel'!AA23</f>
        <v>6.6611947702313152</v>
      </c>
      <c r="D11" s="4">
        <f>'Summary from fuel'!AB23</f>
        <v>1.6652986925578288</v>
      </c>
      <c r="E11" s="4">
        <f>'Summary from fuel'!AC23</f>
        <v>2.2203982567437719</v>
      </c>
      <c r="F11" s="4">
        <f>'Summary from fuel'!AD23</f>
        <v>403.50054096780781</v>
      </c>
      <c r="G11" s="4">
        <f>'Summary from fuel'!AE23</f>
        <v>100.87513524195195</v>
      </c>
      <c r="H11" s="4">
        <f>'Summary from fuel'!AF23</f>
        <v>134.5001803226026</v>
      </c>
    </row>
    <row r="12" spans="1:8">
      <c r="A12" s="3" t="str">
        <f>'Summary from fuel'!A24</f>
        <v>SI ICE-DME from coal (CCS)</v>
      </c>
      <c r="B12" s="3" t="str">
        <f>'Key Output'!C56</f>
        <v>DME（煤基+CCS）汽车</v>
      </c>
      <c r="C12" s="4">
        <f>'Summary from fuel'!AA24</f>
        <v>6.535064935064935</v>
      </c>
      <c r="D12" s="4">
        <f>'Summary from fuel'!AB24</f>
        <v>1.6337662337662338</v>
      </c>
      <c r="E12" s="4">
        <f>'Summary from fuel'!AC24</f>
        <v>2.1783549783549785</v>
      </c>
      <c r="F12" s="4">
        <f>'Summary from fuel'!AD24</f>
        <v>445.56072727272726</v>
      </c>
      <c r="G12" s="4">
        <f>'Summary from fuel'!AE24</f>
        <v>111.39018181818182</v>
      </c>
      <c r="H12" s="4">
        <f>'Summary from fuel'!AF24</f>
        <v>148.52024242424241</v>
      </c>
    </row>
    <row r="13" spans="1:8">
      <c r="A13" s="3" t="str">
        <f>'Summary from fuel'!A25</f>
        <v>CI ICE-CTL(CCS)</v>
      </c>
      <c r="B13" s="3" t="str">
        <f>'Key Output'!C57</f>
        <v>CTL（煤基+CCS）汽车</v>
      </c>
      <c r="C13" s="4">
        <f>'Summary from fuel'!AA25</f>
        <v>6.0604347149013806</v>
      </c>
      <c r="D13" s="4">
        <f>'Summary from fuel'!AB25</f>
        <v>1.0694884791002439</v>
      </c>
      <c r="E13" s="4">
        <f>'Summary from fuel'!AC25</f>
        <v>1.5151086787253454</v>
      </c>
      <c r="F13" s="4">
        <f>'Summary from fuel'!AD25</f>
        <v>362.93738760279467</v>
      </c>
      <c r="G13" s="4">
        <f>'Summary from fuel'!AE25</f>
        <v>64.047774282846134</v>
      </c>
      <c r="H13" s="4">
        <f>'Summary from fuel'!AF25</f>
        <v>90.734346900698668</v>
      </c>
    </row>
    <row r="14" spans="1:8">
      <c r="A14" s="3" t="str">
        <f>'Summary from fuel'!A26</f>
        <v>CI ICE-ICTL(CCS)</v>
      </c>
      <c r="B14" s="3" t="str">
        <f>'Key Output'!C58</f>
        <v>ICTL（煤基+CCS）汽车</v>
      </c>
      <c r="C14" s="4">
        <f>'Summary from fuel'!AA26</f>
        <v>6.8810852204354003</v>
      </c>
      <c r="D14" s="4">
        <f>'Summary from fuel'!AB26</f>
        <v>1.2143091565474238</v>
      </c>
      <c r="E14" s="4">
        <f>'Summary from fuel'!AC26</f>
        <v>1.7202713051088503</v>
      </c>
      <c r="F14" s="4">
        <f>'Summary from fuel'!AD26</f>
        <v>574.79163636363637</v>
      </c>
      <c r="G14" s="4">
        <f>'Summary from fuel'!AE26</f>
        <v>101.43381818181821</v>
      </c>
      <c r="H14" s="4">
        <f>'Summary from fuel'!AF26</f>
        <v>143.69790909090909</v>
      </c>
    </row>
    <row r="15" spans="1:8">
      <c r="A15" s="3"/>
    </row>
    <row r="16" spans="1:8">
      <c r="A16" s="3"/>
      <c r="D16" s="4">
        <f>C6/C3</f>
        <v>1.6240398366293651</v>
      </c>
      <c r="E16" s="4"/>
      <c r="F16" s="4"/>
      <c r="G16" s="4">
        <f>F6/F3</f>
        <v>2.5907023211684796</v>
      </c>
    </row>
    <row r="17" spans="4:7">
      <c r="D17" s="4">
        <f>C7/C4</f>
        <v>1.8527835795806058</v>
      </c>
      <c r="E17" s="4"/>
      <c r="F17" s="4"/>
      <c r="G17" s="4">
        <f>F7/F4</f>
        <v>2.9548652002322924</v>
      </c>
    </row>
    <row r="18" spans="4:7">
      <c r="D18" s="4">
        <f>C8/C4</f>
        <v>2.1134686316403477</v>
      </c>
      <c r="E18" s="4"/>
      <c r="F18" s="4"/>
      <c r="G18" s="4">
        <f>F8/F4</f>
        <v>2.7517451630322012</v>
      </c>
    </row>
    <row r="19" spans="4:7">
      <c r="D19" s="4">
        <f>C9/C4</f>
        <v>2.1222521034321833</v>
      </c>
      <c r="E19" s="4"/>
      <c r="F19" s="4"/>
      <c r="G19" s="4">
        <f>F9/F4</f>
        <v>3.1239300094292575</v>
      </c>
    </row>
    <row r="20" spans="4:7">
      <c r="D20" s="4"/>
      <c r="E20" s="4"/>
      <c r="F20" s="4"/>
      <c r="G20" s="4"/>
    </row>
    <row r="21" spans="4:7">
      <c r="D21" s="4">
        <f>C11/C3</f>
        <v>2.0657050613217707</v>
      </c>
      <c r="E21" s="4"/>
      <c r="F21" s="4"/>
      <c r="G21" s="4">
        <f>F11/F3</f>
        <v>1.7124981445011982</v>
      </c>
    </row>
    <row r="22" spans="4:7">
      <c r="D22" s="4">
        <f>C12/C4</f>
        <v>2.2471617986627632</v>
      </c>
      <c r="E22" s="4"/>
      <c r="F22" s="4"/>
      <c r="G22" s="4">
        <f>F12/F4</f>
        <v>2.0976958491444995</v>
      </c>
    </row>
    <row r="23" spans="4:7">
      <c r="D23" s="4">
        <f>C13/C4</f>
        <v>2.0839544074829788</v>
      </c>
      <c r="E23" s="4"/>
      <c r="F23" s="4"/>
      <c r="G23" s="4">
        <f>F13/F4</f>
        <v>1.7087059178977415</v>
      </c>
    </row>
    <row r="24" spans="4:7">
      <c r="D24" s="4">
        <f>C14/C4</f>
        <v>2.3661450948615137</v>
      </c>
      <c r="E24" s="4"/>
      <c r="F24" s="4"/>
      <c r="G24" s="4">
        <f>F14/F4</f>
        <v>2.7061137930698806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11" sqref="F11"/>
    </sheetView>
  </sheetViews>
  <sheetFormatPr defaultRowHeight="13.5"/>
  <cols>
    <col min="1" max="1" width="23.75" customWidth="1"/>
    <col min="2" max="2" width="23.75" style="3" customWidth="1"/>
    <col min="3" max="3" width="9.75" customWidth="1"/>
  </cols>
  <sheetData>
    <row r="1" spans="1:8" s="9" customFormat="1" ht="51" customHeight="1">
      <c r="C1" s="9" t="str">
        <f>'Summary from fuel'!AA1</f>
        <v>WTW fossil energy use</v>
      </c>
      <c r="D1" s="9" t="str">
        <f>'Summary from fuel'!AB1</f>
        <v>Upper limit of error</v>
      </c>
      <c r="E1" s="9" t="str">
        <f>'Summary from fuel'!AC1</f>
        <v>Lower limit of error</v>
      </c>
      <c r="F1" s="9" t="str">
        <f>'Summary from fuel'!AD1</f>
        <v>WTW GHG emission</v>
      </c>
      <c r="G1" s="9" t="str">
        <f>'Summary from fuel'!AE1</f>
        <v>Upper limit of error</v>
      </c>
      <c r="H1" s="9" t="str">
        <f>'Summary from fuel'!AF1</f>
        <v>Lower limit of error</v>
      </c>
    </row>
    <row r="2" spans="1:8">
      <c r="A2" s="3"/>
      <c r="C2" s="3" t="str">
        <f>'Summary from fuel'!AA2</f>
        <v>(MJ/km)</v>
      </c>
      <c r="D2" s="3"/>
      <c r="E2" s="3"/>
      <c r="F2" s="3" t="str">
        <f>'Summary from fuel'!AD2</f>
        <v>(g CO2e/km)</v>
      </c>
      <c r="G2" s="3"/>
      <c r="H2" s="3"/>
    </row>
    <row r="3" spans="1:8">
      <c r="A3" s="3" t="str">
        <f>'Summary from fuel'!A3</f>
        <v>SI ICE-Gasoline (8L/100km)</v>
      </c>
      <c r="B3" s="3" t="str">
        <f>'Key Output'!C38</f>
        <v>汽油车</v>
      </c>
      <c r="C3" s="4">
        <f>'Summary from fuel'!AA3</f>
        <v>3.2246591708348991</v>
      </c>
      <c r="D3" s="4">
        <f>'Summary from fuel'!AB3</f>
        <v>0.1697189037281526</v>
      </c>
      <c r="E3" s="4">
        <f>'Summary from fuel'!AC3</f>
        <v>0.1697189037281526</v>
      </c>
      <c r="F3" s="4">
        <f>'Summary from fuel'!AD3</f>
        <v>235.62100914587327</v>
      </c>
      <c r="G3" s="4">
        <f>'Summary from fuel'!AE3</f>
        <v>12.401105744519647</v>
      </c>
      <c r="H3" s="4">
        <f>'Summary from fuel'!AF3</f>
        <v>12.401105744519647</v>
      </c>
    </row>
    <row r="4" spans="1:8">
      <c r="A4" s="3" t="str">
        <f>'Summary from fuel'!A9</f>
        <v>CI ICE-Diesel</v>
      </c>
      <c r="B4" s="3" t="str">
        <f>'Key Output'!C39</f>
        <v>柴油车</v>
      </c>
      <c r="C4" s="4">
        <f>'Summary from fuel'!AA9</f>
        <v>2.9081417007684132</v>
      </c>
      <c r="D4" s="4">
        <f>'Summary from fuel'!AB9</f>
        <v>0.15306008951412703</v>
      </c>
      <c r="E4" s="4">
        <f>'Summary from fuel'!AC9</f>
        <v>0.15306008951412703</v>
      </c>
      <c r="F4" s="4">
        <f>'Summary from fuel'!AD9</f>
        <v>212.40482859058892</v>
      </c>
      <c r="G4" s="4">
        <f>'Summary from fuel'!AE9</f>
        <v>11.179201504767839</v>
      </c>
      <c r="H4" s="4">
        <f>'Summary from fuel'!AF9</f>
        <v>11.179201504767839</v>
      </c>
    </row>
    <row r="5" spans="1:8" s="3" customFormat="1">
      <c r="C5" s="4"/>
      <c r="D5" s="4"/>
      <c r="E5" s="4"/>
      <c r="F5" s="4"/>
      <c r="G5" s="4"/>
      <c r="H5" s="4"/>
    </row>
    <row r="6" spans="1:8">
      <c r="A6" t="str">
        <f>'Summary from fuel'!A39</f>
        <v>BEV-Grid power (20.3KWh/100km)</v>
      </c>
      <c r="B6" s="3" t="str">
        <f>'Key Output'!C61</f>
        <v>纯电动汽车（网电）</v>
      </c>
      <c r="C6" s="4">
        <f>'Summary from fuel'!AA39</f>
        <v>1.8318354637463474</v>
      </c>
      <c r="D6" s="4">
        <f>'Summary from fuel'!AB39</f>
        <v>0.20353727374959418</v>
      </c>
      <c r="E6" s="4">
        <f>'Summary from fuel'!AC39</f>
        <v>0.20353727374959416</v>
      </c>
      <c r="F6" s="4">
        <f>'Summary from fuel'!AD39</f>
        <v>162.05898095743058</v>
      </c>
      <c r="G6" s="4">
        <f>'Summary from fuel'!AE39</f>
        <v>18.006553439714509</v>
      </c>
      <c r="H6" s="4">
        <f>'Summary from fuel'!AF39</f>
        <v>18.006553439714509</v>
      </c>
    </row>
    <row r="7" spans="1:8" s="3" customFormat="1">
      <c r="C7" s="4"/>
      <c r="D7" s="4"/>
      <c r="E7" s="4"/>
      <c r="F7" s="4"/>
      <c r="G7" s="4"/>
      <c r="H7" s="4"/>
    </row>
    <row r="8" spans="1:8">
      <c r="A8" s="3" t="str">
        <f>'Summary from fuel'!A44</f>
        <v>BEV-Coal power</v>
      </c>
      <c r="B8" s="3" t="str">
        <f>'Key Output'!C63</f>
        <v>纯电动汽车（煤电）</v>
      </c>
      <c r="C8" s="4">
        <f>'Summary from fuel'!AA44</f>
        <v>2.2901099542227317</v>
      </c>
      <c r="D8" s="4">
        <f>'Summary from fuel'!AB44</f>
        <v>0.25445666158030356</v>
      </c>
      <c r="E8" s="4">
        <f>'Summary from fuel'!AC44</f>
        <v>0.25445666158030356</v>
      </c>
      <c r="F8" s="4">
        <f>'Summary from fuel'!AD44</f>
        <v>208.15086900056673</v>
      </c>
      <c r="G8" s="4">
        <f>'Summary from fuel'!AE44</f>
        <v>23.127874333396306</v>
      </c>
      <c r="H8" s="4">
        <f>'Summary from fuel'!AF44</f>
        <v>23.127874333396303</v>
      </c>
    </row>
    <row r="9" spans="1:8">
      <c r="A9" s="3" t="str">
        <f>'Summary from fuel'!A45</f>
        <v>BEV-Oil power</v>
      </c>
      <c r="B9" s="3" t="str">
        <f>'Key Output'!C64</f>
        <v>纯电动汽车（油电）</v>
      </c>
      <c r="C9" s="4">
        <f>'Summary from fuel'!AA45</f>
        <v>2.9467721559962441</v>
      </c>
      <c r="D9" s="4">
        <f>'Summary from fuel'!AB45</f>
        <v>0.32741912844402715</v>
      </c>
      <c r="E9" s="4">
        <f>'Summary from fuel'!AC45</f>
        <v>0.3274191284440271</v>
      </c>
      <c r="F9" s="4">
        <f>'Summary from fuel'!AD45</f>
        <v>223.31665737085774</v>
      </c>
      <c r="G9" s="4">
        <f>'Summary from fuel'!AE45</f>
        <v>24.812961930095305</v>
      </c>
      <c r="H9" s="4">
        <f>'Summary from fuel'!AF45</f>
        <v>24.812961930095305</v>
      </c>
    </row>
    <row r="10" spans="1:8">
      <c r="A10" s="3" t="str">
        <f>'Summary from fuel'!A46</f>
        <v>BEV-Gas power</v>
      </c>
      <c r="B10" s="3" t="str">
        <f>'Key Output'!C65</f>
        <v>纯电动汽车（气电）</v>
      </c>
      <c r="C10" s="4">
        <f>'Summary from fuel'!AA46</f>
        <v>1.8885006165580507</v>
      </c>
      <c r="D10" s="4">
        <f>'Summary from fuel'!AB46</f>
        <v>0.20983340183978341</v>
      </c>
      <c r="E10" s="4">
        <f>'Summary from fuel'!AC46</f>
        <v>0.20983340183978344</v>
      </c>
      <c r="F10" s="4">
        <f>'Summary from fuel'!AD46</f>
        <v>112.46805213474198</v>
      </c>
      <c r="G10" s="4">
        <f>'Summary from fuel'!AE46</f>
        <v>12.496450237193555</v>
      </c>
      <c r="H10" s="4">
        <f>'Summary from fuel'!AF46</f>
        <v>12.496450237193553</v>
      </c>
    </row>
    <row r="11" spans="1:8">
      <c r="A11" s="3" t="str">
        <f>'Summary from fuel'!A47</f>
        <v>BEV-Nuclear power</v>
      </c>
      <c r="B11" s="3" t="str">
        <f>'Key Output'!C66</f>
        <v>纯电动汽车（核电）</v>
      </c>
      <c r="C11" s="4">
        <f>'Summary from fuel'!AA47</f>
        <v>4.5288000000000002E-2</v>
      </c>
      <c r="D11" s="4">
        <f>'Summary from fuel'!AB47</f>
        <v>5.0320000000000009E-3</v>
      </c>
      <c r="E11" s="4">
        <f>'Summary from fuel'!AC47</f>
        <v>5.032E-3</v>
      </c>
      <c r="F11" s="4">
        <f>'Summary from fuel'!AD47</f>
        <v>4.6725714285714286</v>
      </c>
      <c r="G11" s="4">
        <f>'Summary from fuel'!AE47</f>
        <v>0.51917460317460318</v>
      </c>
      <c r="H11" s="4">
        <f>'Summary from fuel'!AF47</f>
        <v>0.51917460317460318</v>
      </c>
    </row>
    <row r="12" spans="1:8">
      <c r="A12" s="3" t="str">
        <f>'Summary from fuel'!A48</f>
        <v>BEV-Large Hydro power</v>
      </c>
      <c r="B12" s="3" t="str">
        <f>'Key Output'!C67</f>
        <v>纯电动汽车（大水电）</v>
      </c>
      <c r="C12" s="4">
        <f>'Summary from fuel'!AA48</f>
        <v>0</v>
      </c>
      <c r="D12" s="4">
        <f>'Summary from fuel'!AB48</f>
        <v>0</v>
      </c>
      <c r="E12" s="4">
        <f>'Summary from fuel'!AC48</f>
        <v>0</v>
      </c>
      <c r="F12" s="4">
        <f>'Summary from fuel'!AD48</f>
        <v>3.5942857142857143</v>
      </c>
      <c r="G12" s="4">
        <f>'Summary from fuel'!AE48</f>
        <v>0</v>
      </c>
      <c r="H12" s="4">
        <f>'Summary from fuel'!AF48</f>
        <v>0</v>
      </c>
    </row>
    <row r="13" spans="1:8">
      <c r="A13" s="3" t="str">
        <f>'Summary from fuel'!A49</f>
        <v>BEV-Biopower</v>
      </c>
      <c r="B13" s="3" t="str">
        <f>'Key Output'!C68</f>
        <v>纯电动汽车（生物质电）</v>
      </c>
      <c r="C13" s="4">
        <f>'Summary from fuel'!AA49</f>
        <v>5.4633142857142859E-2</v>
      </c>
      <c r="D13" s="4">
        <f>'Summary from fuel'!AB49</f>
        <v>6.0703492063492069E-3</v>
      </c>
      <c r="E13" s="4">
        <f>'Summary from fuel'!AC49</f>
        <v>6.070349206349206E-3</v>
      </c>
      <c r="F13" s="4">
        <f>'Summary from fuel'!AD49</f>
        <v>4.1693714285714281</v>
      </c>
      <c r="G13" s="4">
        <f>'Summary from fuel'!AE49</f>
        <v>0.46326349206349204</v>
      </c>
      <c r="H13" s="4">
        <f>'Summary from fuel'!AF49</f>
        <v>0.46326349206349204</v>
      </c>
    </row>
    <row r="14" spans="1:8">
      <c r="A14" s="3" t="str">
        <f>'Summary from fuel'!A51</f>
        <v>BEV-Coal power(IGCC+CCS)</v>
      </c>
      <c r="B14" s="3" t="str">
        <f>'Key Output'!C69</f>
        <v>纯电动汽车（煤电IGCC+CCS）</v>
      </c>
      <c r="C14" s="4">
        <f>'Summary from fuel'!AA51</f>
        <v>2.5645028374065189</v>
      </c>
      <c r="D14" s="4">
        <f>'Summary from fuel'!AB51</f>
        <v>0.45255932424820922</v>
      </c>
      <c r="E14" s="4">
        <f>'Summary from fuel'!AC51</f>
        <v>0.45255932424820922</v>
      </c>
      <c r="F14" s="4">
        <f>'Summary from fuel'!AD51</f>
        <v>67.649635642902126</v>
      </c>
      <c r="G14" s="4">
        <f>'Summary from fuel'!AE51</f>
        <v>11.938170995806258</v>
      </c>
      <c r="H14" s="4">
        <f>'Summary from fuel'!AF51</f>
        <v>11.938170995806258</v>
      </c>
    </row>
    <row r="18" spans="7:8">
      <c r="G18" s="3"/>
      <c r="H18" s="3"/>
    </row>
    <row r="19" spans="7:8">
      <c r="G19" s="3"/>
      <c r="H19" s="3"/>
    </row>
    <row r="22" spans="7:8">
      <c r="G22" s="3"/>
      <c r="H22" s="3"/>
    </row>
    <row r="23" spans="7:8">
      <c r="G23" s="3"/>
      <c r="H23" s="3"/>
    </row>
    <row r="24" spans="7:8">
      <c r="G24" s="3"/>
      <c r="H24" s="3"/>
    </row>
    <row r="26" spans="7:8">
      <c r="G26" s="3"/>
      <c r="H26" s="3"/>
    </row>
    <row r="28" spans="7:8">
      <c r="G28" s="3"/>
      <c r="H28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</vt:i4>
      </vt:variant>
    </vt:vector>
  </HeadingPairs>
  <TitlesOfParts>
    <vt:vector size="19" baseType="lpstr">
      <vt:lpstr>Overview</vt:lpstr>
      <vt:lpstr>Key Input</vt:lpstr>
      <vt:lpstr>Key Output</vt:lpstr>
      <vt:lpstr>LNG商用车结果 </vt:lpstr>
      <vt:lpstr>LNG船用结果</vt:lpstr>
      <vt:lpstr>NG-based</vt:lpstr>
      <vt:lpstr>Biofuel</vt:lpstr>
      <vt:lpstr>Coal-based</vt:lpstr>
      <vt:lpstr>EV</vt:lpstr>
      <vt:lpstr>PTW</vt:lpstr>
      <vt:lpstr>Summary from fuel</vt:lpstr>
      <vt:lpstr>空白</vt:lpstr>
      <vt:lpstr>FCV</vt:lpstr>
      <vt:lpstr>Gasoline,HEV,PHEV</vt:lpstr>
      <vt:lpstr>SI ICE based, FFV, Fuel blend</vt:lpstr>
      <vt:lpstr>CI ICE based, Fuel blend</vt:lpstr>
      <vt:lpstr>Unit Conversions</vt:lpstr>
      <vt:lpstr>'Key Input'!_ftn1</vt:lpstr>
      <vt:lpstr>'Key Input'!_ftnref1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Ouxm</dc:creator>
  <cp:lastModifiedBy>user</cp:lastModifiedBy>
  <dcterms:created xsi:type="dcterms:W3CDTF">2011-02-28T05:44:11Z</dcterms:created>
  <dcterms:modified xsi:type="dcterms:W3CDTF">2013-03-05T04:10:52Z</dcterms:modified>
</cp:coreProperties>
</file>